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S:\Centennial Gardens - Santa Maria - Southport FS\3.3 CDLAC\"/>
    </mc:Choice>
  </mc:AlternateContent>
  <xr:revisionPtr revIDLastSave="0" documentId="13_ncr:1_{A1A34D69-9329-4754-8FD0-A21641B3E3C3}" xr6:coauthVersionLast="46" xr6:coauthVersionMax="46"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584" i="3" l="1"/>
  <c r="AM567" i="3"/>
  <c r="O738" i="3" l="1"/>
  <c r="O739" i="3" l="1"/>
  <c r="O737" i="3"/>
  <c r="G734" i="3"/>
  <c r="G731" i="3"/>
  <c r="G728" i="3"/>
  <c r="AC887" i="3" l="1"/>
  <c r="AC886" i="3"/>
  <c r="AC884" i="3"/>
  <c r="W844" i="3"/>
  <c r="AA916" i="3"/>
  <c r="AA915" i="3"/>
  <c r="O638" i="3" l="1"/>
  <c r="R637" i="3"/>
  <c r="O637" i="3"/>
  <c r="AE709" i="3"/>
  <c r="S45" i="4"/>
  <c r="E93" i="4"/>
  <c r="E92" i="4"/>
  <c r="E91" i="4"/>
  <c r="E90" i="4"/>
  <c r="E89" i="4"/>
  <c r="E88" i="4"/>
  <c r="E86" i="4"/>
  <c r="E85" i="4"/>
  <c r="E83" i="4"/>
  <c r="E80" i="4"/>
  <c r="E79" i="4"/>
  <c r="E75" i="4"/>
  <c r="E74" i="4"/>
  <c r="E72" i="4"/>
  <c r="E69" i="4"/>
  <c r="E67" i="4"/>
  <c r="E66" i="4"/>
  <c r="E61" i="4"/>
  <c r="E58" i="4"/>
  <c r="E56" i="4"/>
  <c r="E53" i="4"/>
  <c r="E52" i="4"/>
  <c r="E51" i="4"/>
  <c r="E48" i="4"/>
  <c r="E46" i="4"/>
  <c r="E45" i="4"/>
  <c r="E43" i="4"/>
  <c r="E40" i="4"/>
  <c r="E30" i="4"/>
  <c r="E33" i="4"/>
  <c r="E32" i="4"/>
  <c r="E29" i="4"/>
  <c r="E13" i="4"/>
  <c r="E6" i="4"/>
  <c r="E4" i="4"/>
  <c r="F30" i="4"/>
  <c r="E99" i="4"/>
  <c r="G99" i="4"/>
  <c r="S89" i="4"/>
  <c r="C89" i="4"/>
  <c r="S85" i="4"/>
  <c r="S86" i="4"/>
  <c r="S67" i="4"/>
  <c r="S52" i="4"/>
  <c r="S51" i="4"/>
  <c r="S53" i="4"/>
  <c r="S80" i="4"/>
  <c r="S66" i="4"/>
  <c r="S99" i="4"/>
  <c r="S43" i="4"/>
  <c r="S40" i="4"/>
  <c r="S90" i="4"/>
  <c r="S48" i="4"/>
  <c r="S29" i="4"/>
  <c r="S79" i="4"/>
  <c r="S33" i="4"/>
  <c r="S32" i="4"/>
  <c r="S30" i="4"/>
  <c r="C52" i="4"/>
  <c r="C93" i="4"/>
  <c r="C91" i="4"/>
  <c r="C85" i="4"/>
  <c r="C40" i="4"/>
  <c r="C56" i="4"/>
  <c r="C69" i="4"/>
  <c r="C30" i="4"/>
  <c r="W847" i="3" l="1"/>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M738" i="3" s="1"/>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N153" i="23" l="1"/>
  <c r="B54" i="4"/>
  <c r="B26" i="4"/>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P768" i="20" s="1"/>
  <c r="AJ1024" i="3"/>
  <c r="AP767" i="20"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G59" i="7" s="1"/>
  <c r="K4" i="7"/>
  <c r="M4" i="7" s="1"/>
  <c r="M5" i="7" s="1"/>
  <c r="I10" i="7"/>
  <c r="Q21" i="7"/>
  <c r="Q34" i="7" s="1"/>
  <c r="S14" i="7"/>
  <c r="M6" i="7"/>
  <c r="K7" i="7"/>
  <c r="O9" i="7"/>
  <c r="Q8" i="7"/>
  <c r="Y68" i="15"/>
  <c r="T26" i="15"/>
  <c r="T28" i="15" s="1"/>
  <c r="T29" i="15" s="1"/>
  <c r="I36" i="7" l="1"/>
  <c r="I48" i="7" s="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I59" i="7"/>
  <c r="I47" i="7"/>
  <c r="Q4" i="7"/>
  <c r="S4" i="7" s="1"/>
  <c r="K48" i="7"/>
  <c r="M44" i="7"/>
  <c r="M48" i="7"/>
  <c r="S9" i="7"/>
  <c r="U8" i="7"/>
  <c r="U21" i="7"/>
  <c r="U34" i="7" s="1"/>
  <c r="W14" i="7"/>
  <c r="K47" i="7"/>
  <c r="K46" i="7"/>
  <c r="K59" i="7"/>
  <c r="O7" i="7"/>
  <c r="O10" i="7" s="1"/>
  <c r="O36" i="7" s="1"/>
  <c r="Q6" i="7"/>
  <c r="Y41" i="15" l="1"/>
  <c r="AB50" i="15"/>
  <c r="AB54" i="15" s="1"/>
  <c r="AB55" i="15" s="1"/>
  <c r="K61" i="7"/>
  <c r="K65" i="7"/>
  <c r="K66" i="7"/>
  <c r="I61" i="7"/>
  <c r="I66" i="7"/>
  <c r="I65" i="7"/>
  <c r="Q5" i="7"/>
  <c r="O44" i="7"/>
  <c r="O48" i="7"/>
  <c r="W21" i="7"/>
  <c r="W34" i="7" s="1"/>
  <c r="Y14" i="7"/>
  <c r="W8" i="7"/>
  <c r="U9" i="7"/>
  <c r="M47" i="7"/>
  <c r="M46" i="7"/>
  <c r="M59" i="7"/>
  <c r="U4" i="7"/>
  <c r="S5" i="7"/>
  <c r="Q7" i="7"/>
  <c r="S6" i="7"/>
  <c r="AB56" i="15" l="1"/>
  <c r="I69" i="7"/>
  <c r="I71" i="7" s="1"/>
  <c r="M61" i="7"/>
  <c r="M65" i="7"/>
  <c r="M66" i="7"/>
  <c r="K69" i="7"/>
  <c r="K71" i="7" s="1"/>
  <c r="Q10" i="7"/>
  <c r="Q36" i="7" s="1"/>
  <c r="Q48" i="7" s="1"/>
  <c r="W4" i="7"/>
  <c r="U5" i="7"/>
  <c r="Y8" i="7"/>
  <c r="W9" i="7"/>
  <c r="Y21" i="7"/>
  <c r="Y34" i="7" s="1"/>
  <c r="AA14" i="7"/>
  <c r="S7" i="7"/>
  <c r="S10" i="7" s="1"/>
  <c r="S36" i="7" s="1"/>
  <c r="U6" i="7"/>
  <c r="O59" i="7"/>
  <c r="O46" i="7"/>
  <c r="O47" i="7"/>
  <c r="M26" i="3" l="1"/>
  <c r="AB57" i="15"/>
  <c r="AB59" i="15" s="1"/>
  <c r="AB76" i="15" s="1"/>
  <c r="AB77" i="15" s="1"/>
  <c r="O61" i="7"/>
  <c r="O66" i="7"/>
  <c r="O65" i="7"/>
  <c r="M69" i="7"/>
  <c r="M71" i="7" s="1"/>
  <c r="Q44" i="7"/>
  <c r="Q46" i="7" s="1"/>
  <c r="S44" i="7"/>
  <c r="S48" i="7"/>
  <c r="W6" i="7"/>
  <c r="U7" i="7"/>
  <c r="U10" i="7" s="1"/>
  <c r="U36" i="7" s="1"/>
  <c r="Y4" i="7"/>
  <c r="W5" i="7"/>
  <c r="AA21" i="7"/>
  <c r="AA34" i="7" s="1"/>
  <c r="AC14" i="7"/>
  <c r="Y9" i="7"/>
  <c r="AA8" i="7"/>
  <c r="E3" i="21" l="1"/>
  <c r="E7" i="21" s="1"/>
  <c r="E18" i="21" s="1"/>
  <c r="AB78" i="15"/>
  <c r="AB80" i="15" s="1"/>
  <c r="J81" i="15" s="1"/>
  <c r="M27" i="3"/>
  <c r="P204" i="3" s="1"/>
  <c r="P203" i="3" s="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<sst xmlns="http://schemas.openxmlformats.org/spreadsheetml/2006/main" count="4996" uniqueCount="2616">
  <si>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</si>
  <si>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</si>
  <si>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</si>
  <si>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</si>
  <si>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</si>
  <si>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</si>
  <si>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</si>
  <si>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</si>
  <si>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</si>
  <si>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</si>
  <si>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</si>
  <si>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</si>
  <si>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</si>
  <si>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</si>
  <si>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</si>
  <si>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</si>
  <si>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</si>
  <si>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</si>
  <si>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</si>
  <si>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</si>
  <si>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</si>
  <si>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</si>
  <si>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</si>
  <si>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</si>
  <si>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</si>
  <si>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</si>
  <si>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</si>
  <si>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</si>
  <si>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</si>
  <si>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</si>
  <si>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</si>
  <si>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</si>
  <si>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</si>
  <si>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</si>
  <si>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</si>
  <si>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</si>
  <si>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</si>
  <si>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</si>
  <si>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</si>
  <si>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</si>
  <si>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</si>
  <si>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</si>
  <si>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</si>
  <si>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</si>
  <si>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</si>
  <si>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</si>
  <si>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</si>
  <si>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</si>
  <si>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</si>
  <si>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</si>
  <si>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</si>
  <si>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</si>
  <si>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</si>
  <si>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</si>
  <si>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</si>
  <si>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</si>
  <si>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</si>
  <si>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</si>
  <si>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</si>
  <si>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</si>
  <si>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</si>
  <si>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</si>
  <si>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</si>
  <si>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</si>
  <si>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</si>
  <si>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</si>
  <si>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</si>
  <si>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</si>
  <si>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</si>
  <si>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</si>
  <si>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</si>
  <si>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</si>
  <si>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</si>
  <si>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</si>
  <si>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</si>
  <si>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</si>
  <si>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</si>
  <si>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</si>
  <si>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</si>
  <si>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</si>
  <si>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</si>
  <si>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</si>
  <si>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</si>
  <si>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</si>
  <si>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</si>
  <si>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</si>
  <si>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</si>
  <si>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</si>
  <si>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</si>
  <si>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</si>
  <si>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</si>
  <si>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</si>
  <si>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</si>
  <si>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</si>
  <si>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</si>
  <si>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</si>
  <si>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</si>
  <si>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</si>
  <si>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</si>
  <si>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</si>
  <si>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</si>
  <si>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</si>
  <si>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</si>
  <si>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</si>
  <si>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</si>
  <si>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</si>
  <si>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</si>
  <si>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</si>
  <si>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</si>
  <si>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</si>
  <si>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</si>
  <si>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</si>
  <si>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</si>
  <si>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</si>
  <si>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</si>
  <si>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</si>
  <si>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</si>
  <si>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</si>
  <si>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</si>
  <si>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</si>
  <si>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</si>
  <si>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</si>
  <si>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</si>
  <si>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</si>
  <si>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</si>
  <si>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</si>
  <si>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</si>
  <si>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</si>
  <si>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</si>
  <si>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</si>
  <si>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</si>
  <si>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</si>
  <si>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</si>
  <si>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</si>
  <si>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</si>
  <si>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</si>
  <si>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</si>
  <si>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</si>
  <si>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</si>
  <si>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</si>
  <si>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</si>
  <si>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</si>
  <si>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</si>
  <si>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</si>
  <si>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</si>
  <si>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</si>
  <si>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</si>
  <si>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</si>
  <si>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</si>
  <si>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</si>
  <si>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</si>
  <si>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</si>
  <si>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</si>
  <si>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</si>
  <si>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</si>
  <si>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</si>
  <si>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</si>
  <si>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</si>
  <si>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</si>
  <si>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</si>
  <si>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</si>
  <si>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</si>
  <si>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</si>
  <si>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</si>
  <si>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</si>
  <si>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</si>
  <si>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</si>
  <si>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</si>
  <si>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</si>
  <si>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</si>
  <si>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</si>
  <si>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</si>
  <si>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</si>
  <si>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</si>
  <si>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</si>
  <si>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</si>
  <si>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</si>
  <si>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</si>
  <si>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</si>
  <si>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</si>
  <si>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</si>
  <si>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</si>
  <si>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</si>
  <si>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</si>
  <si>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</si>
  <si>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</si>
  <si>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</si>
  <si>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</si>
  <si>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</si>
  <si>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</si>
  <si>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</si>
  <si>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</si>
  <si>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</si>
  <si>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</si>
  <si>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</si>
  <si>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</si>
  <si>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</si>
  <si>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</si>
  <si>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</si>
  <si>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</si>
  <si>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</si>
  <si>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</si>
  <si>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</si>
  <si>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</si>
  <si>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</si>
  <si>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</si>
  <si>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</si>
  <si>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</si>
  <si>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</si>
  <si>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</si>
  <si>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</si>
  <si>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</si>
  <si>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</si>
  <si>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</si>
  <si>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</si>
  <si>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</si>
  <si>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</si>
  <si>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</si>
  <si>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</si>
  <si>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</si>
  <si>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</si>
  <si>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</si>
  <si>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</si>
  <si>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</si>
  <si>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</si>
  <si>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</si>
  <si>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</si>
  <si>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</si>
  <si>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</si>
  <si>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</si>
  <si>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</si>
  <si>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</si>
  <si>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</si>
  <si>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</si>
  <si>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</si>
  <si>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</si>
  <si>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</si>
  <si>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</si>
  <si>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</si>
  <si>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</si>
  <si>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</si>
  <si>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</si>
  <si>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</si>
  <si>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</si>
  <si>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</si>
  <si>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</si>
  <si>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</si>
  <si>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</si>
  <si>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</si>
  <si>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</si>
  <si>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</si>
  <si>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</si>
  <si>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</si>
  <si>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</si>
  <si>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</si>
  <si>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</si>
  <si>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</si>
  <si>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</si>
  <si>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</si>
  <si>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</si>
  <si>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</si>
  <si>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</si>
  <si>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</si>
  <si>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</si>
  <si>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</si>
  <si>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</si>
  <si>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</si>
  <si>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</si>
  <si>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</si>
  <si>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</si>
  <si>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</si>
  <si>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</si>
  <si>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</si>
  <si>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</si>
  <si>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</si>
  <si>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</si>
  <si>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</si>
  <si>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</si>
  <si>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</si>
  <si>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</si>
  <si>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</si>
  <si>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</si>
  <si>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</si>
  <si>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</si>
  <si>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</si>
  <si>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</si>
  <si>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</si>
  <si>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</si>
  <si>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</si>
  <si>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</si>
  <si>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</si>
  <si>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</si>
  <si>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</si>
  <si>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</si>
  <si>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</si>
  <si>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</si>
  <si>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</si>
  <si>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</si>
  <si>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</si>
  <si>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</si>
  <si>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</si>
  <si>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</si>
  <si>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</si>
  <si>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</si>
  <si>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</si>
  <si>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</si>
  <si>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</si>
  <si>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</si>
  <si>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</si>
  <si>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</si>
  <si>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</si>
  <si>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</si>
  <si>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</si>
  <si>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</si>
  <si>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</si>
  <si>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</si>
  <si>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</si>
  <si>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</si>
  <si>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</si>
  <si>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</si>
  <si>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</si>
  <si>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</si>
  <si>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</si>
  <si>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</si>
  <si>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</si>
  <si>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</si>
  <si>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</si>
  <si>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</si>
  <si>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</si>
  <si>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</si>
  <si>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</si>
  <si>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</si>
  <si>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</si>
  <si>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</si>
  <si>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</si>
  <si>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</si>
  <si>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</si>
  <si>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</si>
  <si>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</si>
  <si>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</si>
  <si>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</si>
  <si>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</si>
  <si>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</si>
  <si>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</si>
  <si>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</si>
  <si>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</si>
  <si>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</si>
  <si>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</si>
  <si>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</si>
  <si>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</si>
  <si>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</si>
  <si>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</si>
  <si>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</si>
  <si>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</si>
  <si>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</si>
  <si>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</si>
  <si>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</si>
  <si>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</si>
  <si>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</si>
  <si>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</si>
  <si>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</si>
  <si>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</si>
  <si>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</si>
  <si>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</si>
  <si>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</si>
  <si>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</si>
  <si>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</si>
  <si>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</si>
  <si>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</si>
  <si>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</si>
  <si>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</si>
  <si>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</si>
  <si>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</si>
  <si>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</si>
  <si>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</si>
  <si>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</si>
  <si>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</si>
  <si>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</si>
  <si>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</si>
  <si>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</si>
  <si>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</si>
  <si>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</si>
  <si>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</si>
  <si>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</si>
  <si>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</si>
  <si>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</si>
  <si>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</si>
  <si>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</si>
  <si>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</si>
  <si>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</si>
  <si>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</si>
  <si>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</si>
  <si>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</si>
  <si>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</si>
  <si>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</si>
  <si>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</si>
  <si>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</si>
  <si>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</si>
  <si>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</si>
  <si>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</si>
  <si>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</si>
  <si>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</si>
  <si>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</si>
  <si>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</si>
  <si>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</si>
  <si>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</si>
  <si>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</si>
  <si>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</si>
  <si>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</si>
  <si>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</si>
  <si>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</si>
  <si>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</si>
  <si>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</si>
  <si>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</si>
  <si>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</si>
  <si>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</si>
  <si>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</si>
  <si>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</si>
  <si>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</si>
  <si>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</si>
  <si>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</si>
  <si>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</si>
  <si>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</si>
  <si>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</si>
  <si>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</si>
  <si>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</si>
  <si>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</si>
  <si>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</si>
  <si>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</si>
  <si>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</si>
  <si>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</si>
  <si>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</si>
  <si>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</si>
  <si>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</si>
  <si>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</si>
  <si>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</si>
  <si>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</si>
  <si>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</si>
  <si>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</si>
  <si>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</si>
  <si>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</si>
  <si>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</si>
  <si>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</si>
  <si>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</si>
  <si>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</si>
  <si>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</si>
  <si>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</si>
  <si>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</si>
  <si>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</si>
  <si>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</si>
  <si>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</si>
  <si>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</si>
  <si>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</si>
  <si>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</si>
  <si>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</si>
  <si>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</si>
  <si>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</si>
  <si>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</si>
  <si>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</si>
  <si>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</si>
  <si>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</si>
  <si>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</si>
  <si>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</si>
  <si>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</si>
  <si>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</si>
  <si>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</si>
  <si>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</si>
  <si>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</si>
  <si>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</si>
  <si>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</si>
  <si>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</si>
  <si>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</si>
  <si>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</si>
  <si>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</si>
  <si>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</si>
  <si>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</si>
  <si>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</si>
  <si>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</si>
  <si>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</si>
  <si>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</si>
  <si>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</si>
  <si>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</si>
  <si>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</si>
  <si>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</si>
  <si>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</si>
  <si>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</si>
  <si>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</si>
  <si>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</si>
  <si>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</si>
  <si>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</si>
  <si>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</si>
  <si>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</si>
  <si>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</si>
  <si>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</si>
  <si>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</si>
  <si>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</si>
  <si>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</si>
  <si>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</si>
  <si>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</si>
  <si>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</si>
  <si>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</si>
  <si>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</si>
  <si>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</si>
  <si>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</si>
  <si>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</si>
  <si>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</si>
  <si>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</si>
  <si>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</si>
  <si>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</si>
  <si>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</si>
  <si>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</si>
  <si>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</si>
  <si>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</si>
  <si>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</si>
  <si>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</si>
  <si>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</si>
  <si>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</si>
  <si>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</si>
  <si>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</si>
  <si>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</si>
  <si>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</si>
  <si>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</si>
  <si>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</si>
  <si>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</si>
  <si>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</si>
  <si>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</si>
  <si>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</si>
  <si>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</si>
  <si>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</si>
  <si>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</si>
  <si>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</si>
  <si>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</si>
  <si>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</si>
  <si>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</si>
  <si>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</si>
  <si>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</si>
  <si>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</si>
  <si>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</si>
  <si>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</si>
  <si>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</si>
  <si>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</si>
  <si>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</si>
  <si>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</si>
  <si>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</si>
  <si>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</si>
  <si>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</si>
  <si>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</si>
  <si>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</si>
  <si>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</si>
  <si>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</si>
  <si>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</si>
  <si>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</si>
  <si>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</si>
  <si>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</si>
  <si>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</si>
  <si>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</si>
  <si>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</si>
  <si>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</si>
  <si>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</si>
  <si>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</si>
  <si>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</si>
  <si>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</si>
  <si>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</si>
  <si>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</si>
  <si>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</si>
  <si>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</si>
  <si>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</si>
  <si>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</si>
  <si>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</si>
  <si>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</si>
  <si>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</si>
  <si>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</si>
  <si>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</si>
  <si>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</si>
  <si>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</si>
  <si>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</si>
  <si>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</si>
  <si>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</si>
  <si>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</si>
  <si>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</si>
  <si>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</si>
  <si>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</si>
  <si>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</si>
  <si>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</si>
  <si>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</si>
  <si>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</si>
  <si>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</si>
  <si>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</si>
  <si>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</si>
  <si>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</si>
  <si>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</si>
  <si>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</si>
  <si>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</si>
  <si>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</si>
  <si>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</si>
  <si>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</si>
  <si>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</si>
  <si>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</si>
  <si>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</si>
  <si>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</si>
  <si>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</si>
  <si>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</si>
  <si>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</si>
  <si>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</si>
  <si>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</si>
  <si>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</si>
  <si>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</si>
  <si>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</si>
  <si>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</si>
  <si>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</si>
  <si>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</si>
  <si>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</si>
  <si>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</si>
  <si>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</si>
  <si>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</si>
  <si>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</si>
  <si>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</si>
  <si>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</si>
  <si>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</si>
  <si>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</si>
  <si>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</si>
  <si>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</si>
  <si>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</si>
  <si>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</si>
  <si>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</si>
  <si>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</si>
  <si>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</si>
  <si>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</si>
  <si>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</si>
  <si>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</si>
  <si>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</si>
  <si>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</si>
  <si>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</si>
  <si>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</si>
  <si>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</si>
  <si>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</si>
  <si>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</si>
  <si>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</si>
  <si>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</si>
  <si>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</si>
  <si>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</si>
  <si>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</si>
  <si>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</si>
  <si>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</si>
  <si>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</si>
  <si>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</si>
  <si>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</si>
  <si>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</si>
  <si>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</si>
  <si>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</si>
  <si>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</si>
  <si>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</si>
  <si>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</si>
  <si>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</si>
  <si>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</si>
  <si>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</si>
  <si>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</si>
  <si>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</si>
  <si>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</si>
  <si>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</si>
  <si>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</si>
  <si>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</si>
  <si>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</si>
  <si>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</si>
  <si>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</si>
  <si>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</si>
  <si>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</si>
  <si>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</si>
  <si>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</si>
  <si>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</si>
  <si>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</si>
  <si>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</si>
  <si>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</si>
  <si>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</si>
  <si>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</si>
  <si>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</si>
  <si>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</si>
  <si>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</si>
  <si>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</si>
  <si>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</si>
  <si>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</si>
  <si>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</si>
  <si>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</si>
  <si>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</si>
  <si>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</si>
  <si>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</si>
  <si>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</si>
  <si>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</si>
  <si>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</si>
  <si>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</si>
  <si>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</si>
  <si>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</si>
  <si>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</si>
  <si>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</si>
  <si>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</si>
  <si>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</si>
  <si>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</si>
  <si>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</si>
  <si>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</si>
  <si>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</si>
  <si>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</si>
  <si>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</si>
  <si>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</si>
  <si>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</si>
  <si>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</si>
  <si>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</si>
  <si>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</si>
  <si>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</si>
  <si>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</si>
  <si>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</si>
  <si>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</si>
  <si>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</si>
  <si>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</si>
  <si>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</si>
  <si>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</si>
  <si>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</si>
  <si>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</si>
  <si>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</si>
  <si>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</si>
  <si>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</si>
  <si>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</si>
  <si>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</si>
  <si>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</si>
  <si>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</si>
  <si>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</si>
  <si>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</si>
  <si>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</si>
  <si>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</si>
  <si>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</si>
  <si>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</si>
  <si>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</si>
  <si>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</si>
  <si>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</si>
  <si>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</si>
  <si>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</si>
  <si>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</si>
  <si>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</si>
  <si>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</si>
  <si>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</si>
  <si>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</si>
  <si>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</si>
  <si>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</si>
  <si>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</si>
  <si>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</si>
  <si>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</si>
  <si>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</si>
  <si>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</si>
  <si>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</si>
  <si>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</si>
  <si>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</si>
  <si>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</si>
  <si>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</si>
  <si>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</si>
  <si>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</si>
  <si>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</si>
  <si>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</si>
  <si>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</si>
  <si>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</si>
  <si>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</si>
  <si>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</si>
  <si>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</si>
  <si>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</si>
  <si>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</si>
  <si>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</si>
  <si>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</si>
  <si>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</si>
  <si>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</si>
  <si>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</si>
  <si>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</si>
  <si>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</si>
  <si>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</si>
  <si>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</si>
  <si>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</si>
  <si>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</si>
  <si>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</si>
  <si>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</si>
  <si>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</si>
  <si>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</si>
  <si>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</si>
  <si>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</si>
  <si>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</si>
  <si>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</si>
  <si>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</si>
  <si>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</si>
  <si>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</si>
  <si>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</si>
  <si>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</si>
  <si>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</si>
  <si>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</si>
  <si>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</si>
  <si>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</si>
  <si>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</si>
  <si>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</si>
  <si>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</si>
  <si>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</si>
  <si>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</si>
  <si>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</si>
  <si>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</si>
  <si>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</si>
  <si>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</si>
  <si>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</si>
  <si>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</si>
  <si>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</si>
  <si>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</si>
  <si>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</si>
  <si>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</si>
  <si>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</si>
  <si>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</si>
  <si>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</si>
  <si>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</si>
  <si>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</si>
  <si>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</si>
  <si>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</si>
  <si>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</si>
  <si>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</si>
  <si>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</si>
  <si>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</si>
  <si>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</si>
  <si>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</si>
  <si>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</si>
  <si>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</si>
  <si>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</si>
  <si>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</si>
  <si>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</si>
  <si>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</si>
  <si>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</si>
  <si>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</si>
  <si>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</si>
  <si>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</si>
  <si>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</si>
  <si>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</si>
  <si>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</si>
  <si>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</si>
  <si>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</si>
  <si>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</si>
  <si>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</si>
  <si>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</si>
  <si>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</si>
  <si>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</si>
  <si>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</si>
  <si>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</si>
  <si>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</si>
  <si>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</si>
  <si>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</si>
  <si>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</si>
  <si>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</si>
  <si>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</si>
  <si>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</si>
  <si>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</si>
  <si>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</si>
  <si>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</si>
  <si>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</si>
  <si>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</si>
  <si>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</si>
  <si>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</si>
  <si>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</si>
  <si>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</si>
  <si>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</si>
  <si>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</si>
  <si>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</si>
  <si>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</si>
  <si>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</si>
  <si>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</si>
  <si>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</si>
  <si>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</si>
  <si>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</si>
  <si>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</si>
  <si>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</si>
  <si>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</si>
  <si>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</si>
  <si>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</si>
  <si>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</si>
  <si>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</si>
  <si>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</si>
  <si>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</si>
  <si>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</si>
  <si>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</si>
  <si>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</si>
  <si>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</si>
  <si>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</si>
  <si>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</si>
  <si>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</si>
  <si>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</si>
  <si>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</si>
  <si>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</si>
  <si>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</si>
  <si>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</si>
  <si>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</si>
  <si>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</si>
  <si>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</si>
  <si>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</si>
  <si>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</si>
  <si>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</si>
  <si>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</si>
  <si>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</si>
  <si>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</si>
  <si>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</si>
  <si>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</si>
  <si>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</si>
  <si>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</si>
  <si>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</si>
  <si>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</si>
  <si>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</si>
  <si>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</si>
  <si>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</si>
  <si>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</si>
  <si>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</si>
  <si>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</si>
  <si>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</si>
  <si>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</si>
  <si>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</si>
  <si>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</si>
  <si>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</si>
  <si>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</si>
  <si>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</si>
  <si>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</si>
  <si>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</si>
  <si>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</si>
  <si>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</si>
  <si>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</si>
  <si>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</si>
  <si>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</si>
  <si>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</si>
  <si>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</si>
  <si>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</si>
  <si>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</si>
  <si>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</si>
  <si>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</si>
  <si>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</si>
  <si>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</si>
  <si>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</si>
  <si>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</si>
  <si>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</si>
  <si>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</si>
  <si>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</si>
  <si>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</si>
  <si>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</si>
  <si>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</si>
  <si>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</si>
  <si>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</si>
  <si>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</si>
  <si>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</si>
  <si>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</si>
  <si>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</si>
  <si>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</si>
  <si>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</si>
  <si>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</si>
  <si>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</si>
  <si>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</si>
  <si>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</si>
  <si>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</si>
  <si>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</si>
  <si>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</si>
  <si>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</si>
  <si>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</si>
  <si>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</si>
  <si>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</si>
  <si>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</si>
  <si>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</si>
  <si>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</si>
  <si>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</si>
  <si>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</si>
  <si>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</si>
  <si>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</si>
  <si>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</si>
  <si>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</si>
  <si>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</si>
  <si>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</si>
  <si>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</si>
  <si>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</si>
  <si>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</si>
  <si>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</si>
  <si>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</si>
  <si>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</si>
  <si>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</si>
  <si>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</si>
  <si>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</si>
  <si>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</si>
  <si>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</si>
  <si>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</si>
  <si>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</si>
  <si>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</si>
  <si>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</si>
  <si>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</si>
  <si>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</si>
  <si>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</si>
  <si>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</si>
  <si>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</si>
  <si>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</si>
  <si>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</si>
  <si>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</si>
  <si>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</si>
  <si>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</si>
  <si>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</si>
  <si>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</si>
  <si>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</si>
  <si>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</si>
  <si>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</si>
  <si>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</si>
  <si>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</si>
  <si>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</si>
  <si>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</si>
  <si>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</si>
  <si>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</si>
  <si>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</si>
  <si>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</si>
  <si>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</si>
  <si>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</si>
  <si>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</si>
  <si>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</si>
  <si>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</si>
  <si>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</si>
  <si>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</si>
  <si>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</si>
  <si>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</si>
  <si>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</si>
  <si>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</si>
  <si>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</si>
  <si>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</si>
  <si>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</si>
  <si>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</si>
  <si>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</si>
  <si>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</si>
  <si>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</si>
  <si>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</si>
  <si>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</si>
  <si>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</si>
  <si>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</si>
  <si>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</si>
  <si>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</si>
  <si>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</si>
  <si>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</si>
  <si>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</si>
  <si>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</si>
  <si>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</si>
  <si>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</si>
  <si>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</si>
  <si>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</si>
  <si>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</si>
  <si>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</si>
  <si>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</si>
  <si>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</si>
  <si>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</si>
  <si>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</si>
  <si>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</si>
  <si>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</si>
  <si>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</si>
  <si>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</si>
  <si>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</si>
  <si>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</si>
  <si>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</si>
  <si>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</si>
  <si>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</si>
  <si>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</si>
  <si>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</si>
  <si>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</si>
  <si>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</si>
  <si>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</si>
  <si>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</si>
  <si>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</si>
  <si>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</si>
  <si>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</si>
  <si>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</si>
  <si>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</si>
  <si>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</si>
  <si>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</si>
  <si>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</si>
  <si>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</si>
  <si>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</si>
  <si>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</si>
  <si>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</si>
  <si>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</si>
  <si>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</si>
  <si>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</si>
  <si>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</si>
  <si>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</si>
  <si>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</si>
  <si>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</si>
  <si>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</si>
  <si>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</si>
  <si>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</si>
  <si>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</si>
  <si>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</si>
  <si>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</si>
  <si>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</si>
  <si>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</si>
  <si>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</si>
  <si>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</si>
  <si>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</si>
  <si>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</si>
  <si>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</si>
  <si>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</si>
  <si>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</si>
  <si>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</si>
  <si>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</si>
  <si>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</si>
  <si>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</si>
  <si>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</si>
  <si>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</si>
  <si>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</si>
  <si>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</si>
  <si>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</si>
  <si>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</si>
  <si>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</si>
  <si>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</si>
  <si>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</si>
  <si>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</si>
  <si>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</si>
  <si>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</si>
  <si>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</si>
  <si>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</si>
  <si>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</si>
  <si>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</si>
  <si>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</si>
  <si>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</si>
  <si>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</si>
  <si>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</si>
  <si>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</si>
  <si>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</si>
  <si>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</si>
  <si>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</si>
  <si>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</si>
  <si>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</si>
  <si>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</si>
  <si>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</si>
  <si>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</si>
  <si>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</si>
  <si>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</si>
  <si>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</si>
  <si>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</si>
  <si>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</si>
  <si>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</si>
  <si>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</si>
  <si>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</si>
  <si>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</si>
  <si>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</si>
  <si>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</si>
  <si>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</si>
  <si>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</si>
  <si>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</si>
  <si>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</si>
  <si>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</si>
  <si>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</si>
  <si>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</si>
  <si>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</si>
  <si>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</si>
  <si>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</si>
  <si>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</si>
  <si>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</si>
  <si>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</si>
  <si>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</si>
  <si>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</si>
  <si>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</si>
  <si>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</si>
  <si>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</si>
  <si>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</si>
  <si>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</si>
  <si>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</si>
  <si>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</si>
  <si>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</si>
  <si>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</si>
  <si>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</si>
  <si>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</si>
  <si>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</si>
  <si>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</si>
  <si>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</si>
  <si>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</si>
  <si>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</si>
  <si>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</si>
  <si>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</si>
  <si>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</si>
  <si>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</si>
  <si>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</si>
  <si>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</si>
  <si>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</si>
  <si>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</si>
  <si>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</si>
  <si>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</si>
  <si>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</si>
  <si>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</si>
  <si>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</si>
  <si>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</si>
  <si>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</si>
  <si>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</si>
  <si>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</si>
  <si>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</si>
  <si>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</si>
  <si>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</si>
  <si>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</si>
  <si>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</si>
  <si>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</si>
  <si>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</si>
  <si>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</si>
  <si>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</si>
  <si>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</si>
  <si>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</si>
  <si>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</si>
  <si>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</si>
  <si>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</si>
  <si>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</si>
  <si>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</si>
  <si>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</si>
  <si>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</si>
  <si>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</si>
  <si>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</si>
  <si>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</si>
  <si>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</si>
  <si>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</si>
  <si>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</si>
  <si>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</si>
  <si>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</si>
  <si>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</si>
  <si>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</si>
  <si>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</si>
  <si>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</si>
  <si>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</si>
  <si>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</si>
  <si>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</si>
  <si>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</si>
  <si>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</si>
  <si>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</si>
  <si>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</si>
  <si>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</si>
  <si>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</si>
  <si>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</si>
  <si>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</si>
  <si>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</si>
  <si>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</si>
  <si>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</si>
  <si>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</si>
  <si>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</si>
  <si>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</si>
  <si>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</si>
  <si>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</si>
  <si>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</si>
  <si>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</si>
  <si>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</si>
  <si>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</si>
  <si>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</si>
  <si>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</si>
  <si>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</si>
  <si>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</si>
  <si>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</si>
  <si>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</si>
  <si>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</si>
  <si>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</si>
  <si>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</si>
  <si>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</si>
  <si>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</si>
  <si>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</si>
  <si>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</si>
  <si>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</si>
  <si>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</si>
  <si>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</si>
  <si>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</si>
  <si>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</si>
  <si>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</si>
  <si>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</si>
  <si>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</si>
  <si>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</si>
  <si>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</si>
  <si>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</si>
  <si>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</si>
  <si>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</si>
  <si>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</si>
  <si>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</si>
  <si>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</si>
  <si>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</si>
  <si>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</si>
  <si>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</si>
  <si>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</si>
  <si>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</si>
  <si>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</si>
  <si>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</si>
  <si>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</si>
  <si>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</si>
  <si>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</si>
  <si>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</si>
  <si>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</si>
  <si>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</si>
  <si>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</si>
  <si>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</si>
  <si>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</si>
  <si>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</si>
  <si>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</si>
  <si>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</si>
  <si>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</si>
  <si>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</si>
  <si>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</si>
  <si>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</si>
  <si>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</si>
  <si>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</si>
  <si>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</si>
  <si>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</si>
  <si>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</si>
  <si>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</si>
  <si>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</si>
  <si>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</si>
  <si>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</si>
  <si>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</si>
  <si>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</si>
  <si>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</si>
  <si>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</si>
  <si>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</si>
  <si>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</si>
  <si>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</si>
  <si>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</si>
  <si>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</si>
  <si>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</si>
  <si>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</si>
  <si>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</si>
  <si>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</si>
  <si>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</si>
  <si>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</si>
  <si>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</si>
  <si>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</si>
  <si>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</si>
  <si>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</si>
  <si>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</si>
  <si>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</si>
  <si>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</si>
  <si>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</si>
  <si>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</si>
  <si>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</si>
  <si>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</si>
  <si>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</si>
  <si>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</si>
  <si>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</si>
  <si>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</si>
  <si>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</si>
  <si>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</si>
  <si>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</si>
  <si>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</si>
  <si>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</si>
  <si>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</si>
  <si>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</si>
  <si>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</si>
  <si>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</si>
  <si>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</si>
  <si>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</si>
  <si>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</si>
  <si>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</si>
  <si>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</si>
  <si>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</si>
  <si>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</si>
  <si>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</si>
  <si>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</si>
  <si>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</si>
  <si>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</si>
  <si>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</si>
  <si>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</si>
  <si>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</si>
  <si>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</si>
  <si>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</si>
  <si>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</si>
  <si>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</si>
  <si>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</si>
  <si>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</si>
  <si>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</si>
  <si>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</si>
  <si>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</si>
  <si>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</si>
  <si>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</si>
  <si>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</si>
  <si>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</si>
  <si>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</si>
  <si>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</si>
  <si>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</si>
  <si>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</si>
  <si>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</si>
  <si>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</si>
  <si>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</si>
  <si>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</si>
  <si>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</si>
  <si>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</si>
  <si>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</si>
  <si>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</si>
  <si>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</si>
  <si>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</si>
  <si>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</si>
  <si>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</si>
  <si>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</si>
  <si>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</si>
  <si>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</si>
  <si>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</si>
  <si>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</si>
  <si>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</si>
  <si>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</si>
  <si>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</si>
  <si>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</si>
  <si>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</si>
  <si>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</si>
  <si>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</si>
  <si>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</si>
  <si>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</si>
  <si>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</si>
  <si>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</si>
  <si>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</si>
  <si>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</si>
  <si>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</si>
  <si>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</si>
  <si>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</si>
  <si>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</si>
  <si>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</si>
  <si>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</si>
  <si>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</si>
  <si>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</si>
  <si>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</si>
  <si>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</si>
  <si>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</si>
  <si>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</si>
  <si>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</si>
  <si>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</si>
  <si>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</si>
  <si>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</si>
  <si>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</si>
  <si>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</si>
  <si>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</si>
  <si>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</si>
  <si>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</si>
  <si>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</si>
  <si>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</si>
  <si>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</si>
  <si>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</si>
  <si>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</si>
  <si>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</si>
  <si>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</si>
  <si>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</si>
  <si>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</si>
  <si>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</si>
  <si>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</si>
  <si>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</si>
  <si>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</si>
  <si>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</si>
  <si>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</si>
  <si>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</si>
  <si>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</si>
  <si>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</si>
  <si>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</si>
  <si>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</si>
  <si>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</si>
  <si>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</si>
  <si>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</si>
  <si>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</si>
  <si>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</si>
  <si>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</si>
  <si>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</si>
  <si>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</si>
  <si>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</si>
  <si>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</si>
  <si>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</si>
  <si>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</si>
  <si>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</si>
  <si>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</si>
  <si>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</si>
  <si>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</si>
  <si>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</si>
  <si>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</si>
  <si>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</si>
  <si>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</si>
  <si>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</si>
  <si>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</si>
  <si>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</si>
  <si>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</si>
  <si>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</si>
  <si>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</si>
  <si>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</si>
  <si>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</si>
  <si>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</si>
  <si>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</si>
  <si>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</si>
  <si>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</si>
  <si>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</si>
  <si>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</si>
  <si>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</si>
  <si>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</si>
  <si>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</si>
  <si>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</si>
  <si>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</si>
  <si>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</si>
  <si>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</si>
  <si>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</si>
  <si>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</si>
  <si>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</si>
  <si>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</si>
  <si>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</si>
  <si>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</si>
  <si>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</si>
  <si>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</si>
  <si>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</si>
  <si>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</si>
  <si>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</si>
  <si>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</si>
  <si>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</si>
  <si>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</si>
  <si>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</si>
  <si>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</si>
  <si>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</si>
  <si>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</si>
  <si>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</si>
  <si>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</si>
  <si>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</si>
  <si>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</si>
  <si>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</si>
  <si>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</si>
  <si>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</si>
  <si>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</si>
  <si>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</si>
  <si>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</si>
  <si>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</si>
  <si>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</si>
  <si>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</si>
  <si>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</si>
  <si>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</si>
  <si>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</si>
  <si>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</si>
  <si>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</si>
  <si>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</si>
  <si>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</si>
  <si>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</si>
  <si>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</si>
  <si>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</si>
  <si>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</si>
  <si>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</si>
  <si>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</si>
  <si>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</si>
  <si>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</si>
  <si>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</si>
  <si>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</si>
  <si>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</si>
  <si>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</si>
  <si>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</si>
  <si>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</si>
  <si>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</si>
  <si>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</si>
  <si>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</si>
  <si>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</si>
  <si>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</si>
  <si>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</si>
  <si>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</si>
  <si>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</si>
  <si>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</si>
  <si>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</si>
  <si>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</si>
  <si>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</si>
  <si>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</si>
  <si>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</si>
  <si>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</si>
  <si>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</si>
  <si>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</si>
  <si>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</si>
  <si>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</si>
  <si>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</si>
  <si>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</si>
  <si>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</si>
  <si>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</si>
  <si>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</si>
  <si>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</si>
  <si>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</si>
  <si>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</si>
  <si>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</si>
  <si>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</si>
  <si>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</si>
  <si>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</si>
  <si>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</si>
  <si>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</si>
  <si>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</si>
  <si>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</si>
  <si>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</si>
  <si>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</si>
  <si>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</si>
  <si>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</si>
  <si>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</si>
  <si>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</si>
  <si>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</si>
  <si>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</si>
  <si>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</si>
  <si>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</si>
  <si>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</si>
  <si>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</si>
  <si>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</si>
  <si>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</si>
  <si>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</si>
  <si>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</si>
  <si>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</si>
  <si>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</si>
  <si>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</si>
  <si>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</si>
  <si>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</si>
  <si>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</si>
  <si>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</si>
  <si>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</si>
  <si>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</si>
  <si>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</si>
  <si>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</si>
  <si>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</si>
  <si>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</si>
  <si>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</si>
  <si>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</si>
  <si>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</si>
  <si>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</si>
  <si>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</si>
  <si>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</si>
  <si>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</si>
  <si>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</si>
  <si>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</si>
  <si>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</si>
  <si>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</si>
  <si>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</si>
  <si>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</si>
  <si>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</si>
  <si>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</si>
  <si>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</si>
  <si>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</si>
  <si>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</si>
  <si>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</si>
  <si>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</si>
  <si>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</si>
  <si>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</si>
  <si>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</si>
  <si>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</si>
  <si>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</si>
  <si>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</si>
  <si>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</si>
  <si>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</si>
  <si>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</si>
  <si>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</si>
  <si>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</si>
  <si>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</si>
  <si>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</si>
  <si>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</si>
  <si>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</si>
  <si>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</si>
  <si>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</si>
  <si>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</si>
  <si>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</si>
  <si>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</si>
  <si>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</si>
  <si>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</si>
  <si>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</si>
  <si>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</si>
  <si>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</si>
  <si>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</si>
  <si>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</si>
  <si>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</si>
  <si>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</si>
  <si>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</si>
  <si>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</si>
  <si>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</si>
  <si>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</si>
  <si>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</si>
  <si>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</si>
  <si>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</si>
  <si>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</si>
  <si>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</si>
  <si>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</si>
  <si>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</si>
  <si>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</si>
  <si>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</si>
  <si>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</si>
  <si>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</si>
  <si>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</si>
  <si>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</si>
  <si>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</si>
  <si>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</si>
  <si>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</si>
  <si>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</si>
  <si>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</si>
  <si>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</si>
  <si>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</si>
  <si>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</si>
  <si>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</si>
  <si>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</si>
  <si>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</si>
  <si>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</si>
  <si>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</si>
  <si>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</si>
  <si>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</si>
  <si>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</si>
  <si>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</si>
  <si>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</si>
  <si>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</si>
  <si>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</si>
  <si>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</si>
  <si>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</si>
  <si>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</si>
  <si>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</si>
  <si>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</si>
  <si>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</si>
  <si>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</si>
  <si>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</si>
  <si>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</si>
  <si>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</si>
  <si>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</si>
  <si>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</si>
  <si>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</si>
  <si>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</si>
  <si>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</si>
  <si>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</si>
  <si>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</si>
  <si>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</si>
  <si>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</si>
  <si>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</si>
  <si>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</si>
  <si>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</si>
  <si>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</si>
  <si>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</si>
  <si>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</si>
  <si>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</si>
  <si>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</si>
  <si>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</si>
  <si>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</si>
  <si>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</si>
  <si>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</si>
  <si>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</si>
  <si>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</si>
  <si>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</si>
  <si>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</si>
  <si>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</si>
  <si>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</si>
  <si>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</si>
  <si>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</si>
  <si>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</si>
  <si>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</si>
  <si>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</si>
  <si>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</si>
  <si>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</si>
  <si>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</si>
  <si>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</si>
  <si>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</si>
  <si>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</si>
  <si>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</si>
  <si>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</si>
  <si>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</si>
  <si>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</si>
  <si>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</si>
  <si>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</si>
  <si>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</si>
  <si>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</si>
  <si>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</si>
  <si>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</si>
  <si>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</si>
  <si>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</si>
  <si>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</si>
  <si>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</si>
  <si>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</si>
  <si>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</si>
  <si>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</si>
  <si>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</si>
  <si>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</si>
  <si>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</si>
  <si>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</si>
  <si>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</si>
  <si>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</si>
  <si>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</si>
  <si>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</si>
  <si>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</si>
  <si>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</si>
  <si>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</si>
  <si>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</si>
  <si>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</si>
  <si>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</si>
  <si>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</si>
  <si>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</si>
  <si>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</si>
  <si>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</si>
  <si>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</si>
  <si>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</si>
  <si>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</si>
  <si>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</si>
  <si>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</si>
  <si>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</si>
  <si>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</si>
  <si>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</si>
  <si>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</si>
  <si>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</si>
  <si>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</si>
  <si>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</si>
  <si>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</si>
  <si>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</si>
  <si>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</si>
  <si>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</si>
  <si>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</si>
  <si>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</si>
  <si>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</si>
  <si>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</si>
  <si>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</si>
  <si>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</si>
  <si>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</si>
  <si>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</si>
  <si>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</si>
  <si>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</si>
  <si>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</si>
  <si>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</si>
  <si>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</si>
  <si>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</si>
  <si>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</si>
  <si>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</si>
  <si>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</si>
  <si>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</si>
  <si>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</si>
  <si>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</si>
  <si>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</si>
  <si>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</si>
  <si>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</si>
  <si>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</si>
  <si>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</si>
  <si>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</si>
  <si>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</si>
  <si>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</si>
  <si>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</si>
  <si>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</si>
  <si>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</si>
  <si>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</si>
  <si>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</si>
  <si>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</si>
  <si>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</si>
  <si>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</si>
  <si>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</si>
  <si>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</si>
  <si>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</si>
  <si>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</si>
  <si>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</si>
  <si>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</si>
  <si>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</si>
  <si>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</si>
  <si>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</si>
  <si>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</si>
  <si>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</si>
  <si>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</si>
  <si>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</si>
  <si>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</si>
  <si>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</si>
  <si>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</si>
  <si>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</si>
  <si>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</si>
  <si>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</si>
  <si>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</si>
  <si>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</si>
  <si>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</si>
  <si>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</si>
  <si>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</si>
  <si>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</si>
  <si>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</si>
  <si>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</si>
  <si>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</si>
  <si>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</si>
  <si>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</si>
  <si>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</si>
  <si>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</si>
  <si>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</si>
  <si>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</si>
  <si>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</si>
  <si>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</si>
  <si>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</si>
  <si>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</si>
  <si>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</si>
  <si>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</si>
  <si>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</si>
  <si>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</si>
  <si>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</si>
  <si>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</si>
  <si>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</si>
  <si>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</si>
  <si>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</si>
  <si>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</si>
  <si>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</si>
  <si>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</si>
  <si>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</si>
  <si>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</si>
  <si>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</si>
  <si>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</si>
  <si>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</si>
  <si>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</si>
  <si>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</si>
  <si>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</si>
  <si>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</si>
  <si>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</si>
  <si>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</si>
  <si>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</si>
  <si>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</si>
  <si>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</si>
  <si>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</si>
  <si>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</si>
  <si>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</si>
  <si>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</si>
  <si>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</si>
  <si>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</si>
  <si>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</si>
  <si>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</si>
  <si>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</si>
  <si>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</si>
  <si>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</si>
  <si>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</si>
  <si>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</si>
  <si>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</si>
  <si>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</si>
  <si>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</si>
  <si>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</si>
  <si>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</si>
  <si>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</si>
  <si>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</si>
  <si>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</si>
  <si>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</si>
  <si>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</si>
  <si>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</si>
  <si>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</si>
  <si>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</si>
  <si>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</si>
  <si>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</si>
  <si>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</si>
  <si>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</si>
  <si>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</si>
  <si>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</si>
  <si>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</si>
  <si>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</si>
  <si>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</si>
  <si>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</si>
  <si>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</si>
  <si>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</si>
  <si>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</si>
  <si>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</si>
  <si>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</si>
  <si>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</si>
  <si>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</si>
  <si>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</si>
  <si>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</si>
  <si>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</si>
  <si>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</si>
  <si>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</si>
  <si>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</si>
  <si>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</si>
  <si>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</si>
  <si>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</si>
  <si>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</si>
  <si>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</si>
  <si>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</si>
  <si>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</si>
  <si>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</si>
  <si>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</si>
  <si>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</si>
  <si>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</si>
  <si>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</si>
  <si>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</si>
  <si>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</si>
  <si>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</si>
  <si>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</si>
  <si>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</si>
  <si>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</si>
  <si>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</si>
  <si>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</si>
  <si>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</si>
  <si>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</si>
  <si>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</si>
  <si>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</si>
  <si>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</si>
  <si>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</si>
  <si>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</si>
  <si>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</si>
  <si>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</si>
  <si>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</si>
  <si>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</si>
  <si>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</si>
  <si>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</si>
  <si>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</si>
  <si>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</si>
  <si>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</si>
  <si>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</si>
  <si>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</si>
  <si>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</si>
  <si>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</si>
  <si>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</si>
  <si>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</si>
  <si>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</si>
  <si>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</si>
  <si>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</si>
  <si>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</si>
  <si>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</si>
  <si>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</si>
  <si>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</si>
  <si>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</si>
  <si>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</si>
  <si>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</si>
  <si>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</si>
  <si>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</si>
  <si>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</si>
  <si>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</si>
  <si>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</si>
  <si>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</si>
  <si>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</si>
  <si>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</si>
  <si>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</si>
  <si>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</si>
  <si>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</si>
  <si>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</si>
  <si>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</si>
  <si>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</si>
  <si>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</si>
  <si>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</si>
  <si>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</si>
  <si>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</si>
  <si>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</si>
  <si>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</si>
  <si>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</si>
  <si>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</si>
  <si>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</si>
  <si>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</si>
  <si>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</si>
  <si>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</si>
  <si>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</si>
  <si>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</si>
  <si>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</si>
  <si>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</si>
  <si>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</si>
  <si>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</si>
  <si>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</si>
  <si>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</si>
  <si>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</si>
  <si>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</si>
  <si>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</si>
  <si>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</si>
  <si>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</si>
  <si>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</si>
  <si>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</si>
  <si>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</si>
  <si>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</si>
  <si>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</si>
  <si>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</si>
  <si>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</si>
  <si>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</si>
  <si>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</si>
  <si>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</si>
  <si>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</si>
  <si>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</si>
  <si>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</si>
  <si>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</si>
  <si>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</si>
  <si>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</si>
  <si>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</si>
  <si>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</si>
  <si>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</si>
  <si>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</si>
  <si>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</si>
  <si>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</si>
  <si>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</si>
  <si>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</si>
  <si>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</si>
  <si>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</si>
  <si>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</si>
  <si>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</si>
  <si>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</si>
  <si>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</si>
  <si>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</si>
  <si>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</si>
  <si>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</si>
  <si>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</si>
  <si>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</si>
  <si>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</si>
  <si>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</si>
  <si>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</si>
  <si>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</si>
  <si>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</si>
  <si>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</si>
  <si>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</si>
  <si>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</si>
  <si>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</si>
  <si>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</si>
  <si>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</si>
  <si>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</si>
  <si>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</si>
  <si>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</si>
  <si>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</si>
  <si>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</si>
  <si>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</si>
  <si>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</si>
  <si>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</si>
  <si>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</si>
  <si>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</si>
  <si>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</si>
  <si>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</si>
  <si>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</si>
  <si>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</si>
  <si>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</si>
  <si>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</si>
  <si>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</si>
  <si>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</si>
  <si>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</si>
  <si>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</si>
  <si>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</si>
  <si>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</si>
  <si>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</si>
  <si>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</si>
  <si>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</si>
  <si>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</si>
  <si>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</si>
  <si>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</si>
  <si>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</si>
  <si>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</si>
  <si>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</si>
  <si>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</si>
  <si>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</si>
  <si>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</si>
  <si>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</si>
  <si>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</si>
  <si>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</si>
  <si>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</si>
  <si>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</si>
  <si>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</si>
  <si>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</si>
  <si>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</si>
  <si>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</si>
  <si>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</si>
  <si>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</si>
  <si>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</si>
  <si>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</si>
  <si>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</si>
  <si>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</si>
  <si>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</si>
  <si>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</si>
  <si>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</si>
  <si>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</si>
  <si>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</si>
  <si>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</si>
  <si>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</si>
  <si>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</si>
  <si>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</si>
  <si>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</si>
  <si>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</si>
  <si>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</si>
  <si>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</si>
  <si>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</si>
  <si>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</si>
  <si>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</si>
  <si>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</si>
  <si>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</si>
  <si>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</si>
  <si>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</si>
  <si>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</si>
  <si>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</si>
  <si>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</si>
  <si>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</si>
  <si>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</si>
  <si>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</si>
  <si>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</si>
  <si>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</si>
  <si>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</si>
  <si>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</si>
  <si>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</si>
  <si>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</si>
  <si>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</si>
  <si>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</si>
  <si>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</si>
  <si>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</si>
  <si>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</si>
  <si>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</si>
  <si>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</si>
  <si>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</si>
  <si>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</si>
  <si>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</si>
  <si>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</si>
  <si>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</si>
  <si>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</si>
  <si>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</si>
  <si>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</si>
  <si>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</si>
  <si>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</si>
  <si>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</si>
  <si>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</si>
  <si>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</si>
  <si>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</si>
  <si>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</si>
  <si>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</si>
  <si>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</si>
  <si>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</si>
  <si>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</si>
  <si>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</si>
  <si>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</si>
  <si>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</si>
  <si>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</si>
  <si>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</si>
  <si>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</si>
  <si>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</si>
  <si>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</si>
  <si>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</si>
  <si>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</si>
  <si>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</si>
  <si>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</si>
  <si>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</si>
  <si>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</si>
  <si>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</si>
  <si>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</si>
  <si>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</si>
  <si>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</si>
  <si>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</si>
  <si>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</si>
  <si>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</si>
  <si>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</si>
  <si>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</si>
  <si>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</si>
  <si>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</si>
  <si>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</si>
  <si>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</si>
  <si>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</si>
  <si>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</si>
  <si>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</si>
  <si>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</si>
  <si>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</si>
  <si>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</si>
  <si>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</si>
  <si>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</si>
  <si>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</si>
  <si>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</si>
  <si>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</si>
  <si>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</si>
  <si>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</si>
  <si>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</si>
  <si>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</si>
  <si>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</si>
  <si>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</si>
  <si>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</si>
  <si>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</si>
  <si>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</si>
  <si>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</si>
  <si>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</si>
  <si>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</si>
  <si>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</si>
  <si>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</si>
  <si>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</si>
  <si>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</si>
  <si>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</si>
  <si>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</si>
  <si>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</si>
  <si>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</si>
  <si>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</si>
  <si>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</si>
  <si>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</si>
  <si>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</si>
  <si>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</si>
  <si>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</si>
  <si>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</si>
  <si>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</si>
  <si>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</si>
  <si>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</si>
  <si>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</si>
  <si>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</si>
  <si>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</si>
  <si>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</si>
  <si>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</si>
  <si>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</si>
  <si>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</si>
  <si>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</si>
  <si>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</si>
  <si>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</si>
  <si>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</si>
  <si>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</si>
  <si>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</si>
  <si>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</si>
  <si>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</si>
  <si>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</si>
  <si>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</si>
  <si>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</si>
  <si>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</si>
  <si>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</si>
  <si>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</si>
  <si>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</si>
  <si>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</si>
  <si>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</si>
  <si>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</si>
  <si>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</si>
  <si>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</si>
  <si>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</si>
  <si>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</si>
  <si>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</si>
  <si>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</si>
  <si>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</si>
  <si>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</si>
  <si>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</si>
  <si>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</si>
  <si>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</si>
  <si>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</si>
  <si>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</si>
  <si>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</si>
  <si>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</si>
  <si>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</si>
  <si>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</si>
  <si>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</si>
  <si>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</si>
  <si>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</si>
  <si>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</si>
  <si>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</si>
  <si>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</si>
  <si>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</si>
  <si>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</si>
  <si>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</si>
  <si>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</si>
  <si>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</si>
  <si>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</si>
  <si>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</si>
  <si>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</si>
  <si>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</si>
  <si>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</si>
  <si>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</si>
  <si>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</si>
  <si>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</si>
  <si>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</si>
  <si>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</si>
  <si>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</si>
  <si>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</si>
  <si>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</si>
  <si>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</si>
  <si>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</si>
  <si>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</si>
  <si>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</si>
  <si>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</si>
  <si>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</si>
  <si>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</si>
  <si>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</si>
  <si>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</si>
  <si>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</si>
  <si>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</si>
  <si>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</si>
  <si>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</si>
  <si>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</si>
  <si>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</si>
  <si>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</si>
  <si>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</si>
  <si>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</si>
  <si>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</si>
  <si>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</si>
  <si>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</si>
  <si>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</si>
  <si>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</si>
  <si>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</si>
  <si>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</si>
  <si>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</si>
  <si>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</si>
  <si>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</si>
  <si>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</si>
  <si>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</si>
  <si>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</si>
  <si>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</si>
  <si>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</si>
  <si>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</si>
  <si>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</si>
  <si>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</si>
  <si>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</si>
  <si>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</si>
  <si>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</si>
  <si>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</si>
  <si>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</si>
  <si>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</si>
  <si>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</si>
  <si>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</si>
  <si>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</si>
  <si>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</si>
  <si>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</si>
  <si>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</si>
  <si>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</si>
  <si>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</si>
  <si>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</si>
  <si>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</si>
  <si>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</si>
  <si>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</si>
  <si>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</si>
  <si>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</si>
  <si>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</si>
  <si>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</si>
  <si>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</si>
  <si>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</si>
  <si>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</si>
  <si>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</si>
  <si>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</si>
  <si>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</si>
  <si>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</si>
  <si>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</si>
  <si>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</si>
  <si>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</si>
  <si>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</si>
  <si>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</si>
  <si>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</si>
  <si>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</si>
  <si>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</si>
  <si>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</si>
  <si>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</si>
  <si>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</si>
  <si>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</si>
  <si>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</si>
  <si>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</si>
  <si>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</si>
  <si>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</si>
  <si>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</si>
  <si>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</si>
  <si>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</si>
  <si>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</si>
  <si>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</si>
  <si>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</si>
  <si>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</si>
  <si>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</si>
  <si>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</si>
  <si>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</si>
  <si>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</si>
  <si>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</si>
  <si>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</si>
  <si>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</si>
  <si>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</si>
  <si>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</si>
  <si>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</si>
  <si>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</si>
  <si>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</si>
  <si>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</si>
  <si>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</si>
  <si>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</si>
  <si>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</si>
  <si>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</si>
  <si>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</si>
  <si>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</si>
  <si>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</si>
  <si>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</si>
  <si>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</si>
  <si>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</si>
  <si>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</si>
  <si>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</si>
  <si>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</si>
  <si>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</si>
  <si>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</si>
  <si>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</si>
  <si>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</si>
  <si>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</si>
  <si>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</si>
  <si>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</si>
  <si>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</si>
  <si>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</si>
  <si>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</si>
  <si>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</si>
  <si>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</si>
  <si>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</si>
  <si>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</si>
  <si>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</si>
  <si>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</si>
  <si>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</si>
  <si>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</si>
  <si>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</si>
  <si>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</si>
  <si>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</si>
  <si>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</si>
  <si>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</si>
  <si>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</si>
  <si>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</si>
  <si>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</si>
  <si>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</si>
  <si>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</si>
  <si>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</si>
  <si>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</si>
  <si>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</si>
  <si>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</si>
  <si>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</si>
  <si>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</si>
  <si>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</si>
  <si>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</si>
  <si>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</si>
  <si>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</si>
  <si>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</si>
  <si>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</si>
  <si>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</si>
  <si>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</si>
  <si>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</si>
  <si>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</si>
  <si>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Not Applicable</t>
  </si>
  <si>
    <t>Kingdom Centennial LLC</t>
  </si>
  <si>
    <t>Centennial Gardens</t>
  </si>
  <si>
    <t>City of Santa Maria</t>
  </si>
  <si>
    <t>Peter Gilli</t>
  </si>
  <si>
    <t>110 South Pine St #101</t>
  </si>
  <si>
    <t>Santa Maria</t>
  </si>
  <si>
    <t>805-925-0951</t>
  </si>
  <si>
    <t>805-928-7565</t>
  </si>
  <si>
    <t>pglli@ci.santa-maria.ca.us</t>
  </si>
  <si>
    <t>CDLAC-TCAC Joint Application (submitting concurrently)</t>
  </si>
  <si>
    <t>Corner S Depot St and W Battles Rd</t>
  </si>
  <si>
    <t>118-010-057 and 118-010-058</t>
  </si>
  <si>
    <t>6451 Box Springs Blvd</t>
  </si>
  <si>
    <t>CA</t>
  </si>
  <si>
    <t>William Leach</t>
  </si>
  <si>
    <t>951-538-6244</t>
  </si>
  <si>
    <t>William@kingdomdevelopment.net</t>
  </si>
  <si>
    <t>Centennial Gardens GP LLC</t>
  </si>
  <si>
    <t>1911 65th Ave W</t>
  </si>
  <si>
    <t>Tacoma</t>
  </si>
  <si>
    <t>WA</t>
  </si>
  <si>
    <t>Jennifer Ackerman (Rice)</t>
  </si>
  <si>
    <t>253-314-0409</t>
  </si>
  <si>
    <t>Jennifer@vaughnbay.net</t>
  </si>
  <si>
    <t xml:space="preserve">Riverside </t>
  </si>
  <si>
    <t>MacDonald Ladd</t>
  </si>
  <si>
    <t xml:space="preserve">1911 65th Avenue West </t>
  </si>
  <si>
    <t>Tacoma, WA, 98466</t>
  </si>
  <si>
    <t>Stephen W. Page</t>
  </si>
  <si>
    <t>253-460-3000</t>
  </si>
  <si>
    <t>stevepage@vaughnbay.net</t>
  </si>
  <si>
    <t>Arris Studio Architects</t>
  </si>
  <si>
    <t>1327 Archer St, STE 2200</t>
  </si>
  <si>
    <t>San Luis Obispo, CA 93401</t>
  </si>
  <si>
    <t xml:space="preserve">Vince Catania </t>
  </si>
  <si>
    <t>805-547-2240</t>
  </si>
  <si>
    <t xml:space="preserve">vince@arris-studio.com </t>
  </si>
  <si>
    <t xml:space="preserve">Byron A. Rodríguez </t>
  </si>
  <si>
    <t>555 Bryan Street, STE 820</t>
  </si>
  <si>
    <t>Palo Alto, CA 94301</t>
  </si>
  <si>
    <t>Vaughn Bay Construction, Inc.</t>
  </si>
  <si>
    <t>1911 65th Avenue West</t>
  </si>
  <si>
    <t>Tacoma, WA 98466</t>
  </si>
  <si>
    <t>Floyd Baker</t>
  </si>
  <si>
    <t>415-963-4327</t>
  </si>
  <si>
    <t>brodriguez@rodriguezwright.com</t>
  </si>
  <si>
    <t>G. Matthew Rettig, CPA</t>
  </si>
  <si>
    <t>Lakewood, WA 98499</t>
  </si>
  <si>
    <t>6210 75th Street West #B200</t>
  </si>
  <si>
    <t>Rettig Flyte Company, P.S.</t>
  </si>
  <si>
    <t>253-564-4993</t>
  </si>
  <si>
    <t>253-564-2508</t>
  </si>
  <si>
    <t>VCA Green</t>
  </si>
  <si>
    <t>1845 W. Orangewood ave, Ste220</t>
  </si>
  <si>
    <t>Orange, CA 92868</t>
  </si>
  <si>
    <t>Glen Folland</t>
  </si>
  <si>
    <t>714-363-4700</t>
  </si>
  <si>
    <t>gfolland@vca-green.com</t>
  </si>
  <si>
    <t xml:space="preserve">Boston Financial Investment Management, LP </t>
  </si>
  <si>
    <t xml:space="preserve">101 Arch Street </t>
  </si>
  <si>
    <t>Boston, MA 02110</t>
  </si>
  <si>
    <t xml:space="preserve">Robert Charest </t>
  </si>
  <si>
    <t>617-488-3530</t>
  </si>
  <si>
    <t xml:space="preserve">rob.charest@bfim.com </t>
  </si>
  <si>
    <t xml:space="preserve">Kingdom Development Inc. </t>
  </si>
  <si>
    <t>Riverside, CA 92507</t>
  </si>
  <si>
    <t>william@kingdomdevelopment.net</t>
  </si>
  <si>
    <t>Kinetic Valuation Group</t>
  </si>
  <si>
    <t>11060 Oak Street suite 6</t>
  </si>
  <si>
    <t>Omaha, NE 68144</t>
  </si>
  <si>
    <t>Jay A. Wortmann</t>
  </si>
  <si>
    <t>402-202-0771</t>
  </si>
  <si>
    <t xml:space="preserve">jay@kvgteam.com </t>
  </si>
  <si>
    <t>CSCDA</t>
  </si>
  <si>
    <t>1700 N Broadway, Suite 405</t>
  </si>
  <si>
    <t>Walnut Creek Ca 94596</t>
  </si>
  <si>
    <t>Jon Penkower</t>
  </si>
  <si>
    <t>925-476-5644</t>
  </si>
  <si>
    <t>jpenkower@cscda.org</t>
  </si>
  <si>
    <t>Cambridge Management, Inc.</t>
  </si>
  <si>
    <t>1916 64th Avenue W</t>
  </si>
  <si>
    <t>Tacoma WA, 98466</t>
  </si>
  <si>
    <t>Sue Baker</t>
  </si>
  <si>
    <t>253-460-6787</t>
  </si>
  <si>
    <t>sue@vaughnbay.net</t>
  </si>
  <si>
    <t>Templeton Santa Barbara LLC</t>
  </si>
  <si>
    <t>Alex Teague</t>
  </si>
  <si>
    <t>Senior VP</t>
  </si>
  <si>
    <t xml:space="preserve">1141 Cummings Road, Santa Paula, </t>
  </si>
  <si>
    <t>PD/R3</t>
  </si>
  <si>
    <t>PD/R3 22 unit/acre</t>
  </si>
  <si>
    <t>Max 35 FT.</t>
  </si>
  <si>
    <t>2 spaces per unit</t>
  </si>
  <si>
    <t>VCA Energy CUAC</t>
  </si>
  <si>
    <t>Recycled Bonds</t>
  </si>
  <si>
    <t>2 bedroom</t>
  </si>
  <si>
    <t>3 bedroom</t>
  </si>
  <si>
    <t>4 bedroom</t>
  </si>
  <si>
    <t>Kingdom Development, Inc</t>
  </si>
  <si>
    <t>President</t>
  </si>
  <si>
    <t>, 2021 at</t>
  </si>
  <si>
    <t>January</t>
  </si>
  <si>
    <t>Managing GP</t>
  </si>
  <si>
    <t>NA</t>
  </si>
  <si>
    <t>Other (Specify below)</t>
  </si>
  <si>
    <t>Transaction Legal</t>
  </si>
  <si>
    <t>Construction Monitoring</t>
  </si>
  <si>
    <t>Reports</t>
  </si>
  <si>
    <t>Bond Issuance</t>
  </si>
  <si>
    <t>917-488-3530</t>
  </si>
  <si>
    <t>Tacoma Wa</t>
  </si>
  <si>
    <t>J David Page</t>
  </si>
  <si>
    <t>Cambridge Management, Inc</t>
  </si>
  <si>
    <t>floydbaker@vaughnbay.net</t>
  </si>
  <si>
    <t>J. David Page</t>
  </si>
  <si>
    <t>60 Hours/Year</t>
  </si>
  <si>
    <t>Life STEPS</t>
  </si>
  <si>
    <t>MOU</t>
  </si>
  <si>
    <t>10 Hrs/Week</t>
  </si>
  <si>
    <t>Petty Cash- Supplies</t>
  </si>
  <si>
    <t>Deferred Fees and Costs</t>
  </si>
  <si>
    <t>Variable</t>
  </si>
  <si>
    <t>Recycled Bonds - CSCDA</t>
  </si>
  <si>
    <t>Telephone &amp; Office</t>
  </si>
  <si>
    <t>$500M</t>
  </si>
  <si>
    <t>40%/60% Average Income</t>
  </si>
  <si>
    <t>Administrative GP</t>
  </si>
  <si>
    <t>General Partner</t>
  </si>
  <si>
    <t>Boston Financial / Tax Credit Equity</t>
  </si>
  <si>
    <t>Miscellaneous Fees</t>
  </si>
  <si>
    <t>The sponsor has previously developed affordable housing within the community in which the QRRP will be located in the past 20 years</t>
  </si>
  <si>
    <t>Low Resource</t>
  </si>
  <si>
    <t>805-525-5541</t>
  </si>
  <si>
    <t>Tax Credit Equity</t>
  </si>
  <si>
    <t>Citi Community Capital - Taxable Tail</t>
  </si>
  <si>
    <t>Citi Community Capital - Tax Exempt</t>
  </si>
  <si>
    <t>Tax Exempt</t>
  </si>
  <si>
    <t>Taxable Tail</t>
  </si>
  <si>
    <t>325 E. Hillcrest Dr., Suite 160</t>
  </si>
  <si>
    <t>Thousand Oaks, CA 91360</t>
  </si>
  <si>
    <t>Matt Knipprath</t>
  </si>
  <si>
    <t>805-494-1808</t>
  </si>
  <si>
    <t>Tax- Exempt</t>
  </si>
  <si>
    <t>Kingdom Development, Inc.</t>
  </si>
  <si>
    <t>Southport Financial Services</t>
  </si>
  <si>
    <t>1 Month LIBOR</t>
  </si>
  <si>
    <t>Citi Community Capital - Perm Loan</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</si>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</sst>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3382">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18"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1" fillId="0" borderId="0" xfId="570" applyFont="1" applyAlignment="1" applyProtection="1">
      <alignment horizontal="left" vertical="top" wrapText="1"/>
    </xf>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164" fontId="11" fillId="0" borderId="0" xfId="4496" applyNumberFormat="1" applyFont="1" applyFill="1" applyBorder="1" applyAlignment="1" applyProtection="1">
      <alignment horizontal="left" vertical="top"/>
    </xf>
    <xf numFmtId="164" fontId="11" fillId="0" borderId="0" xfId="4496" applyNumberFormat="1" applyFont="1" applyFill="1" applyBorder="1" applyAlignment="1" applyProtection="1">
      <alignment horizontal="lef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4" fontId="11" fillId="0" borderId="0" xfId="1193" applyNumberFormat="1" applyFont="1" applyFill="1" applyAlignment="1" applyProtection="1">
      <alignment horizontal="left" vertical="top" wrapText="1"/>
    </xf>
    <xf numFmtId="0" fontId="29" fillId="0" borderId="0" xfId="0" applyFont="1" applyFill="1" applyAlignment="1">
      <alignment horizontal="left"/>
    </xf>
    <xf numFmtId="0" fontId="29" fillId="0" borderId="0" xfId="0" applyFont="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4" fontId="11" fillId="0" borderId="0" xfId="1193" applyNumberFormat="1" applyFont="1" applyFill="1" applyAlignment="1" applyProtection="1">
      <alignment horizontal="left"/>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vertical="top" wrapText="1"/>
    </xf>
    <xf numFmtId="0" fontId="11"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1" fillId="0" borderId="0" xfId="0" applyNumberFormat="1" applyFont="1" applyFill="1" applyAlignment="1" applyProtection="1">
      <alignment horizontal="center"/>
    </xf>
    <xf numFmtId="0" fontId="11" fillId="0" borderId="0" xfId="1193" applyFont="1" applyAlignment="1">
      <alignment horizontal="left" wrapText="1"/>
    </xf>
    <xf numFmtId="49" fontId="11" fillId="0" borderId="0" xfId="1193" applyNumberFormat="1" applyFont="1" applyAlignment="1">
      <alignment horizontal="center"/>
    </xf>
    <xf numFmtId="49" fontId="11" fillId="0" borderId="0" xfId="1193" applyNumberFormat="1" applyFont="1" applyFill="1"/>
    <xf numFmtId="49" fontId="11" fillId="0" borderId="0" xfId="1193" applyNumberFormat="1" applyFont="1" applyAlignment="1" applyProtection="1">
      <alignment horizontal="center"/>
    </xf>
    <xf numFmtId="0" fontId="41" fillId="0" borderId="0" xfId="0" applyFont="1" applyAlignment="1">
      <alignment horizontal="left"/>
    </xf>
    <xf numFmtId="49" fontId="11" fillId="0" borderId="0" xfId="0" applyNumberFormat="1" applyFont="1" applyAlignment="1">
      <alignment horizontal="left" vertical="top" wrapText="1"/>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0" fillId="5" borderId="4" xfId="0"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0" fillId="5" borderId="4" xfId="0" applyFill="1" applyBorder="1" applyAlignment="1" applyProtection="1">
      <alignment horizontal="left"/>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59" fillId="0" borderId="0" xfId="570" applyFont="1" applyAlignment="1">
      <alignment horizontal="center"/>
    </xf>
    <xf numFmtId="0" fontId="11" fillId="0" borderId="0" xfId="570" applyAlignment="1"/>
    <xf numFmtId="0" fontId="26" fillId="0" borderId="0" xfId="570" applyFont="1" applyAlignment="1">
      <alignment horizontal="center"/>
    </xf>
    <xf numFmtId="0" fontId="11" fillId="0" borderId="0" xfId="570" applyFont="1" applyAlignment="1">
      <alignment horizontal="left" wrapText="1"/>
    </xf>
    <xf numFmtId="0" fontId="11" fillId="0" borderId="0" xfId="570" applyAlignment="1">
      <alignment horizontal="left" wrapText="1"/>
    </xf>
    <xf numFmtId="0" fontId="11" fillId="0" borderId="0" xfId="1193" applyFont="1" applyAlignment="1">
      <alignment wrapText="1"/>
    </xf>
    <xf numFmtId="0" fontId="11" fillId="0" borderId="0" xfId="1193" applyAlignment="1">
      <alignment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0" fontId="11" fillId="0" borderId="0" xfId="1193" applyFont="1" applyAlignment="1">
      <alignment horizontal="left"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Alignment="1" applyProtection="1">
      <alignment horizontal="center"/>
    </xf>
    <xf numFmtId="0" fontId="11" fillId="0" borderId="0" xfId="570" applyFont="1" applyAlignment="1" applyProtection="1"/>
    <xf numFmtId="0" fontId="29" fillId="0" borderId="0" xfId="570" applyFont="1" applyFill="1" applyAlignment="1">
      <alignment horizontal="center"/>
    </xf>
    <xf numFmtId="0" fontId="11" fillId="0" borderId="0" xfId="570" applyFill="1" applyAlignment="1">
      <alignment horizontal="center"/>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570" applyFont="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lignment horizontal="left" wrapText="1"/>
    </xf>
    <xf numFmtId="0" fontId="11" fillId="0" borderId="0" xfId="1193" applyFont="1" applyAlignment="1" applyProtection="1">
      <alignment vertical="top" wrapText="1"/>
    </xf>
    <xf numFmtId="0" fontId="29" fillId="0" borderId="0" xfId="570" applyFont="1" applyFill="1" applyAlignment="1">
      <alignment horizontal="left"/>
    </xf>
    <xf numFmtId="0" fontId="0" fillId="0" borderId="6" xfId="0" applyFill="1" applyBorder="1" applyAlignment="1" applyProtection="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0" borderId="11" xfId="0" applyFont="1" applyBorder="1" applyAlignment="1" applyProtection="1">
      <alignment horizontal="center"/>
    </xf>
    <xf numFmtId="0" fontId="0" fillId="0" borderId="11" xfId="0"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20" fillId="46"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168" fontId="0" fillId="5" borderId="11"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0" borderId="11"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5" borderId="6" xfId="0"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171" fontId="11" fillId="0" borderId="0" xfId="543" applyNumberFormat="1" applyFont="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0" borderId="6" xfId="0" applyFont="1" applyBorder="1" applyAlignment="1" applyProtection="1">
      <alignment horizontal="center"/>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right"/>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4" xfId="0" applyNumberFormat="1" applyFill="1" applyBorder="1" applyAlignment="1" applyProtection="1">
      <alignment horizontal="center"/>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11" fillId="0" borderId="0" xfId="543" applyNumberFormat="1" applyFont="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9" fontId="11" fillId="5" borderId="3"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20"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20"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1" fontId="0" fillId="5" borderId="6" xfId="0" applyNumberForma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49" fontId="0" fillId="5" borderId="6"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4" fontId="0" fillId="5" borderId="4" xfId="0" applyNumberForma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20" fillId="0" borderId="6" xfId="0" applyFont="1" applyFill="1" applyBorder="1" applyAlignment="1" applyProtection="1">
      <alignment horizontal="left" wrapText="1"/>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20" fillId="5" borderId="6" xfId="0" applyNumberFormat="1" applyFont="1" applyFill="1" applyBorder="1" applyAlignment="1" applyProtection="1">
      <alignment horizontal="left"/>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8" fillId="0" borderId="11" xfId="0" applyFont="1" applyFill="1" applyBorder="1" applyAlignment="1" applyProtection="1">
      <alignment horizontal="center" vertical="top"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180" fontId="0" fillId="0" borderId="6" xfId="0" applyNumberFormat="1" applyFill="1" applyBorder="1" applyAlignment="1" applyProtection="1">
      <alignment horizontal="center"/>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0" fontId="11"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0" borderId="5" xfId="0" applyBorder="1" applyAlignment="1" applyProtection="1">
      <alignment horizontal="left"/>
    </xf>
    <xf numFmtId="178" fontId="20" fillId="5" borderId="4" xfId="0" applyNumberFormat="1" applyFont="1" applyFill="1" applyBorder="1" applyAlignment="1" applyProtection="1">
      <alignment horizontal="right"/>
      <protection locked="0"/>
    </xf>
    <xf numFmtId="0" fontId="30" fillId="5" borderId="6" xfId="0"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0" fontId="117" fillId="5" borderId="6" xfId="4497" applyFont="1" applyFill="1" applyBorder="1" applyAlignment="1" applyProtection="1">
      <alignment horizontal="center"/>
      <protection locked="0"/>
    </xf>
    <xf numFmtId="0" fontId="18" fillId="0" borderId="0" xfId="4496" applyFont="1" applyAlignment="1" applyProtection="1">
      <alignment horizontal="right"/>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0" xfId="4497" applyFont="1" applyAlignment="1">
      <alignment horizontal="left" vertical="center" wrapText="1"/>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 fillId="0" borderId="11" xfId="4496" applyNumberFormat="1" applyFont="1" applyFill="1" applyBorder="1" applyAlignment="1" applyProtection="1">
      <alignment horizontal="center"/>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0" fontId="11" fillId="5" borderId="6" xfId="1193" applyFont="1"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2" xfId="1193" applyNumberFormat="1" applyFill="1" applyBorder="1" applyAlignment="1" applyProtection="1">
      <alignment horizontal="center"/>
      <protection locked="0"/>
    </xf>
    <xf numFmtId="9" fontId="11" fillId="5" borderId="4" xfId="1193" applyNumberFormat="1" applyFont="1" applyFill="1" applyBorder="1" applyAlignment="1" applyProtection="1">
      <alignment horizontal="left"/>
      <protection locked="0"/>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168" fontId="11" fillId="44" borderId="6" xfId="543" applyNumberFormat="1" applyFont="1" applyFill="1" applyBorder="1" applyAlignment="1" applyProtection="1">
      <alignment horizontal="center"/>
      <protection locked="0"/>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5" fillId="5" borderId="6" xfId="4496" applyFill="1" applyBorder="1" applyAlignment="1" applyProtection="1">
      <alignment horizontal="center"/>
      <protection locked="0"/>
    </xf>
    <xf numFmtId="164" fontId="11" fillId="0" borderId="50" xfId="4496" applyNumberFormat="1" applyFont="1" applyFill="1" applyBorder="1" applyAlignment="1" applyProtection="1">
      <alignment horizontal="left" vertical="top" wrapText="1"/>
    </xf>
    <xf numFmtId="164" fontId="11" fillId="0" borderId="51" xfId="4496" applyNumberFormat="1" applyFont="1" applyFill="1" applyBorder="1" applyAlignment="1" applyProtection="1">
      <alignment horizontal="left" vertical="top" wrapText="1"/>
    </xf>
    <xf numFmtId="164" fontId="11" fillId="0" borderId="52" xfId="4496" applyNumberFormat="1" applyFont="1" applyFill="1" applyBorder="1" applyAlignment="1" applyProtection="1">
      <alignment horizontal="left" vertical="top" wrapText="1"/>
    </xf>
    <xf numFmtId="164" fontId="11" fillId="0" borderId="57" xfId="4496" applyNumberFormat="1" applyFont="1" applyFill="1" applyBorder="1" applyAlignment="1" applyProtection="1">
      <alignment horizontal="left" vertical="top" wrapText="1"/>
    </xf>
    <xf numFmtId="164" fontId="11" fillId="0" borderId="58" xfId="4496" applyNumberFormat="1" applyFont="1" applyFill="1" applyBorder="1" applyAlignment="1" applyProtection="1">
      <alignment horizontal="left" vertical="top" wrapText="1"/>
    </xf>
    <xf numFmtId="164" fontId="11" fillId="0" borderId="59" xfId="4496" applyNumberFormat="1"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25" fillId="0" borderId="0" xfId="4496" applyFont="1" applyAlignment="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8" xfId="4496" applyFont="1" applyBorder="1" applyAlignment="1">
      <alignment horizontal="left" vertical="top" wrapText="1"/>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8" fillId="0" borderId="0" xfId="4496" applyFont="1" applyFill="1" applyBorder="1" applyAlignment="1" applyProtection="1">
      <alignment horizontal="center"/>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1" fillId="0" borderId="6" xfId="1193" applyFont="1" applyFill="1" applyBorder="1" applyAlignment="1" applyProtection="1">
      <alignment horizontal="left"/>
    </xf>
    <xf numFmtId="9" fontId="11" fillId="5" borderId="4" xfId="1193" applyNumberFormat="1" applyFill="1" applyBorder="1" applyAlignment="1" applyProtection="1">
      <alignment horizontal="left"/>
      <protection locked="0"/>
    </xf>
    <xf numFmtId="0" fontId="11" fillId="0" borderId="6" xfId="1193" applyFont="1" applyBorder="1" applyAlignment="1" applyProtection="1">
      <alignment horizontal="right"/>
    </xf>
    <xf numFmtId="4" fontId="19" fillId="0" borderId="0" xfId="4496" applyNumberFormat="1" applyFont="1" applyAlignment="1" applyProtection="1">
      <alignment horizontal="center"/>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 fontId="19" fillId="0" borderId="6" xfId="4496" applyNumberFormat="1"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3382">
    <cellStyle name="20% - Accent1" xfId="1" builtinId="30" customBuiltin="1"/>
    <cellStyle name="20% - Accent1 10" xfId="4507" xr:uid="{00000000-0005-0000-0000-000001000000}"/>
    <cellStyle name="20% - Accent1 10 2" xfId="9131" xr:uid="{E0AE9D51-E8B5-46C6-A953-8413D649CBE2}"/>
    <cellStyle name="20% - Accent1 11" xfId="8718" xr:uid="{FC74F5D9-8CD2-44B6-843B-1D736C00EE4E}"/>
    <cellStyle name="20% - Accent1 2" xfId="2" xr:uid="{00000000-0005-0000-0000-000002000000}"/>
    <cellStyle name="20% - Accent1 2 10" xfId="8719" xr:uid="{7F8A411E-9C79-4DBA-91FF-9D8824B67968}"/>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3" xfId="11733" xr:uid="{2A5611D6-14D3-4B6D-9874-6519CC5BB707}"/>
    <cellStyle name="20% - Accent1 2 2 2 2 3" xfId="4924" xr:uid="{00000000-0005-0000-0000-000008000000}"/>
    <cellStyle name="20% - Accent1 2 2 2 2 4" xfId="9587" xr:uid="{1E3A8EA3-32AC-452E-93DD-D4F9D50F7758}"/>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3" xfId="12146" xr:uid="{01C3640F-D3D0-4D9B-9511-16D5F7168E4C}"/>
    <cellStyle name="20% - Accent1 2 2 2 3 3" xfId="5337" xr:uid="{00000000-0005-0000-0000-00000C000000}"/>
    <cellStyle name="20% - Accent1 2 2 2 3 4" xfId="10000" xr:uid="{FE5C5CEA-4D1D-4BB1-A5BA-4B0247D79895}"/>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3" xfId="12559" xr:uid="{1E380382-5545-47E1-81AC-B2C1EC6BF08F}"/>
    <cellStyle name="20% - Accent1 2 2 2 4 3" xfId="5750" xr:uid="{00000000-0005-0000-0000-000010000000}"/>
    <cellStyle name="20% - Accent1 2 2 2 4 4" xfId="10414" xr:uid="{970C709B-3218-4545-807F-A34D473FFA99}"/>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3" xfId="12972" xr:uid="{F7F58907-7926-482E-AA36-C57609CFE281}"/>
    <cellStyle name="20% - Accent1 2 2 2 5 3" xfId="6163" xr:uid="{00000000-0005-0000-0000-000014000000}"/>
    <cellStyle name="20% - Accent1 2 2 2 5 4" xfId="10827" xr:uid="{A06E3A7C-CC22-4FFB-821C-E66C0259E00A}"/>
    <cellStyle name="20% - Accent1 2 2 2 6" xfId="2268" xr:uid="{00000000-0005-0000-0000-000015000000}"/>
    <cellStyle name="20% - Accent1 2 2 2 6 2" xfId="6576" xr:uid="{00000000-0005-0000-0000-000016000000}"/>
    <cellStyle name="20% - Accent1 2 2 2 6 3" xfId="11240" xr:uid="{589D8BA9-1437-48FD-8E45-63742A7E208D}"/>
    <cellStyle name="20% - Accent1 2 2 2 7" xfId="4510" xr:uid="{00000000-0005-0000-0000-000017000000}"/>
    <cellStyle name="20% - Accent1 2 2 2 7 2" xfId="9134" xr:uid="{0E1A009B-1FEA-44D3-A3B0-2EC23D507FB3}"/>
    <cellStyle name="20% - Accent1 2 2 2 8" xfId="8721" xr:uid="{C66609AD-0ED6-42DC-B45A-8A606EA95532}"/>
    <cellStyle name="20% - Accent1 2 2 3" xfId="573" xr:uid="{00000000-0005-0000-0000-000018000000}"/>
    <cellStyle name="20% - Accent1 2 2 3 2" xfId="2844" xr:uid="{00000000-0005-0000-0000-000019000000}"/>
    <cellStyle name="20% - Accent1 2 2 3 2 2" xfId="7068" xr:uid="{00000000-0005-0000-0000-00001A000000}"/>
    <cellStyle name="20% - Accent1 2 2 3 2 3" xfId="11732" xr:uid="{294967AF-5AE9-4704-B594-E899037B0A50}"/>
    <cellStyle name="20% - Accent1 2 2 3 3" xfId="4923" xr:uid="{00000000-0005-0000-0000-00001B000000}"/>
    <cellStyle name="20% - Accent1 2 2 3 4" xfId="9586" xr:uid="{40FD41FE-C6EF-4A19-8453-272169104EA9}"/>
    <cellStyle name="20% - Accent1 2 2 4" xfId="1026" xr:uid="{00000000-0005-0000-0000-00001C000000}"/>
    <cellStyle name="20% - Accent1 2 2 4 2" xfId="3257" xr:uid="{00000000-0005-0000-0000-00001D000000}"/>
    <cellStyle name="20% - Accent1 2 2 4 2 2" xfId="7481" xr:uid="{00000000-0005-0000-0000-00001E000000}"/>
    <cellStyle name="20% - Accent1 2 2 4 2 3" xfId="12145" xr:uid="{3CC1D966-7E06-4518-B89F-6B9012C058AA}"/>
    <cellStyle name="20% - Accent1 2 2 4 3" xfId="5336" xr:uid="{00000000-0005-0000-0000-00001F000000}"/>
    <cellStyle name="20% - Accent1 2 2 4 4" xfId="9999" xr:uid="{84C98A22-FA94-4575-97AD-50E2F7D23447}"/>
    <cellStyle name="20% - Accent1 2 2 5" xfId="1440" xr:uid="{00000000-0005-0000-0000-000020000000}"/>
    <cellStyle name="20% - Accent1 2 2 5 2" xfId="3670" xr:uid="{00000000-0005-0000-0000-000021000000}"/>
    <cellStyle name="20% - Accent1 2 2 5 2 2" xfId="7894" xr:uid="{00000000-0005-0000-0000-000022000000}"/>
    <cellStyle name="20% - Accent1 2 2 5 2 3" xfId="12558" xr:uid="{293CAD83-95A4-481F-8458-DD941E26CB28}"/>
    <cellStyle name="20% - Accent1 2 2 5 3" xfId="5749" xr:uid="{00000000-0005-0000-0000-000023000000}"/>
    <cellStyle name="20% - Accent1 2 2 5 4" xfId="10413" xr:uid="{8C42D72A-FF6C-47B4-B312-88B5E2087C80}"/>
    <cellStyle name="20% - Accent1 2 2 6" xfId="1854" xr:uid="{00000000-0005-0000-0000-000024000000}"/>
    <cellStyle name="20% - Accent1 2 2 6 2" xfId="4083" xr:uid="{00000000-0005-0000-0000-000025000000}"/>
    <cellStyle name="20% - Accent1 2 2 6 2 2" xfId="8307" xr:uid="{00000000-0005-0000-0000-000026000000}"/>
    <cellStyle name="20% - Accent1 2 2 6 2 3" xfId="12971" xr:uid="{238E3C9D-0CD0-4020-BEBF-CBA350B7FFF9}"/>
    <cellStyle name="20% - Accent1 2 2 6 3" xfId="6162" xr:uid="{00000000-0005-0000-0000-000027000000}"/>
    <cellStyle name="20% - Accent1 2 2 6 4" xfId="10826" xr:uid="{3F711DF3-B828-4D51-BE05-647F941EBFBD}"/>
    <cellStyle name="20% - Accent1 2 2 7" xfId="2267" xr:uid="{00000000-0005-0000-0000-000028000000}"/>
    <cellStyle name="20% - Accent1 2 2 7 2" xfId="6575" xr:uid="{00000000-0005-0000-0000-000029000000}"/>
    <cellStyle name="20% - Accent1 2 2 7 3" xfId="11239" xr:uid="{D152492A-1B75-4C50-A652-898800D2B9DA}"/>
    <cellStyle name="20% - Accent1 2 2 8" xfId="4509" xr:uid="{00000000-0005-0000-0000-00002A000000}"/>
    <cellStyle name="20% - Accent1 2 2 8 2" xfId="9133" xr:uid="{A88CC744-00C1-4FB1-AAD2-5DE9FC542B6A}"/>
    <cellStyle name="20% - Accent1 2 2 9" xfId="8720" xr:uid="{C5402EE8-4B2B-4728-85EB-5B60027BF797}"/>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3" xfId="11734" xr:uid="{1AB4C992-3DDF-4888-B283-D778FD36F1BD}"/>
    <cellStyle name="20% - Accent1 2 3 2 3" xfId="4925" xr:uid="{00000000-0005-0000-0000-00002F000000}"/>
    <cellStyle name="20% - Accent1 2 3 2 4" xfId="9588" xr:uid="{B674D36F-20E3-41FC-8DB6-4BCFE1C5F98C}"/>
    <cellStyle name="20% - Accent1 2 3 3" xfId="1028" xr:uid="{00000000-0005-0000-0000-000030000000}"/>
    <cellStyle name="20% - Accent1 2 3 3 2" xfId="3259" xr:uid="{00000000-0005-0000-0000-000031000000}"/>
    <cellStyle name="20% - Accent1 2 3 3 2 2" xfId="7483" xr:uid="{00000000-0005-0000-0000-000032000000}"/>
    <cellStyle name="20% - Accent1 2 3 3 2 3" xfId="12147" xr:uid="{9CAE6B25-283F-4C59-937F-312096AC215C}"/>
    <cellStyle name="20% - Accent1 2 3 3 3" xfId="5338" xr:uid="{00000000-0005-0000-0000-000033000000}"/>
    <cellStyle name="20% - Accent1 2 3 3 4" xfId="10001" xr:uid="{FE6F9C8E-6160-4586-9D88-8050BD2C2212}"/>
    <cellStyle name="20% - Accent1 2 3 4" xfId="1442" xr:uid="{00000000-0005-0000-0000-000034000000}"/>
    <cellStyle name="20% - Accent1 2 3 4 2" xfId="3672" xr:uid="{00000000-0005-0000-0000-000035000000}"/>
    <cellStyle name="20% - Accent1 2 3 4 2 2" xfId="7896" xr:uid="{00000000-0005-0000-0000-000036000000}"/>
    <cellStyle name="20% - Accent1 2 3 4 2 3" xfId="12560" xr:uid="{7A00670D-65AB-4BBD-9341-922776CFB026}"/>
    <cellStyle name="20% - Accent1 2 3 4 3" xfId="5751" xr:uid="{00000000-0005-0000-0000-000037000000}"/>
    <cellStyle name="20% - Accent1 2 3 4 4" xfId="10415" xr:uid="{6D117772-C5A2-4817-A7A2-C171D5C3BEC9}"/>
    <cellStyle name="20% - Accent1 2 3 5" xfId="1856" xr:uid="{00000000-0005-0000-0000-000038000000}"/>
    <cellStyle name="20% - Accent1 2 3 5 2" xfId="4085" xr:uid="{00000000-0005-0000-0000-000039000000}"/>
    <cellStyle name="20% - Accent1 2 3 5 2 2" xfId="8309" xr:uid="{00000000-0005-0000-0000-00003A000000}"/>
    <cellStyle name="20% - Accent1 2 3 5 2 3" xfId="12973" xr:uid="{7C5A6E39-3D4F-43E9-8D8A-8936DF72946E}"/>
    <cellStyle name="20% - Accent1 2 3 5 3" xfId="6164" xr:uid="{00000000-0005-0000-0000-00003B000000}"/>
    <cellStyle name="20% - Accent1 2 3 5 4" xfId="10828" xr:uid="{E2B9DFEA-1D1B-4EC7-A44F-602F33EF2924}"/>
    <cellStyle name="20% - Accent1 2 3 6" xfId="2269" xr:uid="{00000000-0005-0000-0000-00003C000000}"/>
    <cellStyle name="20% - Accent1 2 3 6 2" xfId="6577" xr:uid="{00000000-0005-0000-0000-00003D000000}"/>
    <cellStyle name="20% - Accent1 2 3 6 3" xfId="11241" xr:uid="{A2F17B4E-E189-4F4A-9C8E-BD32EE00778D}"/>
    <cellStyle name="20% - Accent1 2 3 7" xfId="4511" xr:uid="{00000000-0005-0000-0000-00003E000000}"/>
    <cellStyle name="20% - Accent1 2 3 7 2" xfId="9135" xr:uid="{15E4FF7D-6C08-4B8F-845A-3B715BA7A5D4}"/>
    <cellStyle name="20% - Accent1 2 3 8" xfId="8722" xr:uid="{5E8BE21F-79EB-4CDD-A199-DE049DA2CF80}"/>
    <cellStyle name="20% - Accent1 2 4" xfId="572" xr:uid="{00000000-0005-0000-0000-00003F000000}"/>
    <cellStyle name="20% - Accent1 2 4 2" xfId="2843" xr:uid="{00000000-0005-0000-0000-000040000000}"/>
    <cellStyle name="20% - Accent1 2 4 2 2" xfId="7067" xr:uid="{00000000-0005-0000-0000-000041000000}"/>
    <cellStyle name="20% - Accent1 2 4 2 3" xfId="11731" xr:uid="{ED77099B-F8FB-447D-BB51-E4D467DFFACF}"/>
    <cellStyle name="20% - Accent1 2 4 3" xfId="4922" xr:uid="{00000000-0005-0000-0000-000042000000}"/>
    <cellStyle name="20% - Accent1 2 4 4" xfId="9585" xr:uid="{D07C7FBC-F184-40D1-9E23-010D0BBDEBD1}"/>
    <cellStyle name="20% - Accent1 2 5" xfId="1025" xr:uid="{00000000-0005-0000-0000-000043000000}"/>
    <cellStyle name="20% - Accent1 2 5 2" xfId="3256" xr:uid="{00000000-0005-0000-0000-000044000000}"/>
    <cellStyle name="20% - Accent1 2 5 2 2" xfId="7480" xr:uid="{00000000-0005-0000-0000-000045000000}"/>
    <cellStyle name="20% - Accent1 2 5 2 3" xfId="12144" xr:uid="{1A5A0435-4489-46D8-98A5-89ACBEA1E05A}"/>
    <cellStyle name="20% - Accent1 2 5 3" xfId="5335" xr:uid="{00000000-0005-0000-0000-000046000000}"/>
    <cellStyle name="20% - Accent1 2 5 4" xfId="9998" xr:uid="{ECB3C7CB-CF28-489E-A9F2-739C69C8F149}"/>
    <cellStyle name="20% - Accent1 2 6" xfId="1439" xr:uid="{00000000-0005-0000-0000-000047000000}"/>
    <cellStyle name="20% - Accent1 2 6 2" xfId="3669" xr:uid="{00000000-0005-0000-0000-000048000000}"/>
    <cellStyle name="20% - Accent1 2 6 2 2" xfId="7893" xr:uid="{00000000-0005-0000-0000-000049000000}"/>
    <cellStyle name="20% - Accent1 2 6 2 3" xfId="12557" xr:uid="{FD843264-189E-4522-BF43-06A824E5EE31}"/>
    <cellStyle name="20% - Accent1 2 6 3" xfId="5748" xr:uid="{00000000-0005-0000-0000-00004A000000}"/>
    <cellStyle name="20% - Accent1 2 6 4" xfId="10412" xr:uid="{67F009F1-B58D-4A99-A9C4-A9256AAA9E12}"/>
    <cellStyle name="20% - Accent1 2 7" xfId="1853" xr:uid="{00000000-0005-0000-0000-00004B000000}"/>
    <cellStyle name="20% - Accent1 2 7 2" xfId="4082" xr:uid="{00000000-0005-0000-0000-00004C000000}"/>
    <cellStyle name="20% - Accent1 2 7 2 2" xfId="8306" xr:uid="{00000000-0005-0000-0000-00004D000000}"/>
    <cellStyle name="20% - Accent1 2 7 2 3" xfId="12970" xr:uid="{6D22D385-A1DD-45FC-9D3D-D6E01161A3FE}"/>
    <cellStyle name="20% - Accent1 2 7 3" xfId="6161" xr:uid="{00000000-0005-0000-0000-00004E000000}"/>
    <cellStyle name="20% - Accent1 2 7 4" xfId="10825" xr:uid="{55A2B997-2DE7-4175-804E-D0CD0BC02419}"/>
    <cellStyle name="20% - Accent1 2 8" xfId="2266" xr:uid="{00000000-0005-0000-0000-00004F000000}"/>
    <cellStyle name="20% - Accent1 2 8 2" xfId="6574" xr:uid="{00000000-0005-0000-0000-000050000000}"/>
    <cellStyle name="20% - Accent1 2 8 3" xfId="11238" xr:uid="{86447C3A-C8D9-47A4-AC5F-3A488A1172D9}"/>
    <cellStyle name="20% - Accent1 2 9" xfId="4508" xr:uid="{00000000-0005-0000-0000-000051000000}"/>
    <cellStyle name="20% - Accent1 2 9 2" xfId="9132" xr:uid="{F680D8BA-17BD-4BFF-BAD7-7829C625848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3" xfId="11736" xr:uid="{73B78970-DCA1-4E50-AC50-31FAE0BA7358}"/>
    <cellStyle name="20% - Accent1 3 2 2 3" xfId="4927" xr:uid="{00000000-0005-0000-0000-000057000000}"/>
    <cellStyle name="20% - Accent1 3 2 2 4" xfId="9590" xr:uid="{D50C29FF-638B-4DEC-89F9-5C807B79273B}"/>
    <cellStyle name="20% - Accent1 3 2 3" xfId="1030" xr:uid="{00000000-0005-0000-0000-000058000000}"/>
    <cellStyle name="20% - Accent1 3 2 3 2" xfId="3261" xr:uid="{00000000-0005-0000-0000-000059000000}"/>
    <cellStyle name="20% - Accent1 3 2 3 2 2" xfId="7485" xr:uid="{00000000-0005-0000-0000-00005A000000}"/>
    <cellStyle name="20% - Accent1 3 2 3 2 3" xfId="12149" xr:uid="{3195389E-EA42-4FAD-BDEC-740C4E92800C}"/>
    <cellStyle name="20% - Accent1 3 2 3 3" xfId="5340" xr:uid="{00000000-0005-0000-0000-00005B000000}"/>
    <cellStyle name="20% - Accent1 3 2 3 4" xfId="10003" xr:uid="{9C5CF017-861A-430C-8D3B-755B5A56545C}"/>
    <cellStyle name="20% - Accent1 3 2 4" xfId="1444" xr:uid="{00000000-0005-0000-0000-00005C000000}"/>
    <cellStyle name="20% - Accent1 3 2 4 2" xfId="3674" xr:uid="{00000000-0005-0000-0000-00005D000000}"/>
    <cellStyle name="20% - Accent1 3 2 4 2 2" xfId="7898" xr:uid="{00000000-0005-0000-0000-00005E000000}"/>
    <cellStyle name="20% - Accent1 3 2 4 2 3" xfId="12562" xr:uid="{2A5FE77F-9D7D-4C09-A057-882693E8C999}"/>
    <cellStyle name="20% - Accent1 3 2 4 3" xfId="5753" xr:uid="{00000000-0005-0000-0000-00005F000000}"/>
    <cellStyle name="20% - Accent1 3 2 4 4" xfId="10417" xr:uid="{879A9CB5-1057-48C7-A171-3F523AAD4B8B}"/>
    <cellStyle name="20% - Accent1 3 2 5" xfId="1858" xr:uid="{00000000-0005-0000-0000-000060000000}"/>
    <cellStyle name="20% - Accent1 3 2 5 2" xfId="4087" xr:uid="{00000000-0005-0000-0000-000061000000}"/>
    <cellStyle name="20% - Accent1 3 2 5 2 2" xfId="8311" xr:uid="{00000000-0005-0000-0000-000062000000}"/>
    <cellStyle name="20% - Accent1 3 2 5 2 3" xfId="12975" xr:uid="{084B3C75-1F41-4535-8EEA-B3C1209B6842}"/>
    <cellStyle name="20% - Accent1 3 2 5 3" xfId="6166" xr:uid="{00000000-0005-0000-0000-000063000000}"/>
    <cellStyle name="20% - Accent1 3 2 5 4" xfId="10830" xr:uid="{95BFA743-F5B4-4091-811B-F5A2D2BC5EB7}"/>
    <cellStyle name="20% - Accent1 3 2 6" xfId="2271" xr:uid="{00000000-0005-0000-0000-000064000000}"/>
    <cellStyle name="20% - Accent1 3 2 6 2" xfId="6579" xr:uid="{00000000-0005-0000-0000-000065000000}"/>
    <cellStyle name="20% - Accent1 3 2 6 3" xfId="11243" xr:uid="{DF68BB9F-9999-4B33-BD61-5945C6C660BE}"/>
    <cellStyle name="20% - Accent1 3 2 7" xfId="4513" xr:uid="{00000000-0005-0000-0000-000066000000}"/>
    <cellStyle name="20% - Accent1 3 2 7 2" xfId="9137" xr:uid="{CA4405E9-1179-4187-9271-44F8A04FD30C}"/>
    <cellStyle name="20% - Accent1 3 2 8" xfId="8724" xr:uid="{1674D441-6DE4-4C6D-A090-E171CC940AC8}"/>
    <cellStyle name="20% - Accent1 3 3" xfId="576" xr:uid="{00000000-0005-0000-0000-000067000000}"/>
    <cellStyle name="20% - Accent1 3 3 2" xfId="2847" xr:uid="{00000000-0005-0000-0000-000068000000}"/>
    <cellStyle name="20% - Accent1 3 3 2 2" xfId="7071" xr:uid="{00000000-0005-0000-0000-000069000000}"/>
    <cellStyle name="20% - Accent1 3 3 2 3" xfId="11735" xr:uid="{59A8D3A0-02D6-472D-BBE5-0D824606932C}"/>
    <cellStyle name="20% - Accent1 3 3 3" xfId="4926" xr:uid="{00000000-0005-0000-0000-00006A000000}"/>
    <cellStyle name="20% - Accent1 3 3 4" xfId="9589" xr:uid="{6B7BDFDE-2623-4411-BF3D-F8E3ACAACF97}"/>
    <cellStyle name="20% - Accent1 3 4" xfId="1029" xr:uid="{00000000-0005-0000-0000-00006B000000}"/>
    <cellStyle name="20% - Accent1 3 4 2" xfId="3260" xr:uid="{00000000-0005-0000-0000-00006C000000}"/>
    <cellStyle name="20% - Accent1 3 4 2 2" xfId="7484" xr:uid="{00000000-0005-0000-0000-00006D000000}"/>
    <cellStyle name="20% - Accent1 3 4 2 3" xfId="12148" xr:uid="{9BD28D4D-290B-45D4-B4A3-A7C967C6C4DB}"/>
    <cellStyle name="20% - Accent1 3 4 3" xfId="5339" xr:uid="{00000000-0005-0000-0000-00006E000000}"/>
    <cellStyle name="20% - Accent1 3 4 4" xfId="10002" xr:uid="{43B6AA62-92AF-482E-BDBB-B481C71139D6}"/>
    <cellStyle name="20% - Accent1 3 5" xfId="1443" xr:uid="{00000000-0005-0000-0000-00006F000000}"/>
    <cellStyle name="20% - Accent1 3 5 2" xfId="3673" xr:uid="{00000000-0005-0000-0000-000070000000}"/>
    <cellStyle name="20% - Accent1 3 5 2 2" xfId="7897" xr:uid="{00000000-0005-0000-0000-000071000000}"/>
    <cellStyle name="20% - Accent1 3 5 2 3" xfId="12561" xr:uid="{DA16E6F4-5C76-4548-89A7-606AE3AF888B}"/>
    <cellStyle name="20% - Accent1 3 5 3" xfId="5752" xr:uid="{00000000-0005-0000-0000-000072000000}"/>
    <cellStyle name="20% - Accent1 3 5 4" xfId="10416" xr:uid="{FCC9CD54-3583-4D1B-8932-4E3AA44E151E}"/>
    <cellStyle name="20% - Accent1 3 6" xfId="1857" xr:uid="{00000000-0005-0000-0000-000073000000}"/>
    <cellStyle name="20% - Accent1 3 6 2" xfId="4086" xr:uid="{00000000-0005-0000-0000-000074000000}"/>
    <cellStyle name="20% - Accent1 3 6 2 2" xfId="8310" xr:uid="{00000000-0005-0000-0000-000075000000}"/>
    <cellStyle name="20% - Accent1 3 6 2 3" xfId="12974" xr:uid="{26782652-FE1E-4F54-89FF-59869A990892}"/>
    <cellStyle name="20% - Accent1 3 6 3" xfId="6165" xr:uid="{00000000-0005-0000-0000-000076000000}"/>
    <cellStyle name="20% - Accent1 3 6 4" xfId="10829" xr:uid="{1BFC2D3A-5EA9-4DE6-B027-4C7AC27831B4}"/>
    <cellStyle name="20% - Accent1 3 7" xfId="2270" xr:uid="{00000000-0005-0000-0000-000077000000}"/>
    <cellStyle name="20% - Accent1 3 7 2" xfId="6578" xr:uid="{00000000-0005-0000-0000-000078000000}"/>
    <cellStyle name="20% - Accent1 3 7 3" xfId="11242" xr:uid="{C90A41D0-83B0-41FA-88FA-E481CEBB4895}"/>
    <cellStyle name="20% - Accent1 3 8" xfId="4512" xr:uid="{00000000-0005-0000-0000-000079000000}"/>
    <cellStyle name="20% - Accent1 3 8 2" xfId="9136" xr:uid="{A297808C-922F-4763-AE8D-37D727433B90}"/>
    <cellStyle name="20% - Accent1 3 9" xfId="8723" xr:uid="{9117B0EE-E2D4-46CC-8DB7-3DB341DE69F1}"/>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3" xfId="11737" xr:uid="{8E7FB78D-E8F3-4F59-9465-752598C5BAF9}"/>
    <cellStyle name="20% - Accent1 4 2 3" xfId="4928" xr:uid="{00000000-0005-0000-0000-00007E000000}"/>
    <cellStyle name="20% - Accent1 4 2 4" xfId="9591" xr:uid="{042F0C7F-E0CF-49F8-B5C9-301A44FB1ACF}"/>
    <cellStyle name="20% - Accent1 4 3" xfId="1031" xr:uid="{00000000-0005-0000-0000-00007F000000}"/>
    <cellStyle name="20% - Accent1 4 3 2" xfId="3262" xr:uid="{00000000-0005-0000-0000-000080000000}"/>
    <cellStyle name="20% - Accent1 4 3 2 2" xfId="7486" xr:uid="{00000000-0005-0000-0000-000081000000}"/>
    <cellStyle name="20% - Accent1 4 3 2 3" xfId="12150" xr:uid="{A75E6D60-E8C6-4DBB-A23A-BAA50203AB3C}"/>
    <cellStyle name="20% - Accent1 4 3 3" xfId="5341" xr:uid="{00000000-0005-0000-0000-000082000000}"/>
    <cellStyle name="20% - Accent1 4 3 4" xfId="10004" xr:uid="{5DAEC89E-52D3-4925-B83A-6C7F552DF464}"/>
    <cellStyle name="20% - Accent1 4 4" xfId="1445" xr:uid="{00000000-0005-0000-0000-000083000000}"/>
    <cellStyle name="20% - Accent1 4 4 2" xfId="3675" xr:uid="{00000000-0005-0000-0000-000084000000}"/>
    <cellStyle name="20% - Accent1 4 4 2 2" xfId="7899" xr:uid="{00000000-0005-0000-0000-000085000000}"/>
    <cellStyle name="20% - Accent1 4 4 2 3" xfId="12563" xr:uid="{A02B8A80-21FE-466A-A9BF-1356353CDA96}"/>
    <cellStyle name="20% - Accent1 4 4 3" xfId="5754" xr:uid="{00000000-0005-0000-0000-000086000000}"/>
    <cellStyle name="20% - Accent1 4 4 4" xfId="10418" xr:uid="{A0BF4411-6C85-4411-9246-AB8F67E90CF1}"/>
    <cellStyle name="20% - Accent1 4 5" xfId="1859" xr:uid="{00000000-0005-0000-0000-000087000000}"/>
    <cellStyle name="20% - Accent1 4 5 2" xfId="4088" xr:uid="{00000000-0005-0000-0000-000088000000}"/>
    <cellStyle name="20% - Accent1 4 5 2 2" xfId="8312" xr:uid="{00000000-0005-0000-0000-000089000000}"/>
    <cellStyle name="20% - Accent1 4 5 2 3" xfId="12976" xr:uid="{8A5A0E43-1F09-42FF-BEC9-2CE25B4FB5EC}"/>
    <cellStyle name="20% - Accent1 4 5 3" xfId="6167" xr:uid="{00000000-0005-0000-0000-00008A000000}"/>
    <cellStyle name="20% - Accent1 4 5 4" xfId="10831" xr:uid="{001727CC-D376-4F2D-B022-FE435A510487}"/>
    <cellStyle name="20% - Accent1 4 6" xfId="2272" xr:uid="{00000000-0005-0000-0000-00008B000000}"/>
    <cellStyle name="20% - Accent1 4 6 2" xfId="6580" xr:uid="{00000000-0005-0000-0000-00008C000000}"/>
    <cellStyle name="20% - Accent1 4 6 3" xfId="11244" xr:uid="{2CE2AF1C-1C6C-4433-8F5E-B26B390C8DE0}"/>
    <cellStyle name="20% - Accent1 4 7" xfId="4514" xr:uid="{00000000-0005-0000-0000-00008D000000}"/>
    <cellStyle name="20% - Accent1 4 7 2" xfId="9138" xr:uid="{9151DF29-A69F-489D-A5B4-A781A7F059BB}"/>
    <cellStyle name="20% - Accent1 4 8" xfId="8725" xr:uid="{B6114723-866A-4EAD-A0C7-9315EBE8B53C}"/>
    <cellStyle name="20% - Accent1 5" xfId="571" xr:uid="{00000000-0005-0000-0000-00008E000000}"/>
    <cellStyle name="20% - Accent1 5 2" xfId="2842" xr:uid="{00000000-0005-0000-0000-00008F000000}"/>
    <cellStyle name="20% - Accent1 5 2 2" xfId="7066" xr:uid="{00000000-0005-0000-0000-000090000000}"/>
    <cellStyle name="20% - Accent1 5 2 3" xfId="11730" xr:uid="{DDC3F89E-4B65-497B-96C1-006D79467607}"/>
    <cellStyle name="20% - Accent1 5 3" xfId="4921" xr:uid="{00000000-0005-0000-0000-000091000000}"/>
    <cellStyle name="20% - Accent1 5 4" xfId="9584" xr:uid="{9288F0B1-39BD-4C20-82F0-EA99A69EF917}"/>
    <cellStyle name="20% - Accent1 6" xfId="1024" xr:uid="{00000000-0005-0000-0000-000092000000}"/>
    <cellStyle name="20% - Accent1 6 2" xfId="3255" xr:uid="{00000000-0005-0000-0000-000093000000}"/>
    <cellStyle name="20% - Accent1 6 2 2" xfId="7479" xr:uid="{00000000-0005-0000-0000-000094000000}"/>
    <cellStyle name="20% - Accent1 6 2 3" xfId="12143" xr:uid="{B7979670-ED35-4F0B-9875-A12005D3A59F}"/>
    <cellStyle name="20% - Accent1 6 3" xfId="5334" xr:uid="{00000000-0005-0000-0000-000095000000}"/>
    <cellStyle name="20% - Accent1 6 4" xfId="9997" xr:uid="{501C1A45-15F4-49D8-A241-71F2ABE3A2BD}"/>
    <cellStyle name="20% - Accent1 7" xfId="1438" xr:uid="{00000000-0005-0000-0000-000096000000}"/>
    <cellStyle name="20% - Accent1 7 2" xfId="3668" xr:uid="{00000000-0005-0000-0000-000097000000}"/>
    <cellStyle name="20% - Accent1 7 2 2" xfId="7892" xr:uid="{00000000-0005-0000-0000-000098000000}"/>
    <cellStyle name="20% - Accent1 7 2 3" xfId="12556" xr:uid="{2EA3954D-037E-4BAE-A0E4-66C970EFDA34}"/>
    <cellStyle name="20% - Accent1 7 3" xfId="5747" xr:uid="{00000000-0005-0000-0000-000099000000}"/>
    <cellStyle name="20% - Accent1 7 4" xfId="10411" xr:uid="{22E634B2-5B55-4FF2-8375-00B6542DEE37}"/>
    <cellStyle name="20% - Accent1 8" xfId="1852" xr:uid="{00000000-0005-0000-0000-00009A000000}"/>
    <cellStyle name="20% - Accent1 8 2" xfId="4081" xr:uid="{00000000-0005-0000-0000-00009B000000}"/>
    <cellStyle name="20% - Accent1 8 2 2" xfId="8305" xr:uid="{00000000-0005-0000-0000-00009C000000}"/>
    <cellStyle name="20% - Accent1 8 2 3" xfId="12969" xr:uid="{3EEF4C57-C63F-4594-8BFE-550F1067D35A}"/>
    <cellStyle name="20% - Accent1 8 3" xfId="6160" xr:uid="{00000000-0005-0000-0000-00009D000000}"/>
    <cellStyle name="20% - Accent1 8 4" xfId="10824" xr:uid="{6076E04B-3C94-43DA-9D82-5877A8945E67}"/>
    <cellStyle name="20% - Accent1 9" xfId="2265" xr:uid="{00000000-0005-0000-0000-00009E000000}"/>
    <cellStyle name="20% - Accent1 9 2" xfId="6573" xr:uid="{00000000-0005-0000-0000-00009F000000}"/>
    <cellStyle name="20% - Accent1 9 3" xfId="11237" xr:uid="{C21396F6-BDCE-41E0-80F4-1FEA162B4E1D}"/>
    <cellStyle name="20% - Accent2" xfId="9" builtinId="34" customBuiltin="1"/>
    <cellStyle name="20% - Accent2 10" xfId="4515" xr:uid="{00000000-0005-0000-0000-0000A1000000}"/>
    <cellStyle name="20% - Accent2 10 2" xfId="9139" xr:uid="{4C055B9D-6E2D-49DF-AA0B-1AF14DD3FBC2}"/>
    <cellStyle name="20% - Accent2 11" xfId="8726" xr:uid="{8674FE61-A7FD-4D86-82F3-4845DC25FAFF}"/>
    <cellStyle name="20% - Accent2 2" xfId="10" xr:uid="{00000000-0005-0000-0000-0000A2000000}"/>
    <cellStyle name="20% - Accent2 2 10" xfId="8727" xr:uid="{C22B6D78-1820-4435-8539-91AF6D72C84B}"/>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3" xfId="11741" xr:uid="{0E20F067-5EE7-49AA-8617-4F260C321D7C}"/>
    <cellStyle name="20% - Accent2 2 2 2 2 3" xfId="4932" xr:uid="{00000000-0005-0000-0000-0000A8000000}"/>
    <cellStyle name="20% - Accent2 2 2 2 2 4" xfId="9595" xr:uid="{E7A0EBD4-CB53-40C9-8930-5D8585A1010C}"/>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3" xfId="12154" xr:uid="{104B56B1-4705-4A82-B152-DF224F63E545}"/>
    <cellStyle name="20% - Accent2 2 2 2 3 3" xfId="5345" xr:uid="{00000000-0005-0000-0000-0000AC000000}"/>
    <cellStyle name="20% - Accent2 2 2 2 3 4" xfId="10008" xr:uid="{8F9D6587-B496-46C1-B13C-5AA93BB2D93D}"/>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3" xfId="12567" xr:uid="{512CB9CC-AA59-4C57-B2AD-59977B362937}"/>
    <cellStyle name="20% - Accent2 2 2 2 4 3" xfId="5758" xr:uid="{00000000-0005-0000-0000-0000B0000000}"/>
    <cellStyle name="20% - Accent2 2 2 2 4 4" xfId="10422" xr:uid="{88542190-44DA-4CE7-8353-AD778BA8219C}"/>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3" xfId="12980" xr:uid="{EB269CB3-DFB6-4796-8390-AF01FBE17FF7}"/>
    <cellStyle name="20% - Accent2 2 2 2 5 3" xfId="6171" xr:uid="{00000000-0005-0000-0000-0000B4000000}"/>
    <cellStyle name="20% - Accent2 2 2 2 5 4" xfId="10835" xr:uid="{842DD2BD-82D2-42BA-A3C8-36C71FAFFE0C}"/>
    <cellStyle name="20% - Accent2 2 2 2 6" xfId="2276" xr:uid="{00000000-0005-0000-0000-0000B5000000}"/>
    <cellStyle name="20% - Accent2 2 2 2 6 2" xfId="6584" xr:uid="{00000000-0005-0000-0000-0000B6000000}"/>
    <cellStyle name="20% - Accent2 2 2 2 6 3" xfId="11248" xr:uid="{42A52E8A-86A3-4A37-A266-E5D867F0B419}"/>
    <cellStyle name="20% - Accent2 2 2 2 7" xfId="4518" xr:uid="{00000000-0005-0000-0000-0000B7000000}"/>
    <cellStyle name="20% - Accent2 2 2 2 7 2" xfId="9142" xr:uid="{4F0FAC4A-A6B9-4F0D-8D77-DE1CA7DAA253}"/>
    <cellStyle name="20% - Accent2 2 2 2 8" xfId="8729" xr:uid="{55349D26-59D0-4A40-8157-C588374950E1}"/>
    <cellStyle name="20% - Accent2 2 2 3" xfId="581" xr:uid="{00000000-0005-0000-0000-0000B8000000}"/>
    <cellStyle name="20% - Accent2 2 2 3 2" xfId="2852" xr:uid="{00000000-0005-0000-0000-0000B9000000}"/>
    <cellStyle name="20% - Accent2 2 2 3 2 2" xfId="7076" xr:uid="{00000000-0005-0000-0000-0000BA000000}"/>
    <cellStyle name="20% - Accent2 2 2 3 2 3" xfId="11740" xr:uid="{52039F19-B1CC-4A85-96B3-B5E64BED8537}"/>
    <cellStyle name="20% - Accent2 2 2 3 3" xfId="4931" xr:uid="{00000000-0005-0000-0000-0000BB000000}"/>
    <cellStyle name="20% - Accent2 2 2 3 4" xfId="9594" xr:uid="{7C1D8D6C-01C9-49CE-9CE2-02179B58CD34}"/>
    <cellStyle name="20% - Accent2 2 2 4" xfId="1034" xr:uid="{00000000-0005-0000-0000-0000BC000000}"/>
    <cellStyle name="20% - Accent2 2 2 4 2" xfId="3265" xr:uid="{00000000-0005-0000-0000-0000BD000000}"/>
    <cellStyle name="20% - Accent2 2 2 4 2 2" xfId="7489" xr:uid="{00000000-0005-0000-0000-0000BE000000}"/>
    <cellStyle name="20% - Accent2 2 2 4 2 3" xfId="12153" xr:uid="{B62DEC07-E68B-454A-997D-939D5A5CE770}"/>
    <cellStyle name="20% - Accent2 2 2 4 3" xfId="5344" xr:uid="{00000000-0005-0000-0000-0000BF000000}"/>
    <cellStyle name="20% - Accent2 2 2 4 4" xfId="10007" xr:uid="{A738F79B-C118-445D-B16B-ADCE0DF63CCB}"/>
    <cellStyle name="20% - Accent2 2 2 5" xfId="1448" xr:uid="{00000000-0005-0000-0000-0000C0000000}"/>
    <cellStyle name="20% - Accent2 2 2 5 2" xfId="3678" xr:uid="{00000000-0005-0000-0000-0000C1000000}"/>
    <cellStyle name="20% - Accent2 2 2 5 2 2" xfId="7902" xr:uid="{00000000-0005-0000-0000-0000C2000000}"/>
    <cellStyle name="20% - Accent2 2 2 5 2 3" xfId="12566" xr:uid="{3B40D3BF-058E-4FA9-A21E-ED98FE6F9A29}"/>
    <cellStyle name="20% - Accent2 2 2 5 3" xfId="5757" xr:uid="{00000000-0005-0000-0000-0000C3000000}"/>
    <cellStyle name="20% - Accent2 2 2 5 4" xfId="10421" xr:uid="{9D9ED29B-835F-4B00-BBB6-7739041673F9}"/>
    <cellStyle name="20% - Accent2 2 2 6" xfId="1862" xr:uid="{00000000-0005-0000-0000-0000C4000000}"/>
    <cellStyle name="20% - Accent2 2 2 6 2" xfId="4091" xr:uid="{00000000-0005-0000-0000-0000C5000000}"/>
    <cellStyle name="20% - Accent2 2 2 6 2 2" xfId="8315" xr:uid="{00000000-0005-0000-0000-0000C6000000}"/>
    <cellStyle name="20% - Accent2 2 2 6 2 3" xfId="12979" xr:uid="{C9397AAC-7B05-4211-9597-9D99C6E72790}"/>
    <cellStyle name="20% - Accent2 2 2 6 3" xfId="6170" xr:uid="{00000000-0005-0000-0000-0000C7000000}"/>
    <cellStyle name="20% - Accent2 2 2 6 4" xfId="10834" xr:uid="{87D361CE-C943-43A7-BDA3-DDFFB388F5E4}"/>
    <cellStyle name="20% - Accent2 2 2 7" xfId="2275" xr:uid="{00000000-0005-0000-0000-0000C8000000}"/>
    <cellStyle name="20% - Accent2 2 2 7 2" xfId="6583" xr:uid="{00000000-0005-0000-0000-0000C9000000}"/>
    <cellStyle name="20% - Accent2 2 2 7 3" xfId="11247" xr:uid="{65AF274D-BB73-4328-83AE-D1D69AB14F72}"/>
    <cellStyle name="20% - Accent2 2 2 8" xfId="4517" xr:uid="{00000000-0005-0000-0000-0000CA000000}"/>
    <cellStyle name="20% - Accent2 2 2 8 2" xfId="9141" xr:uid="{712DA800-F59E-4F6D-9192-8734743FCC68}"/>
    <cellStyle name="20% - Accent2 2 2 9" xfId="8728" xr:uid="{0ABE445C-AE49-4D23-B561-580B81F26162}"/>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3" xfId="11742" xr:uid="{D0409943-BAA9-47C8-BAE4-5E93A7181905}"/>
    <cellStyle name="20% - Accent2 2 3 2 3" xfId="4933" xr:uid="{00000000-0005-0000-0000-0000CF000000}"/>
    <cellStyle name="20% - Accent2 2 3 2 4" xfId="9596" xr:uid="{2F1B1D87-C175-4BBA-AF57-EDD09643949A}"/>
    <cellStyle name="20% - Accent2 2 3 3" xfId="1036" xr:uid="{00000000-0005-0000-0000-0000D0000000}"/>
    <cellStyle name="20% - Accent2 2 3 3 2" xfId="3267" xr:uid="{00000000-0005-0000-0000-0000D1000000}"/>
    <cellStyle name="20% - Accent2 2 3 3 2 2" xfId="7491" xr:uid="{00000000-0005-0000-0000-0000D2000000}"/>
    <cellStyle name="20% - Accent2 2 3 3 2 3" xfId="12155" xr:uid="{972BA79A-60FD-40B0-B3AF-726512EF31D7}"/>
    <cellStyle name="20% - Accent2 2 3 3 3" xfId="5346" xr:uid="{00000000-0005-0000-0000-0000D3000000}"/>
    <cellStyle name="20% - Accent2 2 3 3 4" xfId="10009" xr:uid="{B5BC5522-5DF6-4ABA-9BBA-19B98CF977F2}"/>
    <cellStyle name="20% - Accent2 2 3 4" xfId="1450" xr:uid="{00000000-0005-0000-0000-0000D4000000}"/>
    <cellStyle name="20% - Accent2 2 3 4 2" xfId="3680" xr:uid="{00000000-0005-0000-0000-0000D5000000}"/>
    <cellStyle name="20% - Accent2 2 3 4 2 2" xfId="7904" xr:uid="{00000000-0005-0000-0000-0000D6000000}"/>
    <cellStyle name="20% - Accent2 2 3 4 2 3" xfId="12568" xr:uid="{2EE64F45-2568-4E97-92A5-1C4C0C77D65F}"/>
    <cellStyle name="20% - Accent2 2 3 4 3" xfId="5759" xr:uid="{00000000-0005-0000-0000-0000D7000000}"/>
    <cellStyle name="20% - Accent2 2 3 4 4" xfId="10423" xr:uid="{503AEFCB-780D-4768-B183-0D766A2BB1E5}"/>
    <cellStyle name="20% - Accent2 2 3 5" xfId="1864" xr:uid="{00000000-0005-0000-0000-0000D8000000}"/>
    <cellStyle name="20% - Accent2 2 3 5 2" xfId="4093" xr:uid="{00000000-0005-0000-0000-0000D9000000}"/>
    <cellStyle name="20% - Accent2 2 3 5 2 2" xfId="8317" xr:uid="{00000000-0005-0000-0000-0000DA000000}"/>
    <cellStyle name="20% - Accent2 2 3 5 2 3" xfId="12981" xr:uid="{8F83A5FA-0493-446C-ADED-D54F249465B0}"/>
    <cellStyle name="20% - Accent2 2 3 5 3" xfId="6172" xr:uid="{00000000-0005-0000-0000-0000DB000000}"/>
    <cellStyle name="20% - Accent2 2 3 5 4" xfId="10836" xr:uid="{51C31EB9-65CD-470B-AFA5-845F39FE3528}"/>
    <cellStyle name="20% - Accent2 2 3 6" xfId="2277" xr:uid="{00000000-0005-0000-0000-0000DC000000}"/>
    <cellStyle name="20% - Accent2 2 3 6 2" xfId="6585" xr:uid="{00000000-0005-0000-0000-0000DD000000}"/>
    <cellStyle name="20% - Accent2 2 3 6 3" xfId="11249" xr:uid="{18D48587-072A-4E3F-A4FC-C6C71FAAB0D9}"/>
    <cellStyle name="20% - Accent2 2 3 7" xfId="4519" xr:uid="{00000000-0005-0000-0000-0000DE000000}"/>
    <cellStyle name="20% - Accent2 2 3 7 2" xfId="9143" xr:uid="{757DD219-155F-4526-B8D7-C48D5FDC89DF}"/>
    <cellStyle name="20% - Accent2 2 3 8" xfId="8730" xr:uid="{C6560C35-3EFE-424C-AA6E-80AB208F6E74}"/>
    <cellStyle name="20% - Accent2 2 4" xfId="580" xr:uid="{00000000-0005-0000-0000-0000DF000000}"/>
    <cellStyle name="20% - Accent2 2 4 2" xfId="2851" xr:uid="{00000000-0005-0000-0000-0000E0000000}"/>
    <cellStyle name="20% - Accent2 2 4 2 2" xfId="7075" xr:uid="{00000000-0005-0000-0000-0000E1000000}"/>
    <cellStyle name="20% - Accent2 2 4 2 3" xfId="11739" xr:uid="{945EA6BF-8BFA-4F2A-8A29-59EA4D4DD60A}"/>
    <cellStyle name="20% - Accent2 2 4 3" xfId="4930" xr:uid="{00000000-0005-0000-0000-0000E2000000}"/>
    <cellStyle name="20% - Accent2 2 4 4" xfId="9593" xr:uid="{967B67CB-B24D-4F16-AFD1-4752CA46112F}"/>
    <cellStyle name="20% - Accent2 2 5" xfId="1033" xr:uid="{00000000-0005-0000-0000-0000E3000000}"/>
    <cellStyle name="20% - Accent2 2 5 2" xfId="3264" xr:uid="{00000000-0005-0000-0000-0000E4000000}"/>
    <cellStyle name="20% - Accent2 2 5 2 2" xfId="7488" xr:uid="{00000000-0005-0000-0000-0000E5000000}"/>
    <cellStyle name="20% - Accent2 2 5 2 3" xfId="12152" xr:uid="{526588D7-FE2E-4D86-AC26-947C878E573E}"/>
    <cellStyle name="20% - Accent2 2 5 3" xfId="5343" xr:uid="{00000000-0005-0000-0000-0000E6000000}"/>
    <cellStyle name="20% - Accent2 2 5 4" xfId="10006" xr:uid="{12B9FA39-47EB-4407-BEFD-5556CAEA6A79}"/>
    <cellStyle name="20% - Accent2 2 6" xfId="1447" xr:uid="{00000000-0005-0000-0000-0000E7000000}"/>
    <cellStyle name="20% - Accent2 2 6 2" xfId="3677" xr:uid="{00000000-0005-0000-0000-0000E8000000}"/>
    <cellStyle name="20% - Accent2 2 6 2 2" xfId="7901" xr:uid="{00000000-0005-0000-0000-0000E9000000}"/>
    <cellStyle name="20% - Accent2 2 6 2 3" xfId="12565" xr:uid="{B42D6FD5-3942-4BE9-BB6B-FEC997C2D374}"/>
    <cellStyle name="20% - Accent2 2 6 3" xfId="5756" xr:uid="{00000000-0005-0000-0000-0000EA000000}"/>
    <cellStyle name="20% - Accent2 2 6 4" xfId="10420" xr:uid="{47E60706-479B-40EE-ACAE-ECC4FACC6C2B}"/>
    <cellStyle name="20% - Accent2 2 7" xfId="1861" xr:uid="{00000000-0005-0000-0000-0000EB000000}"/>
    <cellStyle name="20% - Accent2 2 7 2" xfId="4090" xr:uid="{00000000-0005-0000-0000-0000EC000000}"/>
    <cellStyle name="20% - Accent2 2 7 2 2" xfId="8314" xr:uid="{00000000-0005-0000-0000-0000ED000000}"/>
    <cellStyle name="20% - Accent2 2 7 2 3" xfId="12978" xr:uid="{66F3EB80-8F52-4C75-9DD1-51E8C969AA60}"/>
    <cellStyle name="20% - Accent2 2 7 3" xfId="6169" xr:uid="{00000000-0005-0000-0000-0000EE000000}"/>
    <cellStyle name="20% - Accent2 2 7 4" xfId="10833" xr:uid="{18EE9A45-EB7A-4C53-BC94-0644518860F0}"/>
    <cellStyle name="20% - Accent2 2 8" xfId="2274" xr:uid="{00000000-0005-0000-0000-0000EF000000}"/>
    <cellStyle name="20% - Accent2 2 8 2" xfId="6582" xr:uid="{00000000-0005-0000-0000-0000F0000000}"/>
    <cellStyle name="20% - Accent2 2 8 3" xfId="11246" xr:uid="{E91ED2A0-F79D-4C85-A6DA-C3ED63921F02}"/>
    <cellStyle name="20% - Accent2 2 9" xfId="4516" xr:uid="{00000000-0005-0000-0000-0000F1000000}"/>
    <cellStyle name="20% - Accent2 2 9 2" xfId="9140" xr:uid="{5A55C21A-D74B-457E-BDF0-13599D9A75EB}"/>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3" xfId="11744" xr:uid="{B0307CE8-F256-4E46-9B01-7795CD152D9B}"/>
    <cellStyle name="20% - Accent2 3 2 2 3" xfId="4935" xr:uid="{00000000-0005-0000-0000-0000F7000000}"/>
    <cellStyle name="20% - Accent2 3 2 2 4" xfId="9598" xr:uid="{A1984109-0045-4BAE-922F-1C10E21DEE23}"/>
    <cellStyle name="20% - Accent2 3 2 3" xfId="1038" xr:uid="{00000000-0005-0000-0000-0000F8000000}"/>
    <cellStyle name="20% - Accent2 3 2 3 2" xfId="3269" xr:uid="{00000000-0005-0000-0000-0000F9000000}"/>
    <cellStyle name="20% - Accent2 3 2 3 2 2" xfId="7493" xr:uid="{00000000-0005-0000-0000-0000FA000000}"/>
    <cellStyle name="20% - Accent2 3 2 3 2 3" xfId="12157" xr:uid="{9429CD6A-7A38-46EF-A7A5-2B0ED5B02117}"/>
    <cellStyle name="20% - Accent2 3 2 3 3" xfId="5348" xr:uid="{00000000-0005-0000-0000-0000FB000000}"/>
    <cellStyle name="20% - Accent2 3 2 3 4" xfId="10011" xr:uid="{A22EBDE4-4D42-4699-B2E9-9F4408DAFBE1}"/>
    <cellStyle name="20% - Accent2 3 2 4" xfId="1452" xr:uid="{00000000-0005-0000-0000-0000FC000000}"/>
    <cellStyle name="20% - Accent2 3 2 4 2" xfId="3682" xr:uid="{00000000-0005-0000-0000-0000FD000000}"/>
    <cellStyle name="20% - Accent2 3 2 4 2 2" xfId="7906" xr:uid="{00000000-0005-0000-0000-0000FE000000}"/>
    <cellStyle name="20% - Accent2 3 2 4 2 3" xfId="12570" xr:uid="{69F077FB-C2DD-4967-B927-9ED9D2EEDCD9}"/>
    <cellStyle name="20% - Accent2 3 2 4 3" xfId="5761" xr:uid="{00000000-0005-0000-0000-0000FF000000}"/>
    <cellStyle name="20% - Accent2 3 2 4 4" xfId="10425" xr:uid="{886348A9-10D4-40CE-BC7D-1DD07969AC21}"/>
    <cellStyle name="20% - Accent2 3 2 5" xfId="1866" xr:uid="{00000000-0005-0000-0000-000000010000}"/>
    <cellStyle name="20% - Accent2 3 2 5 2" xfId="4095" xr:uid="{00000000-0005-0000-0000-000001010000}"/>
    <cellStyle name="20% - Accent2 3 2 5 2 2" xfId="8319" xr:uid="{00000000-0005-0000-0000-000002010000}"/>
    <cellStyle name="20% - Accent2 3 2 5 2 3" xfId="12983" xr:uid="{E328D0B2-3B66-48A4-A51A-EF65A5C06BD2}"/>
    <cellStyle name="20% - Accent2 3 2 5 3" xfId="6174" xr:uid="{00000000-0005-0000-0000-000003010000}"/>
    <cellStyle name="20% - Accent2 3 2 5 4" xfId="10838" xr:uid="{0BE1F9D1-96A4-40E6-94FC-49C91DAD0460}"/>
    <cellStyle name="20% - Accent2 3 2 6" xfId="2279" xr:uid="{00000000-0005-0000-0000-000004010000}"/>
    <cellStyle name="20% - Accent2 3 2 6 2" xfId="6587" xr:uid="{00000000-0005-0000-0000-000005010000}"/>
    <cellStyle name="20% - Accent2 3 2 6 3" xfId="11251" xr:uid="{D8EB8002-D951-4386-B11D-2A8C23D69EF2}"/>
    <cellStyle name="20% - Accent2 3 2 7" xfId="4521" xr:uid="{00000000-0005-0000-0000-000006010000}"/>
    <cellStyle name="20% - Accent2 3 2 7 2" xfId="9145" xr:uid="{DEB71542-8AFD-4F15-A1FF-05B0DB16BFA2}"/>
    <cellStyle name="20% - Accent2 3 2 8" xfId="8732" xr:uid="{410EEAEB-17B6-48D8-BAEB-35C44BE051BE}"/>
    <cellStyle name="20% - Accent2 3 3" xfId="584" xr:uid="{00000000-0005-0000-0000-000007010000}"/>
    <cellStyle name="20% - Accent2 3 3 2" xfId="2855" xr:uid="{00000000-0005-0000-0000-000008010000}"/>
    <cellStyle name="20% - Accent2 3 3 2 2" xfId="7079" xr:uid="{00000000-0005-0000-0000-000009010000}"/>
    <cellStyle name="20% - Accent2 3 3 2 3" xfId="11743" xr:uid="{27DBD183-232F-4126-B693-6E8C2BF9DA8E}"/>
    <cellStyle name="20% - Accent2 3 3 3" xfId="4934" xr:uid="{00000000-0005-0000-0000-00000A010000}"/>
    <cellStyle name="20% - Accent2 3 3 4" xfId="9597" xr:uid="{F7EADD8B-A2D9-4778-B6BD-66E9C80B5149}"/>
    <cellStyle name="20% - Accent2 3 4" xfId="1037" xr:uid="{00000000-0005-0000-0000-00000B010000}"/>
    <cellStyle name="20% - Accent2 3 4 2" xfId="3268" xr:uid="{00000000-0005-0000-0000-00000C010000}"/>
    <cellStyle name="20% - Accent2 3 4 2 2" xfId="7492" xr:uid="{00000000-0005-0000-0000-00000D010000}"/>
    <cellStyle name="20% - Accent2 3 4 2 3" xfId="12156" xr:uid="{131443D5-60C9-478F-8A01-7B1983A5FDD9}"/>
    <cellStyle name="20% - Accent2 3 4 3" xfId="5347" xr:uid="{00000000-0005-0000-0000-00000E010000}"/>
    <cellStyle name="20% - Accent2 3 4 4" xfId="10010" xr:uid="{84DE750A-48B2-4035-B387-4D5627FC7E7D}"/>
    <cellStyle name="20% - Accent2 3 5" xfId="1451" xr:uid="{00000000-0005-0000-0000-00000F010000}"/>
    <cellStyle name="20% - Accent2 3 5 2" xfId="3681" xr:uid="{00000000-0005-0000-0000-000010010000}"/>
    <cellStyle name="20% - Accent2 3 5 2 2" xfId="7905" xr:uid="{00000000-0005-0000-0000-000011010000}"/>
    <cellStyle name="20% - Accent2 3 5 2 3" xfId="12569" xr:uid="{C22B5427-188A-43CF-ACA5-E977EA194D8E}"/>
    <cellStyle name="20% - Accent2 3 5 3" xfId="5760" xr:uid="{00000000-0005-0000-0000-000012010000}"/>
    <cellStyle name="20% - Accent2 3 5 4" xfId="10424" xr:uid="{A8C36F4A-2533-4C8A-AE6E-819597E1E56F}"/>
    <cellStyle name="20% - Accent2 3 6" xfId="1865" xr:uid="{00000000-0005-0000-0000-000013010000}"/>
    <cellStyle name="20% - Accent2 3 6 2" xfId="4094" xr:uid="{00000000-0005-0000-0000-000014010000}"/>
    <cellStyle name="20% - Accent2 3 6 2 2" xfId="8318" xr:uid="{00000000-0005-0000-0000-000015010000}"/>
    <cellStyle name="20% - Accent2 3 6 2 3" xfId="12982" xr:uid="{1E474D07-9E7F-428A-808C-EE5DF2396AEF}"/>
    <cellStyle name="20% - Accent2 3 6 3" xfId="6173" xr:uid="{00000000-0005-0000-0000-000016010000}"/>
    <cellStyle name="20% - Accent2 3 6 4" xfId="10837" xr:uid="{E81608D8-13E5-457B-8543-3EA4579F81C0}"/>
    <cellStyle name="20% - Accent2 3 7" xfId="2278" xr:uid="{00000000-0005-0000-0000-000017010000}"/>
    <cellStyle name="20% - Accent2 3 7 2" xfId="6586" xr:uid="{00000000-0005-0000-0000-000018010000}"/>
    <cellStyle name="20% - Accent2 3 7 3" xfId="11250" xr:uid="{15349125-FE20-4891-A00A-AAD633C2A895}"/>
    <cellStyle name="20% - Accent2 3 8" xfId="4520" xr:uid="{00000000-0005-0000-0000-000019010000}"/>
    <cellStyle name="20% - Accent2 3 8 2" xfId="9144" xr:uid="{F8502E05-D5E6-4CB1-BAF4-498D29A11522}"/>
    <cellStyle name="20% - Accent2 3 9" xfId="8731" xr:uid="{32F3EC22-CD3F-4C41-AEC4-5E6B008DE106}"/>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3" xfId="11745" xr:uid="{300051ED-3E41-4BD0-9BD8-26701E3902D1}"/>
    <cellStyle name="20% - Accent2 4 2 3" xfId="4936" xr:uid="{00000000-0005-0000-0000-00001E010000}"/>
    <cellStyle name="20% - Accent2 4 2 4" xfId="9599" xr:uid="{8B949953-BF77-4311-95D7-9439B7ECD111}"/>
    <cellStyle name="20% - Accent2 4 3" xfId="1039" xr:uid="{00000000-0005-0000-0000-00001F010000}"/>
    <cellStyle name="20% - Accent2 4 3 2" xfId="3270" xr:uid="{00000000-0005-0000-0000-000020010000}"/>
    <cellStyle name="20% - Accent2 4 3 2 2" xfId="7494" xr:uid="{00000000-0005-0000-0000-000021010000}"/>
    <cellStyle name="20% - Accent2 4 3 2 3" xfId="12158" xr:uid="{90189243-D011-4B60-8CAE-FED163C22EBA}"/>
    <cellStyle name="20% - Accent2 4 3 3" xfId="5349" xr:uid="{00000000-0005-0000-0000-000022010000}"/>
    <cellStyle name="20% - Accent2 4 3 4" xfId="10012" xr:uid="{6392DC8E-15FE-4298-922C-DEDB3B0B76F9}"/>
    <cellStyle name="20% - Accent2 4 4" xfId="1453" xr:uid="{00000000-0005-0000-0000-000023010000}"/>
    <cellStyle name="20% - Accent2 4 4 2" xfId="3683" xr:uid="{00000000-0005-0000-0000-000024010000}"/>
    <cellStyle name="20% - Accent2 4 4 2 2" xfId="7907" xr:uid="{00000000-0005-0000-0000-000025010000}"/>
    <cellStyle name="20% - Accent2 4 4 2 3" xfId="12571" xr:uid="{659C1229-CB84-4FFB-9698-1EEE82E2BC5B}"/>
    <cellStyle name="20% - Accent2 4 4 3" xfId="5762" xr:uid="{00000000-0005-0000-0000-000026010000}"/>
    <cellStyle name="20% - Accent2 4 4 4" xfId="10426" xr:uid="{D849EB76-A888-4582-BBC7-F2139D136BF5}"/>
    <cellStyle name="20% - Accent2 4 5" xfId="1867" xr:uid="{00000000-0005-0000-0000-000027010000}"/>
    <cellStyle name="20% - Accent2 4 5 2" xfId="4096" xr:uid="{00000000-0005-0000-0000-000028010000}"/>
    <cellStyle name="20% - Accent2 4 5 2 2" xfId="8320" xr:uid="{00000000-0005-0000-0000-000029010000}"/>
    <cellStyle name="20% - Accent2 4 5 2 3" xfId="12984" xr:uid="{4C28B105-BA37-42F0-8392-9036A45595C3}"/>
    <cellStyle name="20% - Accent2 4 5 3" xfId="6175" xr:uid="{00000000-0005-0000-0000-00002A010000}"/>
    <cellStyle name="20% - Accent2 4 5 4" xfId="10839" xr:uid="{0CB00DB2-EE1E-4C14-BE54-123AD5243B6B}"/>
    <cellStyle name="20% - Accent2 4 6" xfId="2280" xr:uid="{00000000-0005-0000-0000-00002B010000}"/>
    <cellStyle name="20% - Accent2 4 6 2" xfId="6588" xr:uid="{00000000-0005-0000-0000-00002C010000}"/>
    <cellStyle name="20% - Accent2 4 6 3" xfId="11252" xr:uid="{92348F12-271D-4BC9-A3DD-AB1F43D48D9A}"/>
    <cellStyle name="20% - Accent2 4 7" xfId="4522" xr:uid="{00000000-0005-0000-0000-00002D010000}"/>
    <cellStyle name="20% - Accent2 4 7 2" xfId="9146" xr:uid="{90EC1293-F1B2-4ECB-A532-80C2231BA64B}"/>
    <cellStyle name="20% - Accent2 4 8" xfId="8733" xr:uid="{24094FB2-2EA8-4952-BC5C-6514BB7F7FF7}"/>
    <cellStyle name="20% - Accent2 5" xfId="579" xr:uid="{00000000-0005-0000-0000-00002E010000}"/>
    <cellStyle name="20% - Accent2 5 2" xfId="2850" xr:uid="{00000000-0005-0000-0000-00002F010000}"/>
    <cellStyle name="20% - Accent2 5 2 2" xfId="7074" xr:uid="{00000000-0005-0000-0000-000030010000}"/>
    <cellStyle name="20% - Accent2 5 2 3" xfId="11738" xr:uid="{6422C0F3-4282-4233-A37A-B1E8A169C04C}"/>
    <cellStyle name="20% - Accent2 5 3" xfId="4929" xr:uid="{00000000-0005-0000-0000-000031010000}"/>
    <cellStyle name="20% - Accent2 5 4" xfId="9592" xr:uid="{1D780EFA-F093-4531-9662-A93526B060FB}"/>
    <cellStyle name="20% - Accent2 6" xfId="1032" xr:uid="{00000000-0005-0000-0000-000032010000}"/>
    <cellStyle name="20% - Accent2 6 2" xfId="3263" xr:uid="{00000000-0005-0000-0000-000033010000}"/>
    <cellStyle name="20% - Accent2 6 2 2" xfId="7487" xr:uid="{00000000-0005-0000-0000-000034010000}"/>
    <cellStyle name="20% - Accent2 6 2 3" xfId="12151" xr:uid="{9895D712-C9B6-4994-866E-3BC4191A860D}"/>
    <cellStyle name="20% - Accent2 6 3" xfId="5342" xr:uid="{00000000-0005-0000-0000-000035010000}"/>
    <cellStyle name="20% - Accent2 6 4" xfId="10005" xr:uid="{4349159E-709F-492B-89C5-FB957AAB11D1}"/>
    <cellStyle name="20% - Accent2 7" xfId="1446" xr:uid="{00000000-0005-0000-0000-000036010000}"/>
    <cellStyle name="20% - Accent2 7 2" xfId="3676" xr:uid="{00000000-0005-0000-0000-000037010000}"/>
    <cellStyle name="20% - Accent2 7 2 2" xfId="7900" xr:uid="{00000000-0005-0000-0000-000038010000}"/>
    <cellStyle name="20% - Accent2 7 2 3" xfId="12564" xr:uid="{EF9D1340-533A-4885-9CB4-23C4046D094D}"/>
    <cellStyle name="20% - Accent2 7 3" xfId="5755" xr:uid="{00000000-0005-0000-0000-000039010000}"/>
    <cellStyle name="20% - Accent2 7 4" xfId="10419" xr:uid="{CB725710-4B12-4395-86CE-F0B5EBD50177}"/>
    <cellStyle name="20% - Accent2 8" xfId="1860" xr:uid="{00000000-0005-0000-0000-00003A010000}"/>
    <cellStyle name="20% - Accent2 8 2" xfId="4089" xr:uid="{00000000-0005-0000-0000-00003B010000}"/>
    <cellStyle name="20% - Accent2 8 2 2" xfId="8313" xr:uid="{00000000-0005-0000-0000-00003C010000}"/>
    <cellStyle name="20% - Accent2 8 2 3" xfId="12977" xr:uid="{A1F8D81B-F467-4C29-A4CE-2E359E22817D}"/>
    <cellStyle name="20% - Accent2 8 3" xfId="6168" xr:uid="{00000000-0005-0000-0000-00003D010000}"/>
    <cellStyle name="20% - Accent2 8 4" xfId="10832" xr:uid="{8614DEE6-AA68-4BA1-9496-BCAF6F8FC783}"/>
    <cellStyle name="20% - Accent2 9" xfId="2273" xr:uid="{00000000-0005-0000-0000-00003E010000}"/>
    <cellStyle name="20% - Accent2 9 2" xfId="6581" xr:uid="{00000000-0005-0000-0000-00003F010000}"/>
    <cellStyle name="20% - Accent2 9 3" xfId="11245" xr:uid="{DC322473-A261-4FD5-8475-5C4D994722B2}"/>
    <cellStyle name="20% - Accent3" xfId="17" builtinId="38" customBuiltin="1"/>
    <cellStyle name="20% - Accent3 10" xfId="4523" xr:uid="{00000000-0005-0000-0000-000041010000}"/>
    <cellStyle name="20% - Accent3 10 2" xfId="9147" xr:uid="{3EFA0502-248A-48DB-97E8-12BCD7868512}"/>
    <cellStyle name="20% - Accent3 11" xfId="8734" xr:uid="{995F9A3C-CC98-460F-9D75-A4AC039C7B3A}"/>
    <cellStyle name="20% - Accent3 2" xfId="18" xr:uid="{00000000-0005-0000-0000-000042010000}"/>
    <cellStyle name="20% - Accent3 2 10" xfId="8735" xr:uid="{00D7BD7B-6C3D-419E-9AAC-2BBAA36A5F04}"/>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3" xfId="11749" xr:uid="{ECC6ED08-0055-4F80-8F79-36934308A967}"/>
    <cellStyle name="20% - Accent3 2 2 2 2 3" xfId="4940" xr:uid="{00000000-0005-0000-0000-000048010000}"/>
    <cellStyle name="20% - Accent3 2 2 2 2 4" xfId="9603" xr:uid="{1FBEEE82-03F1-437C-8228-FB3F3AADCE56}"/>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3" xfId="12162" xr:uid="{7F1B4F2F-95CD-4EBA-902D-5493308893B1}"/>
    <cellStyle name="20% - Accent3 2 2 2 3 3" xfId="5353" xr:uid="{00000000-0005-0000-0000-00004C010000}"/>
    <cellStyle name="20% - Accent3 2 2 2 3 4" xfId="10016" xr:uid="{D377F025-2A22-4696-B677-65D00D849CE1}"/>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3" xfId="12575" xr:uid="{6EBF9527-EAB0-442B-A20F-DDD8408527A5}"/>
    <cellStyle name="20% - Accent3 2 2 2 4 3" xfId="5766" xr:uid="{00000000-0005-0000-0000-000050010000}"/>
    <cellStyle name="20% - Accent3 2 2 2 4 4" xfId="10430" xr:uid="{1D4D45F3-477F-4014-ADC4-9CE1AC0CC2C8}"/>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3" xfId="12988" xr:uid="{D0F20AB7-A575-4F73-9A16-0A04521C196D}"/>
    <cellStyle name="20% - Accent3 2 2 2 5 3" xfId="6179" xr:uid="{00000000-0005-0000-0000-000054010000}"/>
    <cellStyle name="20% - Accent3 2 2 2 5 4" xfId="10843" xr:uid="{644AEDAF-679D-4771-97BD-484D564F1B6A}"/>
    <cellStyle name="20% - Accent3 2 2 2 6" xfId="2284" xr:uid="{00000000-0005-0000-0000-000055010000}"/>
    <cellStyle name="20% - Accent3 2 2 2 6 2" xfId="6592" xr:uid="{00000000-0005-0000-0000-000056010000}"/>
    <cellStyle name="20% - Accent3 2 2 2 6 3" xfId="11256" xr:uid="{29D9DD78-149F-4C5B-9D57-F18E3B472B47}"/>
    <cellStyle name="20% - Accent3 2 2 2 7" xfId="4526" xr:uid="{00000000-0005-0000-0000-000057010000}"/>
    <cellStyle name="20% - Accent3 2 2 2 7 2" xfId="9150" xr:uid="{CC81712D-C7D5-4753-B0EB-662186FF0653}"/>
    <cellStyle name="20% - Accent3 2 2 2 8" xfId="8737" xr:uid="{521F4FF6-5FFE-41B4-BF8F-DA7CCAC03C2C}"/>
    <cellStyle name="20% - Accent3 2 2 3" xfId="589" xr:uid="{00000000-0005-0000-0000-000058010000}"/>
    <cellStyle name="20% - Accent3 2 2 3 2" xfId="2860" xr:uid="{00000000-0005-0000-0000-000059010000}"/>
    <cellStyle name="20% - Accent3 2 2 3 2 2" xfId="7084" xr:uid="{00000000-0005-0000-0000-00005A010000}"/>
    <cellStyle name="20% - Accent3 2 2 3 2 3" xfId="11748" xr:uid="{2D996B14-62DD-436D-A439-4026A4B8B90A}"/>
    <cellStyle name="20% - Accent3 2 2 3 3" xfId="4939" xr:uid="{00000000-0005-0000-0000-00005B010000}"/>
    <cellStyle name="20% - Accent3 2 2 3 4" xfId="9602" xr:uid="{5F09E206-7FFE-4833-93DA-41744802544A}"/>
    <cellStyle name="20% - Accent3 2 2 4" xfId="1042" xr:uid="{00000000-0005-0000-0000-00005C010000}"/>
    <cellStyle name="20% - Accent3 2 2 4 2" xfId="3273" xr:uid="{00000000-0005-0000-0000-00005D010000}"/>
    <cellStyle name="20% - Accent3 2 2 4 2 2" xfId="7497" xr:uid="{00000000-0005-0000-0000-00005E010000}"/>
    <cellStyle name="20% - Accent3 2 2 4 2 3" xfId="12161" xr:uid="{B5CB80A3-24B1-4A4E-BC17-7330354D3ABA}"/>
    <cellStyle name="20% - Accent3 2 2 4 3" xfId="5352" xr:uid="{00000000-0005-0000-0000-00005F010000}"/>
    <cellStyle name="20% - Accent3 2 2 4 4" xfId="10015" xr:uid="{CF89C27F-ACFC-4F47-8D48-FE0909FCD4F7}"/>
    <cellStyle name="20% - Accent3 2 2 5" xfId="1456" xr:uid="{00000000-0005-0000-0000-000060010000}"/>
    <cellStyle name="20% - Accent3 2 2 5 2" xfId="3686" xr:uid="{00000000-0005-0000-0000-000061010000}"/>
    <cellStyle name="20% - Accent3 2 2 5 2 2" xfId="7910" xr:uid="{00000000-0005-0000-0000-000062010000}"/>
    <cellStyle name="20% - Accent3 2 2 5 2 3" xfId="12574" xr:uid="{21ED89DC-59A3-4026-BDF8-BBA8B309C854}"/>
    <cellStyle name="20% - Accent3 2 2 5 3" xfId="5765" xr:uid="{00000000-0005-0000-0000-000063010000}"/>
    <cellStyle name="20% - Accent3 2 2 5 4" xfId="10429" xr:uid="{EA879EFA-ED4A-478E-A04B-B18AA7FE936E}"/>
    <cellStyle name="20% - Accent3 2 2 6" xfId="1870" xr:uid="{00000000-0005-0000-0000-000064010000}"/>
    <cellStyle name="20% - Accent3 2 2 6 2" xfId="4099" xr:uid="{00000000-0005-0000-0000-000065010000}"/>
    <cellStyle name="20% - Accent3 2 2 6 2 2" xfId="8323" xr:uid="{00000000-0005-0000-0000-000066010000}"/>
    <cellStyle name="20% - Accent3 2 2 6 2 3" xfId="12987" xr:uid="{CB7618A9-6508-450D-AB93-7BB4C528EC4A}"/>
    <cellStyle name="20% - Accent3 2 2 6 3" xfId="6178" xr:uid="{00000000-0005-0000-0000-000067010000}"/>
    <cellStyle name="20% - Accent3 2 2 6 4" xfId="10842" xr:uid="{57A6AFF4-4294-4777-851B-9B45A16C29B3}"/>
    <cellStyle name="20% - Accent3 2 2 7" xfId="2283" xr:uid="{00000000-0005-0000-0000-000068010000}"/>
    <cellStyle name="20% - Accent3 2 2 7 2" xfId="6591" xr:uid="{00000000-0005-0000-0000-000069010000}"/>
    <cellStyle name="20% - Accent3 2 2 7 3" xfId="11255" xr:uid="{241A6312-1E5B-4B73-90D1-1E9073FEB9E7}"/>
    <cellStyle name="20% - Accent3 2 2 8" xfId="4525" xr:uid="{00000000-0005-0000-0000-00006A010000}"/>
    <cellStyle name="20% - Accent3 2 2 8 2" xfId="9149" xr:uid="{CF245F11-8AAA-4F81-A6B1-2647DDF63BB2}"/>
    <cellStyle name="20% - Accent3 2 2 9" xfId="8736" xr:uid="{EC5F2A83-9068-45AA-AB8E-E0548C13FD97}"/>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3" xfId="11750" xr:uid="{E2EDEB97-DB28-438F-8E6C-3B63AB6117C2}"/>
    <cellStyle name="20% - Accent3 2 3 2 3" xfId="4941" xr:uid="{00000000-0005-0000-0000-00006F010000}"/>
    <cellStyle name="20% - Accent3 2 3 2 4" xfId="9604" xr:uid="{D277DDD6-5DE3-452B-8165-F97F3F2B37AC}"/>
    <cellStyle name="20% - Accent3 2 3 3" xfId="1044" xr:uid="{00000000-0005-0000-0000-000070010000}"/>
    <cellStyle name="20% - Accent3 2 3 3 2" xfId="3275" xr:uid="{00000000-0005-0000-0000-000071010000}"/>
    <cellStyle name="20% - Accent3 2 3 3 2 2" xfId="7499" xr:uid="{00000000-0005-0000-0000-000072010000}"/>
    <cellStyle name="20% - Accent3 2 3 3 2 3" xfId="12163" xr:uid="{DFF1BAD6-6E78-45C1-9E3B-E3504F7A8A30}"/>
    <cellStyle name="20% - Accent3 2 3 3 3" xfId="5354" xr:uid="{00000000-0005-0000-0000-000073010000}"/>
    <cellStyle name="20% - Accent3 2 3 3 4" xfId="10017" xr:uid="{95FDF4E8-AD1D-4F9B-B639-43B0D8FA9CF4}"/>
    <cellStyle name="20% - Accent3 2 3 4" xfId="1458" xr:uid="{00000000-0005-0000-0000-000074010000}"/>
    <cellStyle name="20% - Accent3 2 3 4 2" xfId="3688" xr:uid="{00000000-0005-0000-0000-000075010000}"/>
    <cellStyle name="20% - Accent3 2 3 4 2 2" xfId="7912" xr:uid="{00000000-0005-0000-0000-000076010000}"/>
    <cellStyle name="20% - Accent3 2 3 4 2 3" xfId="12576" xr:uid="{F4F8452C-D5B0-4D28-8324-665B232B847B}"/>
    <cellStyle name="20% - Accent3 2 3 4 3" xfId="5767" xr:uid="{00000000-0005-0000-0000-000077010000}"/>
    <cellStyle name="20% - Accent3 2 3 4 4" xfId="10431" xr:uid="{C11F6058-EE3F-45D2-9A2C-2558E1D09204}"/>
    <cellStyle name="20% - Accent3 2 3 5" xfId="1872" xr:uid="{00000000-0005-0000-0000-000078010000}"/>
    <cellStyle name="20% - Accent3 2 3 5 2" xfId="4101" xr:uid="{00000000-0005-0000-0000-000079010000}"/>
    <cellStyle name="20% - Accent3 2 3 5 2 2" xfId="8325" xr:uid="{00000000-0005-0000-0000-00007A010000}"/>
    <cellStyle name="20% - Accent3 2 3 5 2 3" xfId="12989" xr:uid="{88144B30-16D4-42BC-9614-3534D38EC356}"/>
    <cellStyle name="20% - Accent3 2 3 5 3" xfId="6180" xr:uid="{00000000-0005-0000-0000-00007B010000}"/>
    <cellStyle name="20% - Accent3 2 3 5 4" xfId="10844" xr:uid="{0B05BB32-3C65-40DF-A187-16AB3FF8807A}"/>
    <cellStyle name="20% - Accent3 2 3 6" xfId="2285" xr:uid="{00000000-0005-0000-0000-00007C010000}"/>
    <cellStyle name="20% - Accent3 2 3 6 2" xfId="6593" xr:uid="{00000000-0005-0000-0000-00007D010000}"/>
    <cellStyle name="20% - Accent3 2 3 6 3" xfId="11257" xr:uid="{742FAEEB-C3B5-43AF-ACFE-55E5CD001F65}"/>
    <cellStyle name="20% - Accent3 2 3 7" xfId="4527" xr:uid="{00000000-0005-0000-0000-00007E010000}"/>
    <cellStyle name="20% - Accent3 2 3 7 2" xfId="9151" xr:uid="{DF0CFDAE-383D-4614-BDF2-A1C130C67D22}"/>
    <cellStyle name="20% - Accent3 2 3 8" xfId="8738" xr:uid="{DD61257A-F19F-4D02-A44E-51A8E5315856}"/>
    <cellStyle name="20% - Accent3 2 4" xfId="588" xr:uid="{00000000-0005-0000-0000-00007F010000}"/>
    <cellStyle name="20% - Accent3 2 4 2" xfId="2859" xr:uid="{00000000-0005-0000-0000-000080010000}"/>
    <cellStyle name="20% - Accent3 2 4 2 2" xfId="7083" xr:uid="{00000000-0005-0000-0000-000081010000}"/>
    <cellStyle name="20% - Accent3 2 4 2 3" xfId="11747" xr:uid="{B20EEDCA-D069-4F84-8E32-BD305D1E8AB4}"/>
    <cellStyle name="20% - Accent3 2 4 3" xfId="4938" xr:uid="{00000000-0005-0000-0000-000082010000}"/>
    <cellStyle name="20% - Accent3 2 4 4" xfId="9601" xr:uid="{68BD349F-1C60-4297-9643-3DE74224E617}"/>
    <cellStyle name="20% - Accent3 2 5" xfId="1041" xr:uid="{00000000-0005-0000-0000-000083010000}"/>
    <cellStyle name="20% - Accent3 2 5 2" xfId="3272" xr:uid="{00000000-0005-0000-0000-000084010000}"/>
    <cellStyle name="20% - Accent3 2 5 2 2" xfId="7496" xr:uid="{00000000-0005-0000-0000-000085010000}"/>
    <cellStyle name="20% - Accent3 2 5 2 3" xfId="12160" xr:uid="{80943A52-E769-43FD-9DBC-3B223D001F37}"/>
    <cellStyle name="20% - Accent3 2 5 3" xfId="5351" xr:uid="{00000000-0005-0000-0000-000086010000}"/>
    <cellStyle name="20% - Accent3 2 5 4" xfId="10014" xr:uid="{B85D99E1-6241-4B0B-9186-49F4740F3621}"/>
    <cellStyle name="20% - Accent3 2 6" xfId="1455" xr:uid="{00000000-0005-0000-0000-000087010000}"/>
    <cellStyle name="20% - Accent3 2 6 2" xfId="3685" xr:uid="{00000000-0005-0000-0000-000088010000}"/>
    <cellStyle name="20% - Accent3 2 6 2 2" xfId="7909" xr:uid="{00000000-0005-0000-0000-000089010000}"/>
    <cellStyle name="20% - Accent3 2 6 2 3" xfId="12573" xr:uid="{3F3A6B57-8FEC-4EB3-9A0D-B0C144FEF92A}"/>
    <cellStyle name="20% - Accent3 2 6 3" xfId="5764" xr:uid="{00000000-0005-0000-0000-00008A010000}"/>
    <cellStyle name="20% - Accent3 2 6 4" xfId="10428" xr:uid="{032578A1-01EF-4A7F-9EC1-476F13E7EAA3}"/>
    <cellStyle name="20% - Accent3 2 7" xfId="1869" xr:uid="{00000000-0005-0000-0000-00008B010000}"/>
    <cellStyle name="20% - Accent3 2 7 2" xfId="4098" xr:uid="{00000000-0005-0000-0000-00008C010000}"/>
    <cellStyle name="20% - Accent3 2 7 2 2" xfId="8322" xr:uid="{00000000-0005-0000-0000-00008D010000}"/>
    <cellStyle name="20% - Accent3 2 7 2 3" xfId="12986" xr:uid="{3EC44558-4C66-4F30-A7C9-939A6C7DE94E}"/>
    <cellStyle name="20% - Accent3 2 7 3" xfId="6177" xr:uid="{00000000-0005-0000-0000-00008E010000}"/>
    <cellStyle name="20% - Accent3 2 7 4" xfId="10841" xr:uid="{7B4ACDF2-6A0F-4067-A66F-0AD5174890E7}"/>
    <cellStyle name="20% - Accent3 2 8" xfId="2282" xr:uid="{00000000-0005-0000-0000-00008F010000}"/>
    <cellStyle name="20% - Accent3 2 8 2" xfId="6590" xr:uid="{00000000-0005-0000-0000-000090010000}"/>
    <cellStyle name="20% - Accent3 2 8 3" xfId="11254" xr:uid="{9286C066-9D8D-4E01-97E2-EE08C8544375}"/>
    <cellStyle name="20% - Accent3 2 9" xfId="4524" xr:uid="{00000000-0005-0000-0000-000091010000}"/>
    <cellStyle name="20% - Accent3 2 9 2" xfId="9148" xr:uid="{8B185D42-D930-4CB1-B7C2-455BABD6EE56}"/>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3" xfId="11752" xr:uid="{12B8F516-DBB0-4EEA-9924-644D10AF68C4}"/>
    <cellStyle name="20% - Accent3 3 2 2 3" xfId="4943" xr:uid="{00000000-0005-0000-0000-000097010000}"/>
    <cellStyle name="20% - Accent3 3 2 2 4" xfId="9606" xr:uid="{B7772B24-CEB2-40A0-BC03-A64306C12A15}"/>
    <cellStyle name="20% - Accent3 3 2 3" xfId="1046" xr:uid="{00000000-0005-0000-0000-000098010000}"/>
    <cellStyle name="20% - Accent3 3 2 3 2" xfId="3277" xr:uid="{00000000-0005-0000-0000-000099010000}"/>
    <cellStyle name="20% - Accent3 3 2 3 2 2" xfId="7501" xr:uid="{00000000-0005-0000-0000-00009A010000}"/>
    <cellStyle name="20% - Accent3 3 2 3 2 3" xfId="12165" xr:uid="{A67D3AA6-1B87-417D-AA12-AC99B8C798B6}"/>
    <cellStyle name="20% - Accent3 3 2 3 3" xfId="5356" xr:uid="{00000000-0005-0000-0000-00009B010000}"/>
    <cellStyle name="20% - Accent3 3 2 3 4" xfId="10019" xr:uid="{FF189221-6B55-4CFD-BE52-0232EAE9A177}"/>
    <cellStyle name="20% - Accent3 3 2 4" xfId="1460" xr:uid="{00000000-0005-0000-0000-00009C010000}"/>
    <cellStyle name="20% - Accent3 3 2 4 2" xfId="3690" xr:uid="{00000000-0005-0000-0000-00009D010000}"/>
    <cellStyle name="20% - Accent3 3 2 4 2 2" xfId="7914" xr:uid="{00000000-0005-0000-0000-00009E010000}"/>
    <cellStyle name="20% - Accent3 3 2 4 2 3" xfId="12578" xr:uid="{A37237A3-3C9F-4F18-8E75-259181B121DE}"/>
    <cellStyle name="20% - Accent3 3 2 4 3" xfId="5769" xr:uid="{00000000-0005-0000-0000-00009F010000}"/>
    <cellStyle name="20% - Accent3 3 2 4 4" xfId="10433" xr:uid="{CD7B4F52-E3BE-4EB6-BD32-6EF7B959E80B}"/>
    <cellStyle name="20% - Accent3 3 2 5" xfId="1874" xr:uid="{00000000-0005-0000-0000-0000A0010000}"/>
    <cellStyle name="20% - Accent3 3 2 5 2" xfId="4103" xr:uid="{00000000-0005-0000-0000-0000A1010000}"/>
    <cellStyle name="20% - Accent3 3 2 5 2 2" xfId="8327" xr:uid="{00000000-0005-0000-0000-0000A2010000}"/>
    <cellStyle name="20% - Accent3 3 2 5 2 3" xfId="12991" xr:uid="{3650239A-F5EE-4AF6-BEF1-CC6815C475CE}"/>
    <cellStyle name="20% - Accent3 3 2 5 3" xfId="6182" xr:uid="{00000000-0005-0000-0000-0000A3010000}"/>
    <cellStyle name="20% - Accent3 3 2 5 4" xfId="10846" xr:uid="{7C930649-8EA8-44DF-A7AE-3E87B3E38132}"/>
    <cellStyle name="20% - Accent3 3 2 6" xfId="2287" xr:uid="{00000000-0005-0000-0000-0000A4010000}"/>
    <cellStyle name="20% - Accent3 3 2 6 2" xfId="6595" xr:uid="{00000000-0005-0000-0000-0000A5010000}"/>
    <cellStyle name="20% - Accent3 3 2 6 3" xfId="11259" xr:uid="{77D9C7A2-3287-48AF-9F38-578AA1CF0615}"/>
    <cellStyle name="20% - Accent3 3 2 7" xfId="4529" xr:uid="{00000000-0005-0000-0000-0000A6010000}"/>
    <cellStyle name="20% - Accent3 3 2 7 2" xfId="9153" xr:uid="{CDB69D65-48D6-494B-B00F-DCF0F22BCE6E}"/>
    <cellStyle name="20% - Accent3 3 2 8" xfId="8740" xr:uid="{B3022CA7-698A-4C76-8B05-121A7B63F6F0}"/>
    <cellStyle name="20% - Accent3 3 3" xfId="592" xr:uid="{00000000-0005-0000-0000-0000A7010000}"/>
    <cellStyle name="20% - Accent3 3 3 2" xfId="2863" xr:uid="{00000000-0005-0000-0000-0000A8010000}"/>
    <cellStyle name="20% - Accent3 3 3 2 2" xfId="7087" xr:uid="{00000000-0005-0000-0000-0000A9010000}"/>
    <cellStyle name="20% - Accent3 3 3 2 3" xfId="11751" xr:uid="{3D0435AA-8555-480F-80BA-661362FDFB9C}"/>
    <cellStyle name="20% - Accent3 3 3 3" xfId="4942" xr:uid="{00000000-0005-0000-0000-0000AA010000}"/>
    <cellStyle name="20% - Accent3 3 3 4" xfId="9605" xr:uid="{A1238FC4-61A5-4849-968D-43EED866D2AD}"/>
    <cellStyle name="20% - Accent3 3 4" xfId="1045" xr:uid="{00000000-0005-0000-0000-0000AB010000}"/>
    <cellStyle name="20% - Accent3 3 4 2" xfId="3276" xr:uid="{00000000-0005-0000-0000-0000AC010000}"/>
    <cellStyle name="20% - Accent3 3 4 2 2" xfId="7500" xr:uid="{00000000-0005-0000-0000-0000AD010000}"/>
    <cellStyle name="20% - Accent3 3 4 2 3" xfId="12164" xr:uid="{6B20F702-4339-4CE9-827B-0BBAFBB9AFBF}"/>
    <cellStyle name="20% - Accent3 3 4 3" xfId="5355" xr:uid="{00000000-0005-0000-0000-0000AE010000}"/>
    <cellStyle name="20% - Accent3 3 4 4" xfId="10018" xr:uid="{DAE43107-8F21-4E28-9E13-7850F5D323FC}"/>
    <cellStyle name="20% - Accent3 3 5" xfId="1459" xr:uid="{00000000-0005-0000-0000-0000AF010000}"/>
    <cellStyle name="20% - Accent3 3 5 2" xfId="3689" xr:uid="{00000000-0005-0000-0000-0000B0010000}"/>
    <cellStyle name="20% - Accent3 3 5 2 2" xfId="7913" xr:uid="{00000000-0005-0000-0000-0000B1010000}"/>
    <cellStyle name="20% - Accent3 3 5 2 3" xfId="12577" xr:uid="{E95D6ABC-6D7B-47C8-BE30-78D11E3276D0}"/>
    <cellStyle name="20% - Accent3 3 5 3" xfId="5768" xr:uid="{00000000-0005-0000-0000-0000B2010000}"/>
    <cellStyle name="20% - Accent3 3 5 4" xfId="10432" xr:uid="{5783558A-28E4-435E-9D02-87B78BD90C2B}"/>
    <cellStyle name="20% - Accent3 3 6" xfId="1873" xr:uid="{00000000-0005-0000-0000-0000B3010000}"/>
    <cellStyle name="20% - Accent3 3 6 2" xfId="4102" xr:uid="{00000000-0005-0000-0000-0000B4010000}"/>
    <cellStyle name="20% - Accent3 3 6 2 2" xfId="8326" xr:uid="{00000000-0005-0000-0000-0000B5010000}"/>
    <cellStyle name="20% - Accent3 3 6 2 3" xfId="12990" xr:uid="{860E5FDE-BB1C-4D01-9E3B-09F9F92A8A40}"/>
    <cellStyle name="20% - Accent3 3 6 3" xfId="6181" xr:uid="{00000000-0005-0000-0000-0000B6010000}"/>
    <cellStyle name="20% - Accent3 3 6 4" xfId="10845" xr:uid="{397488BE-2352-4739-ACED-2F34D48E2EA8}"/>
    <cellStyle name="20% - Accent3 3 7" xfId="2286" xr:uid="{00000000-0005-0000-0000-0000B7010000}"/>
    <cellStyle name="20% - Accent3 3 7 2" xfId="6594" xr:uid="{00000000-0005-0000-0000-0000B8010000}"/>
    <cellStyle name="20% - Accent3 3 7 3" xfId="11258" xr:uid="{782A17C4-3623-4344-83E8-C5B09E4FDA17}"/>
    <cellStyle name="20% - Accent3 3 8" xfId="4528" xr:uid="{00000000-0005-0000-0000-0000B9010000}"/>
    <cellStyle name="20% - Accent3 3 8 2" xfId="9152" xr:uid="{26056282-B0F8-47F4-9213-72701B91D8C6}"/>
    <cellStyle name="20% - Accent3 3 9" xfId="8739" xr:uid="{8A3F1B54-3BD8-424B-97BF-16327E6124AB}"/>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3" xfId="11753" xr:uid="{2323C3CA-4370-42B3-A5DD-2C19E70A643B}"/>
    <cellStyle name="20% - Accent3 4 2 3" xfId="4944" xr:uid="{00000000-0005-0000-0000-0000BE010000}"/>
    <cellStyle name="20% - Accent3 4 2 4" xfId="9607" xr:uid="{1618053F-70C3-45F2-9044-E5CA1A75AC9B}"/>
    <cellStyle name="20% - Accent3 4 3" xfId="1047" xr:uid="{00000000-0005-0000-0000-0000BF010000}"/>
    <cellStyle name="20% - Accent3 4 3 2" xfId="3278" xr:uid="{00000000-0005-0000-0000-0000C0010000}"/>
    <cellStyle name="20% - Accent3 4 3 2 2" xfId="7502" xr:uid="{00000000-0005-0000-0000-0000C1010000}"/>
    <cellStyle name="20% - Accent3 4 3 2 3" xfId="12166" xr:uid="{CE69E102-F8F2-4BD2-A86E-EF2A33DD3D8E}"/>
    <cellStyle name="20% - Accent3 4 3 3" xfId="5357" xr:uid="{00000000-0005-0000-0000-0000C2010000}"/>
    <cellStyle name="20% - Accent3 4 3 4" xfId="10020" xr:uid="{2D5B6342-4F02-4759-85AF-B54C1E20F5E5}"/>
    <cellStyle name="20% - Accent3 4 4" xfId="1461" xr:uid="{00000000-0005-0000-0000-0000C3010000}"/>
    <cellStyle name="20% - Accent3 4 4 2" xfId="3691" xr:uid="{00000000-0005-0000-0000-0000C4010000}"/>
    <cellStyle name="20% - Accent3 4 4 2 2" xfId="7915" xr:uid="{00000000-0005-0000-0000-0000C5010000}"/>
    <cellStyle name="20% - Accent3 4 4 2 3" xfId="12579" xr:uid="{D183E72E-4401-4B6D-AD2A-E0BE37EE8B1B}"/>
    <cellStyle name="20% - Accent3 4 4 3" xfId="5770" xr:uid="{00000000-0005-0000-0000-0000C6010000}"/>
    <cellStyle name="20% - Accent3 4 4 4" xfId="10434" xr:uid="{B15D4488-1A4A-4069-A55C-92DBEACAEBDB}"/>
    <cellStyle name="20% - Accent3 4 5" xfId="1875" xr:uid="{00000000-0005-0000-0000-0000C7010000}"/>
    <cellStyle name="20% - Accent3 4 5 2" xfId="4104" xr:uid="{00000000-0005-0000-0000-0000C8010000}"/>
    <cellStyle name="20% - Accent3 4 5 2 2" xfId="8328" xr:uid="{00000000-0005-0000-0000-0000C9010000}"/>
    <cellStyle name="20% - Accent3 4 5 2 3" xfId="12992" xr:uid="{223D2830-0BE9-4EE3-90F0-ADFDB6120D71}"/>
    <cellStyle name="20% - Accent3 4 5 3" xfId="6183" xr:uid="{00000000-0005-0000-0000-0000CA010000}"/>
    <cellStyle name="20% - Accent3 4 5 4" xfId="10847" xr:uid="{0C41B82E-3667-45C7-868D-B6336C3DED93}"/>
    <cellStyle name="20% - Accent3 4 6" xfId="2288" xr:uid="{00000000-0005-0000-0000-0000CB010000}"/>
    <cellStyle name="20% - Accent3 4 6 2" xfId="6596" xr:uid="{00000000-0005-0000-0000-0000CC010000}"/>
    <cellStyle name="20% - Accent3 4 6 3" xfId="11260" xr:uid="{3DEAA7E5-BBDE-4341-901D-B75A62ADF04D}"/>
    <cellStyle name="20% - Accent3 4 7" xfId="4530" xr:uid="{00000000-0005-0000-0000-0000CD010000}"/>
    <cellStyle name="20% - Accent3 4 7 2" xfId="9154" xr:uid="{550960CE-37CC-408D-9F70-A8FAA29B2127}"/>
    <cellStyle name="20% - Accent3 4 8" xfId="8741" xr:uid="{95FC771D-AB2E-4A50-B2DC-6AB4407AAC2D}"/>
    <cellStyle name="20% - Accent3 5" xfId="587" xr:uid="{00000000-0005-0000-0000-0000CE010000}"/>
    <cellStyle name="20% - Accent3 5 2" xfId="2858" xr:uid="{00000000-0005-0000-0000-0000CF010000}"/>
    <cellStyle name="20% - Accent3 5 2 2" xfId="7082" xr:uid="{00000000-0005-0000-0000-0000D0010000}"/>
    <cellStyle name="20% - Accent3 5 2 3" xfId="11746" xr:uid="{AAA23DF3-3796-4282-8A0A-7AE1E94D6D1A}"/>
    <cellStyle name="20% - Accent3 5 3" xfId="4937" xr:uid="{00000000-0005-0000-0000-0000D1010000}"/>
    <cellStyle name="20% - Accent3 5 4" xfId="9600" xr:uid="{664ED33C-4826-4E96-B8AA-E9604866F277}"/>
    <cellStyle name="20% - Accent3 6" xfId="1040" xr:uid="{00000000-0005-0000-0000-0000D2010000}"/>
    <cellStyle name="20% - Accent3 6 2" xfId="3271" xr:uid="{00000000-0005-0000-0000-0000D3010000}"/>
    <cellStyle name="20% - Accent3 6 2 2" xfId="7495" xr:uid="{00000000-0005-0000-0000-0000D4010000}"/>
    <cellStyle name="20% - Accent3 6 2 3" xfId="12159" xr:uid="{D325C570-B574-41D9-B31E-D16CB03FF266}"/>
    <cellStyle name="20% - Accent3 6 3" xfId="5350" xr:uid="{00000000-0005-0000-0000-0000D5010000}"/>
    <cellStyle name="20% - Accent3 6 4" xfId="10013" xr:uid="{AE0FE456-605F-43B2-9AEA-11EC2A805AB8}"/>
    <cellStyle name="20% - Accent3 7" xfId="1454" xr:uid="{00000000-0005-0000-0000-0000D6010000}"/>
    <cellStyle name="20% - Accent3 7 2" xfId="3684" xr:uid="{00000000-0005-0000-0000-0000D7010000}"/>
    <cellStyle name="20% - Accent3 7 2 2" xfId="7908" xr:uid="{00000000-0005-0000-0000-0000D8010000}"/>
    <cellStyle name="20% - Accent3 7 2 3" xfId="12572" xr:uid="{78080DF4-11A3-4DBB-B357-097E4D8A5618}"/>
    <cellStyle name="20% - Accent3 7 3" xfId="5763" xr:uid="{00000000-0005-0000-0000-0000D9010000}"/>
    <cellStyle name="20% - Accent3 7 4" xfId="10427" xr:uid="{46CED6CA-EA05-47B1-91C2-99566D9F9C3C}"/>
    <cellStyle name="20% - Accent3 8" xfId="1868" xr:uid="{00000000-0005-0000-0000-0000DA010000}"/>
    <cellStyle name="20% - Accent3 8 2" xfId="4097" xr:uid="{00000000-0005-0000-0000-0000DB010000}"/>
    <cellStyle name="20% - Accent3 8 2 2" xfId="8321" xr:uid="{00000000-0005-0000-0000-0000DC010000}"/>
    <cellStyle name="20% - Accent3 8 2 3" xfId="12985" xr:uid="{9E7DBA69-3051-4235-AD61-B4F6918F7219}"/>
    <cellStyle name="20% - Accent3 8 3" xfId="6176" xr:uid="{00000000-0005-0000-0000-0000DD010000}"/>
    <cellStyle name="20% - Accent3 8 4" xfId="10840" xr:uid="{68235A7A-13E9-4FF1-AEA4-7BC1E4EDA45A}"/>
    <cellStyle name="20% - Accent3 9" xfId="2281" xr:uid="{00000000-0005-0000-0000-0000DE010000}"/>
    <cellStyle name="20% - Accent3 9 2" xfId="6589" xr:uid="{00000000-0005-0000-0000-0000DF010000}"/>
    <cellStyle name="20% - Accent3 9 3" xfId="11253" xr:uid="{FB3241C3-0213-4C83-B7EB-3FB9956F72E2}"/>
    <cellStyle name="20% - Accent4" xfId="25" builtinId="42" customBuiltin="1"/>
    <cellStyle name="20% - Accent4 10" xfId="4531" xr:uid="{00000000-0005-0000-0000-0000E1010000}"/>
    <cellStyle name="20% - Accent4 10 2" xfId="9155" xr:uid="{107FAFCD-CD5F-4C8F-A19C-27A66205E578}"/>
    <cellStyle name="20% - Accent4 11" xfId="8742" xr:uid="{5C84447B-9C83-4962-9D41-3CF7B80509FE}"/>
    <cellStyle name="20% - Accent4 2" xfId="26" xr:uid="{00000000-0005-0000-0000-0000E2010000}"/>
    <cellStyle name="20% - Accent4 2 10" xfId="8743" xr:uid="{2F316C0B-7300-4835-A348-69ED6985774E}"/>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3" xfId="11757" xr:uid="{EBBEA534-4EFA-4792-A782-6603305D0520}"/>
    <cellStyle name="20% - Accent4 2 2 2 2 3" xfId="4948" xr:uid="{00000000-0005-0000-0000-0000E8010000}"/>
    <cellStyle name="20% - Accent4 2 2 2 2 4" xfId="9611" xr:uid="{484EAA81-15E2-42C0-8D53-09EABC969559}"/>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3" xfId="12170" xr:uid="{9D45B447-7DC3-480A-BD26-3EFEB973C492}"/>
    <cellStyle name="20% - Accent4 2 2 2 3 3" xfId="5361" xr:uid="{00000000-0005-0000-0000-0000EC010000}"/>
    <cellStyle name="20% - Accent4 2 2 2 3 4" xfId="10024" xr:uid="{6B23482C-A7B4-4960-9A1E-940A0436EE49}"/>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3" xfId="12583" xr:uid="{795873DA-4958-4E2E-B052-DB9283C20768}"/>
    <cellStyle name="20% - Accent4 2 2 2 4 3" xfId="5774" xr:uid="{00000000-0005-0000-0000-0000F0010000}"/>
    <cellStyle name="20% - Accent4 2 2 2 4 4" xfId="10438" xr:uid="{653DDA45-28A6-4632-9E88-96B4ED2DCD16}"/>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3" xfId="12996" xr:uid="{AF09CED5-12A0-4669-8E66-06B8A7F1B16F}"/>
    <cellStyle name="20% - Accent4 2 2 2 5 3" xfId="6187" xr:uid="{00000000-0005-0000-0000-0000F4010000}"/>
    <cellStyle name="20% - Accent4 2 2 2 5 4" xfId="10851" xr:uid="{A6A865C3-E940-4251-9B63-A88B806768A8}"/>
    <cellStyle name="20% - Accent4 2 2 2 6" xfId="2292" xr:uid="{00000000-0005-0000-0000-0000F5010000}"/>
    <cellStyle name="20% - Accent4 2 2 2 6 2" xfId="6600" xr:uid="{00000000-0005-0000-0000-0000F6010000}"/>
    <cellStyle name="20% - Accent4 2 2 2 6 3" xfId="11264" xr:uid="{2B6A659C-7AEF-43FA-B8B6-D2D2693DA20B}"/>
    <cellStyle name="20% - Accent4 2 2 2 7" xfId="4534" xr:uid="{00000000-0005-0000-0000-0000F7010000}"/>
    <cellStyle name="20% - Accent4 2 2 2 7 2" xfId="9158" xr:uid="{D5143990-2B2B-49AF-A016-F179E2E48F65}"/>
    <cellStyle name="20% - Accent4 2 2 2 8" xfId="8745" xr:uid="{94BE24CC-5E1C-48CC-8E67-45F3910D60AB}"/>
    <cellStyle name="20% - Accent4 2 2 3" xfId="597" xr:uid="{00000000-0005-0000-0000-0000F8010000}"/>
    <cellStyle name="20% - Accent4 2 2 3 2" xfId="2868" xr:uid="{00000000-0005-0000-0000-0000F9010000}"/>
    <cellStyle name="20% - Accent4 2 2 3 2 2" xfId="7092" xr:uid="{00000000-0005-0000-0000-0000FA010000}"/>
    <cellStyle name="20% - Accent4 2 2 3 2 3" xfId="11756" xr:uid="{D7B3C282-8C23-453A-BFAB-623895B195F2}"/>
    <cellStyle name="20% - Accent4 2 2 3 3" xfId="4947" xr:uid="{00000000-0005-0000-0000-0000FB010000}"/>
    <cellStyle name="20% - Accent4 2 2 3 4" xfId="9610" xr:uid="{0E2A9779-877F-4276-9F5E-1F2DD3310CD9}"/>
    <cellStyle name="20% - Accent4 2 2 4" xfId="1050" xr:uid="{00000000-0005-0000-0000-0000FC010000}"/>
    <cellStyle name="20% - Accent4 2 2 4 2" xfId="3281" xr:uid="{00000000-0005-0000-0000-0000FD010000}"/>
    <cellStyle name="20% - Accent4 2 2 4 2 2" xfId="7505" xr:uid="{00000000-0005-0000-0000-0000FE010000}"/>
    <cellStyle name="20% - Accent4 2 2 4 2 3" xfId="12169" xr:uid="{93F9BD3D-88FE-437C-AAD0-3B90465DBB0A}"/>
    <cellStyle name="20% - Accent4 2 2 4 3" xfId="5360" xr:uid="{00000000-0005-0000-0000-0000FF010000}"/>
    <cellStyle name="20% - Accent4 2 2 4 4" xfId="10023" xr:uid="{850DE671-0839-4473-A183-5E7869DE652A}"/>
    <cellStyle name="20% - Accent4 2 2 5" xfId="1464" xr:uid="{00000000-0005-0000-0000-000000020000}"/>
    <cellStyle name="20% - Accent4 2 2 5 2" xfId="3694" xr:uid="{00000000-0005-0000-0000-000001020000}"/>
    <cellStyle name="20% - Accent4 2 2 5 2 2" xfId="7918" xr:uid="{00000000-0005-0000-0000-000002020000}"/>
    <cellStyle name="20% - Accent4 2 2 5 2 3" xfId="12582" xr:uid="{A2D6D155-D1D9-4341-8571-FF6E18C71D24}"/>
    <cellStyle name="20% - Accent4 2 2 5 3" xfId="5773" xr:uid="{00000000-0005-0000-0000-000003020000}"/>
    <cellStyle name="20% - Accent4 2 2 5 4" xfId="10437" xr:uid="{9FB84FF9-4968-45BE-97FD-DFC0483FF9F3}"/>
    <cellStyle name="20% - Accent4 2 2 6" xfId="1878" xr:uid="{00000000-0005-0000-0000-000004020000}"/>
    <cellStyle name="20% - Accent4 2 2 6 2" xfId="4107" xr:uid="{00000000-0005-0000-0000-000005020000}"/>
    <cellStyle name="20% - Accent4 2 2 6 2 2" xfId="8331" xr:uid="{00000000-0005-0000-0000-000006020000}"/>
    <cellStyle name="20% - Accent4 2 2 6 2 3" xfId="12995" xr:uid="{1B79D2A8-33FC-42FF-983F-64B8C747DE1C}"/>
    <cellStyle name="20% - Accent4 2 2 6 3" xfId="6186" xr:uid="{00000000-0005-0000-0000-000007020000}"/>
    <cellStyle name="20% - Accent4 2 2 6 4" xfId="10850" xr:uid="{578E9DDE-F50A-4CE6-A0E5-3D85470209F9}"/>
    <cellStyle name="20% - Accent4 2 2 7" xfId="2291" xr:uid="{00000000-0005-0000-0000-000008020000}"/>
    <cellStyle name="20% - Accent4 2 2 7 2" xfId="6599" xr:uid="{00000000-0005-0000-0000-000009020000}"/>
    <cellStyle name="20% - Accent4 2 2 7 3" xfId="11263" xr:uid="{7B16488E-E56E-4BFA-A7B3-C5DE0D63B423}"/>
    <cellStyle name="20% - Accent4 2 2 8" xfId="4533" xr:uid="{00000000-0005-0000-0000-00000A020000}"/>
    <cellStyle name="20% - Accent4 2 2 8 2" xfId="9157" xr:uid="{19D0A6DC-87D2-482D-ADF9-0B61C462D798}"/>
    <cellStyle name="20% - Accent4 2 2 9" xfId="8744" xr:uid="{F745D0A1-61DC-46E0-B498-C6F7724A4B01}"/>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3" xfId="11758" xr:uid="{D7DF4D10-FCC4-48EA-9B7A-8E0F9A1C04FE}"/>
    <cellStyle name="20% - Accent4 2 3 2 3" xfId="4949" xr:uid="{00000000-0005-0000-0000-00000F020000}"/>
    <cellStyle name="20% - Accent4 2 3 2 4" xfId="9612" xr:uid="{21F78DD1-0133-4C9F-939F-E364805F6E83}"/>
    <cellStyle name="20% - Accent4 2 3 3" xfId="1052" xr:uid="{00000000-0005-0000-0000-000010020000}"/>
    <cellStyle name="20% - Accent4 2 3 3 2" xfId="3283" xr:uid="{00000000-0005-0000-0000-000011020000}"/>
    <cellStyle name="20% - Accent4 2 3 3 2 2" xfId="7507" xr:uid="{00000000-0005-0000-0000-000012020000}"/>
    <cellStyle name="20% - Accent4 2 3 3 2 3" xfId="12171" xr:uid="{C7F5395C-D4A8-4B3D-95B6-DD442E230B6B}"/>
    <cellStyle name="20% - Accent4 2 3 3 3" xfId="5362" xr:uid="{00000000-0005-0000-0000-000013020000}"/>
    <cellStyle name="20% - Accent4 2 3 3 4" xfId="10025" xr:uid="{923C0699-0636-4289-A10F-67A5026CC630}"/>
    <cellStyle name="20% - Accent4 2 3 4" xfId="1466" xr:uid="{00000000-0005-0000-0000-000014020000}"/>
    <cellStyle name="20% - Accent4 2 3 4 2" xfId="3696" xr:uid="{00000000-0005-0000-0000-000015020000}"/>
    <cellStyle name="20% - Accent4 2 3 4 2 2" xfId="7920" xr:uid="{00000000-0005-0000-0000-000016020000}"/>
    <cellStyle name="20% - Accent4 2 3 4 2 3" xfId="12584" xr:uid="{FB2EB821-E17A-4573-95AC-ACFAE8656E4F}"/>
    <cellStyle name="20% - Accent4 2 3 4 3" xfId="5775" xr:uid="{00000000-0005-0000-0000-000017020000}"/>
    <cellStyle name="20% - Accent4 2 3 4 4" xfId="10439" xr:uid="{8E191549-9EED-4379-B93B-E9C58A5FA314}"/>
    <cellStyle name="20% - Accent4 2 3 5" xfId="1880" xr:uid="{00000000-0005-0000-0000-000018020000}"/>
    <cellStyle name="20% - Accent4 2 3 5 2" xfId="4109" xr:uid="{00000000-0005-0000-0000-000019020000}"/>
    <cellStyle name="20% - Accent4 2 3 5 2 2" xfId="8333" xr:uid="{00000000-0005-0000-0000-00001A020000}"/>
    <cellStyle name="20% - Accent4 2 3 5 2 3" xfId="12997" xr:uid="{7BFE644E-D92B-4378-A25B-47C2A326F0FC}"/>
    <cellStyle name="20% - Accent4 2 3 5 3" xfId="6188" xr:uid="{00000000-0005-0000-0000-00001B020000}"/>
    <cellStyle name="20% - Accent4 2 3 5 4" xfId="10852" xr:uid="{B06AA928-217F-4DB3-9EC7-FD7E4C77938F}"/>
    <cellStyle name="20% - Accent4 2 3 6" xfId="2293" xr:uid="{00000000-0005-0000-0000-00001C020000}"/>
    <cellStyle name="20% - Accent4 2 3 6 2" xfId="6601" xr:uid="{00000000-0005-0000-0000-00001D020000}"/>
    <cellStyle name="20% - Accent4 2 3 6 3" xfId="11265" xr:uid="{3CD8996D-76E8-44CB-8AFA-69CD3EE58FFE}"/>
    <cellStyle name="20% - Accent4 2 3 7" xfId="4535" xr:uid="{00000000-0005-0000-0000-00001E020000}"/>
    <cellStyle name="20% - Accent4 2 3 7 2" xfId="9159" xr:uid="{0CAA3B85-2E16-467C-9C7A-162F2AD175B6}"/>
    <cellStyle name="20% - Accent4 2 3 8" xfId="8746" xr:uid="{83F84849-09CA-4D62-86AF-2A5E514F238C}"/>
    <cellStyle name="20% - Accent4 2 4" xfId="596" xr:uid="{00000000-0005-0000-0000-00001F020000}"/>
    <cellStyle name="20% - Accent4 2 4 2" xfId="2867" xr:uid="{00000000-0005-0000-0000-000020020000}"/>
    <cellStyle name="20% - Accent4 2 4 2 2" xfId="7091" xr:uid="{00000000-0005-0000-0000-000021020000}"/>
    <cellStyle name="20% - Accent4 2 4 2 3" xfId="11755" xr:uid="{4443AFAD-B863-4F63-A870-212BF98B5865}"/>
    <cellStyle name="20% - Accent4 2 4 3" xfId="4946" xr:uid="{00000000-0005-0000-0000-000022020000}"/>
    <cellStyle name="20% - Accent4 2 4 4" xfId="9609" xr:uid="{240AE362-42C2-4061-8646-85730C544D87}"/>
    <cellStyle name="20% - Accent4 2 5" xfId="1049" xr:uid="{00000000-0005-0000-0000-000023020000}"/>
    <cellStyle name="20% - Accent4 2 5 2" xfId="3280" xr:uid="{00000000-0005-0000-0000-000024020000}"/>
    <cellStyle name="20% - Accent4 2 5 2 2" xfId="7504" xr:uid="{00000000-0005-0000-0000-000025020000}"/>
    <cellStyle name="20% - Accent4 2 5 2 3" xfId="12168" xr:uid="{B56D1E67-CA83-4475-91FD-9C00787E4AE4}"/>
    <cellStyle name="20% - Accent4 2 5 3" xfId="5359" xr:uid="{00000000-0005-0000-0000-000026020000}"/>
    <cellStyle name="20% - Accent4 2 5 4" xfId="10022" xr:uid="{2A19AA40-1AA9-472F-B178-76C5F12B1752}"/>
    <cellStyle name="20% - Accent4 2 6" xfId="1463" xr:uid="{00000000-0005-0000-0000-000027020000}"/>
    <cellStyle name="20% - Accent4 2 6 2" xfId="3693" xr:uid="{00000000-0005-0000-0000-000028020000}"/>
    <cellStyle name="20% - Accent4 2 6 2 2" xfId="7917" xr:uid="{00000000-0005-0000-0000-000029020000}"/>
    <cellStyle name="20% - Accent4 2 6 2 3" xfId="12581" xr:uid="{315E24A4-A651-42BF-970C-8C765B12F753}"/>
    <cellStyle name="20% - Accent4 2 6 3" xfId="5772" xr:uid="{00000000-0005-0000-0000-00002A020000}"/>
    <cellStyle name="20% - Accent4 2 6 4" xfId="10436" xr:uid="{37BB5092-4EAF-4BBA-AE99-DF03627E99B4}"/>
    <cellStyle name="20% - Accent4 2 7" xfId="1877" xr:uid="{00000000-0005-0000-0000-00002B020000}"/>
    <cellStyle name="20% - Accent4 2 7 2" xfId="4106" xr:uid="{00000000-0005-0000-0000-00002C020000}"/>
    <cellStyle name="20% - Accent4 2 7 2 2" xfId="8330" xr:uid="{00000000-0005-0000-0000-00002D020000}"/>
    <cellStyle name="20% - Accent4 2 7 2 3" xfId="12994" xr:uid="{68BDC02C-17AC-4C33-BBCF-846BFC8CB615}"/>
    <cellStyle name="20% - Accent4 2 7 3" xfId="6185" xr:uid="{00000000-0005-0000-0000-00002E020000}"/>
    <cellStyle name="20% - Accent4 2 7 4" xfId="10849" xr:uid="{340936C2-5A35-4E2F-97CF-4B07F4A96B91}"/>
    <cellStyle name="20% - Accent4 2 8" xfId="2290" xr:uid="{00000000-0005-0000-0000-00002F020000}"/>
    <cellStyle name="20% - Accent4 2 8 2" xfId="6598" xr:uid="{00000000-0005-0000-0000-000030020000}"/>
    <cellStyle name="20% - Accent4 2 8 3" xfId="11262" xr:uid="{92DB47D8-4C9B-4D20-A403-47D33430337D}"/>
    <cellStyle name="20% - Accent4 2 9" xfId="4532" xr:uid="{00000000-0005-0000-0000-000031020000}"/>
    <cellStyle name="20% - Accent4 2 9 2" xfId="9156" xr:uid="{3BB80A38-3239-4557-908E-8DFD32A03168}"/>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3" xfId="11760" xr:uid="{E953EBE0-DAB5-491A-BC55-4B56F8170874}"/>
    <cellStyle name="20% - Accent4 3 2 2 3" xfId="4951" xr:uid="{00000000-0005-0000-0000-000037020000}"/>
    <cellStyle name="20% - Accent4 3 2 2 4" xfId="9614" xr:uid="{6648089B-5CA1-4629-9A23-27CB83438BE7}"/>
    <cellStyle name="20% - Accent4 3 2 3" xfId="1054" xr:uid="{00000000-0005-0000-0000-000038020000}"/>
    <cellStyle name="20% - Accent4 3 2 3 2" xfId="3285" xr:uid="{00000000-0005-0000-0000-000039020000}"/>
    <cellStyle name="20% - Accent4 3 2 3 2 2" xfId="7509" xr:uid="{00000000-0005-0000-0000-00003A020000}"/>
    <cellStyle name="20% - Accent4 3 2 3 2 3" xfId="12173" xr:uid="{7BE108C6-A532-4A27-9443-D0419D5DD26C}"/>
    <cellStyle name="20% - Accent4 3 2 3 3" xfId="5364" xr:uid="{00000000-0005-0000-0000-00003B020000}"/>
    <cellStyle name="20% - Accent4 3 2 3 4" xfId="10027" xr:uid="{31FB65BC-E1D0-4F47-85E7-CC677CAEEFD2}"/>
    <cellStyle name="20% - Accent4 3 2 4" xfId="1468" xr:uid="{00000000-0005-0000-0000-00003C020000}"/>
    <cellStyle name="20% - Accent4 3 2 4 2" xfId="3698" xr:uid="{00000000-0005-0000-0000-00003D020000}"/>
    <cellStyle name="20% - Accent4 3 2 4 2 2" xfId="7922" xr:uid="{00000000-0005-0000-0000-00003E020000}"/>
    <cellStyle name="20% - Accent4 3 2 4 2 3" xfId="12586" xr:uid="{D971042D-EEC9-4A85-A248-BE61E60269C3}"/>
    <cellStyle name="20% - Accent4 3 2 4 3" xfId="5777" xr:uid="{00000000-0005-0000-0000-00003F020000}"/>
    <cellStyle name="20% - Accent4 3 2 4 4" xfId="10441" xr:uid="{4A954255-25F9-45D0-AF79-66104FCEE35D}"/>
    <cellStyle name="20% - Accent4 3 2 5" xfId="1882" xr:uid="{00000000-0005-0000-0000-000040020000}"/>
    <cellStyle name="20% - Accent4 3 2 5 2" xfId="4111" xr:uid="{00000000-0005-0000-0000-000041020000}"/>
    <cellStyle name="20% - Accent4 3 2 5 2 2" xfId="8335" xr:uid="{00000000-0005-0000-0000-000042020000}"/>
    <cellStyle name="20% - Accent4 3 2 5 2 3" xfId="12999" xr:uid="{2AAB7F09-E011-4534-A85F-0A457451C90A}"/>
    <cellStyle name="20% - Accent4 3 2 5 3" xfId="6190" xr:uid="{00000000-0005-0000-0000-000043020000}"/>
    <cellStyle name="20% - Accent4 3 2 5 4" xfId="10854" xr:uid="{B7414DEF-7F0B-48EB-8B5E-E55DA91C71D4}"/>
    <cellStyle name="20% - Accent4 3 2 6" xfId="2295" xr:uid="{00000000-0005-0000-0000-000044020000}"/>
    <cellStyle name="20% - Accent4 3 2 6 2" xfId="6603" xr:uid="{00000000-0005-0000-0000-000045020000}"/>
    <cellStyle name="20% - Accent4 3 2 6 3" xfId="11267" xr:uid="{B921CFDD-56C8-428E-948C-5D5747A16060}"/>
    <cellStyle name="20% - Accent4 3 2 7" xfId="4537" xr:uid="{00000000-0005-0000-0000-000046020000}"/>
    <cellStyle name="20% - Accent4 3 2 7 2" xfId="9161" xr:uid="{1FB019CD-DC97-4A98-9376-94FD856A1322}"/>
    <cellStyle name="20% - Accent4 3 2 8" xfId="8748" xr:uid="{716B43BD-5512-4FE9-AFB6-82197659C257}"/>
    <cellStyle name="20% - Accent4 3 3" xfId="600" xr:uid="{00000000-0005-0000-0000-000047020000}"/>
    <cellStyle name="20% - Accent4 3 3 2" xfId="2871" xr:uid="{00000000-0005-0000-0000-000048020000}"/>
    <cellStyle name="20% - Accent4 3 3 2 2" xfId="7095" xr:uid="{00000000-0005-0000-0000-000049020000}"/>
    <cellStyle name="20% - Accent4 3 3 2 3" xfId="11759" xr:uid="{4D1EDF50-0D5F-4875-9EE4-B73820F85094}"/>
    <cellStyle name="20% - Accent4 3 3 3" xfId="4950" xr:uid="{00000000-0005-0000-0000-00004A020000}"/>
    <cellStyle name="20% - Accent4 3 3 4" xfId="9613" xr:uid="{904FFE49-375B-488C-AA11-83D8E17A20BE}"/>
    <cellStyle name="20% - Accent4 3 4" xfId="1053" xr:uid="{00000000-0005-0000-0000-00004B020000}"/>
    <cellStyle name="20% - Accent4 3 4 2" xfId="3284" xr:uid="{00000000-0005-0000-0000-00004C020000}"/>
    <cellStyle name="20% - Accent4 3 4 2 2" xfId="7508" xr:uid="{00000000-0005-0000-0000-00004D020000}"/>
    <cellStyle name="20% - Accent4 3 4 2 3" xfId="12172" xr:uid="{095AC768-D27D-4E5A-B8D2-F6E5EDB8F67A}"/>
    <cellStyle name="20% - Accent4 3 4 3" xfId="5363" xr:uid="{00000000-0005-0000-0000-00004E020000}"/>
    <cellStyle name="20% - Accent4 3 4 4" xfId="10026" xr:uid="{372D43C3-9394-484C-9CAB-F6EC823F4CC3}"/>
    <cellStyle name="20% - Accent4 3 5" xfId="1467" xr:uid="{00000000-0005-0000-0000-00004F020000}"/>
    <cellStyle name="20% - Accent4 3 5 2" xfId="3697" xr:uid="{00000000-0005-0000-0000-000050020000}"/>
    <cellStyle name="20% - Accent4 3 5 2 2" xfId="7921" xr:uid="{00000000-0005-0000-0000-000051020000}"/>
    <cellStyle name="20% - Accent4 3 5 2 3" xfId="12585" xr:uid="{34F01B4B-0837-4632-9521-CEE855ABA845}"/>
    <cellStyle name="20% - Accent4 3 5 3" xfId="5776" xr:uid="{00000000-0005-0000-0000-000052020000}"/>
    <cellStyle name="20% - Accent4 3 5 4" xfId="10440" xr:uid="{AA7DACD1-26FB-44BC-8333-D4D706322127}"/>
    <cellStyle name="20% - Accent4 3 6" xfId="1881" xr:uid="{00000000-0005-0000-0000-000053020000}"/>
    <cellStyle name="20% - Accent4 3 6 2" xfId="4110" xr:uid="{00000000-0005-0000-0000-000054020000}"/>
    <cellStyle name="20% - Accent4 3 6 2 2" xfId="8334" xr:uid="{00000000-0005-0000-0000-000055020000}"/>
    <cellStyle name="20% - Accent4 3 6 2 3" xfId="12998" xr:uid="{BCA63CA7-AC50-4FA5-AF51-9C7DAB4CCFDA}"/>
    <cellStyle name="20% - Accent4 3 6 3" xfId="6189" xr:uid="{00000000-0005-0000-0000-000056020000}"/>
    <cellStyle name="20% - Accent4 3 6 4" xfId="10853" xr:uid="{1F2B9199-764D-49AE-8216-B0941ABB0A80}"/>
    <cellStyle name="20% - Accent4 3 7" xfId="2294" xr:uid="{00000000-0005-0000-0000-000057020000}"/>
    <cellStyle name="20% - Accent4 3 7 2" xfId="6602" xr:uid="{00000000-0005-0000-0000-000058020000}"/>
    <cellStyle name="20% - Accent4 3 7 3" xfId="11266" xr:uid="{4D197AFC-0737-4AFD-B6BF-FDE1BD669F5D}"/>
    <cellStyle name="20% - Accent4 3 8" xfId="4536" xr:uid="{00000000-0005-0000-0000-000059020000}"/>
    <cellStyle name="20% - Accent4 3 8 2" xfId="9160" xr:uid="{06267BA6-01D0-4804-B1CA-79E6497A38CE}"/>
    <cellStyle name="20% - Accent4 3 9" xfId="8747" xr:uid="{43FBAF3D-B145-4A52-9463-31179C29CF48}"/>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3" xfId="11761" xr:uid="{2EBC7A77-9A31-48F1-B570-DBF547C6DF16}"/>
    <cellStyle name="20% - Accent4 4 2 3" xfId="4952" xr:uid="{00000000-0005-0000-0000-00005E020000}"/>
    <cellStyle name="20% - Accent4 4 2 4" xfId="9615" xr:uid="{DA1832C1-5E35-4D1F-AC8B-4D7D8CBA53FA}"/>
    <cellStyle name="20% - Accent4 4 3" xfId="1055" xr:uid="{00000000-0005-0000-0000-00005F020000}"/>
    <cellStyle name="20% - Accent4 4 3 2" xfId="3286" xr:uid="{00000000-0005-0000-0000-000060020000}"/>
    <cellStyle name="20% - Accent4 4 3 2 2" xfId="7510" xr:uid="{00000000-0005-0000-0000-000061020000}"/>
    <cellStyle name="20% - Accent4 4 3 2 3" xfId="12174" xr:uid="{9DAB6BFF-3EE0-4DC1-B106-67D26A00807D}"/>
    <cellStyle name="20% - Accent4 4 3 3" xfId="5365" xr:uid="{00000000-0005-0000-0000-000062020000}"/>
    <cellStyle name="20% - Accent4 4 3 4" xfId="10028" xr:uid="{4E170494-B3A0-424A-B6DB-C75586E28FC5}"/>
    <cellStyle name="20% - Accent4 4 4" xfId="1469" xr:uid="{00000000-0005-0000-0000-000063020000}"/>
    <cellStyle name="20% - Accent4 4 4 2" xfId="3699" xr:uid="{00000000-0005-0000-0000-000064020000}"/>
    <cellStyle name="20% - Accent4 4 4 2 2" xfId="7923" xr:uid="{00000000-0005-0000-0000-000065020000}"/>
    <cellStyle name="20% - Accent4 4 4 2 3" xfId="12587" xr:uid="{DC22F116-DE3D-46CF-8376-E2A5CE751909}"/>
    <cellStyle name="20% - Accent4 4 4 3" xfId="5778" xr:uid="{00000000-0005-0000-0000-000066020000}"/>
    <cellStyle name="20% - Accent4 4 4 4" xfId="10442" xr:uid="{BCD657C0-112E-465E-9849-F387C870DD52}"/>
    <cellStyle name="20% - Accent4 4 5" xfId="1883" xr:uid="{00000000-0005-0000-0000-000067020000}"/>
    <cellStyle name="20% - Accent4 4 5 2" xfId="4112" xr:uid="{00000000-0005-0000-0000-000068020000}"/>
    <cellStyle name="20% - Accent4 4 5 2 2" xfId="8336" xr:uid="{00000000-0005-0000-0000-000069020000}"/>
    <cellStyle name="20% - Accent4 4 5 2 3" xfId="13000" xr:uid="{E3FD5A62-ACA9-48D4-A8EF-45F2542EECDE}"/>
    <cellStyle name="20% - Accent4 4 5 3" xfId="6191" xr:uid="{00000000-0005-0000-0000-00006A020000}"/>
    <cellStyle name="20% - Accent4 4 5 4" xfId="10855" xr:uid="{33922FC7-835B-4212-8516-7273E32BFBF1}"/>
    <cellStyle name="20% - Accent4 4 6" xfId="2296" xr:uid="{00000000-0005-0000-0000-00006B020000}"/>
    <cellStyle name="20% - Accent4 4 6 2" xfId="6604" xr:uid="{00000000-0005-0000-0000-00006C020000}"/>
    <cellStyle name="20% - Accent4 4 6 3" xfId="11268" xr:uid="{F9E45274-996B-4F35-A992-40AA7064B49C}"/>
    <cellStyle name="20% - Accent4 4 7" xfId="4538" xr:uid="{00000000-0005-0000-0000-00006D020000}"/>
    <cellStyle name="20% - Accent4 4 7 2" xfId="9162" xr:uid="{85E297A6-2EB6-43A3-9BB9-2282001D0DC8}"/>
    <cellStyle name="20% - Accent4 4 8" xfId="8749" xr:uid="{85BDB889-67F9-4A10-AAC5-630D31F47F51}"/>
    <cellStyle name="20% - Accent4 5" xfId="595" xr:uid="{00000000-0005-0000-0000-00006E020000}"/>
    <cellStyle name="20% - Accent4 5 2" xfId="2866" xr:uid="{00000000-0005-0000-0000-00006F020000}"/>
    <cellStyle name="20% - Accent4 5 2 2" xfId="7090" xr:uid="{00000000-0005-0000-0000-000070020000}"/>
    <cellStyle name="20% - Accent4 5 2 3" xfId="11754" xr:uid="{29CDE851-5CDA-4540-9F1A-7B621B9B6F14}"/>
    <cellStyle name="20% - Accent4 5 3" xfId="4945" xr:uid="{00000000-0005-0000-0000-000071020000}"/>
    <cellStyle name="20% - Accent4 5 4" xfId="9608" xr:uid="{EB198C85-2D2E-4A83-9678-F80E55C19896}"/>
    <cellStyle name="20% - Accent4 6" xfId="1048" xr:uid="{00000000-0005-0000-0000-000072020000}"/>
    <cellStyle name="20% - Accent4 6 2" xfId="3279" xr:uid="{00000000-0005-0000-0000-000073020000}"/>
    <cellStyle name="20% - Accent4 6 2 2" xfId="7503" xr:uid="{00000000-0005-0000-0000-000074020000}"/>
    <cellStyle name="20% - Accent4 6 2 3" xfId="12167" xr:uid="{925A6FCA-629D-49E1-B54F-2E515AD8326A}"/>
    <cellStyle name="20% - Accent4 6 3" xfId="5358" xr:uid="{00000000-0005-0000-0000-000075020000}"/>
    <cellStyle name="20% - Accent4 6 4" xfId="10021" xr:uid="{50B0DC5F-8AAD-4B85-BABD-DDA7E06D3E5F}"/>
    <cellStyle name="20% - Accent4 7" xfId="1462" xr:uid="{00000000-0005-0000-0000-000076020000}"/>
    <cellStyle name="20% - Accent4 7 2" xfId="3692" xr:uid="{00000000-0005-0000-0000-000077020000}"/>
    <cellStyle name="20% - Accent4 7 2 2" xfId="7916" xr:uid="{00000000-0005-0000-0000-000078020000}"/>
    <cellStyle name="20% - Accent4 7 2 3" xfId="12580" xr:uid="{BC103AD6-A639-4EA3-9CE1-0A3C60E76487}"/>
    <cellStyle name="20% - Accent4 7 3" xfId="5771" xr:uid="{00000000-0005-0000-0000-000079020000}"/>
    <cellStyle name="20% - Accent4 7 4" xfId="10435" xr:uid="{F7C22F95-FDDC-490F-9E1A-C57586C7FE36}"/>
    <cellStyle name="20% - Accent4 8" xfId="1876" xr:uid="{00000000-0005-0000-0000-00007A020000}"/>
    <cellStyle name="20% - Accent4 8 2" xfId="4105" xr:uid="{00000000-0005-0000-0000-00007B020000}"/>
    <cellStyle name="20% - Accent4 8 2 2" xfId="8329" xr:uid="{00000000-0005-0000-0000-00007C020000}"/>
    <cellStyle name="20% - Accent4 8 2 3" xfId="12993" xr:uid="{D9F6D0D0-4888-402F-B68B-E8ECB0ADB049}"/>
    <cellStyle name="20% - Accent4 8 3" xfId="6184" xr:uid="{00000000-0005-0000-0000-00007D020000}"/>
    <cellStyle name="20% - Accent4 8 4" xfId="10848" xr:uid="{FC842C07-E894-4E4E-8DC9-B67B08C298FE}"/>
    <cellStyle name="20% - Accent4 9" xfId="2289" xr:uid="{00000000-0005-0000-0000-00007E020000}"/>
    <cellStyle name="20% - Accent4 9 2" xfId="6597" xr:uid="{00000000-0005-0000-0000-00007F020000}"/>
    <cellStyle name="20% - Accent4 9 3" xfId="11261" xr:uid="{91F3D0CF-FBD6-44B4-BE69-81B431F2AC98}"/>
    <cellStyle name="20% - Accent5" xfId="33" builtinId="46" customBuiltin="1"/>
    <cellStyle name="20% - Accent5 10" xfId="4539" xr:uid="{00000000-0005-0000-0000-000081020000}"/>
    <cellStyle name="20% - Accent5 10 2" xfId="9163" xr:uid="{E3E596B2-94CA-4865-9514-D287F0EB389C}"/>
    <cellStyle name="20% - Accent5 11" xfId="8750" xr:uid="{B70B85CC-A626-438D-A6DC-B50274E655F1}"/>
    <cellStyle name="20% - Accent5 2" xfId="34" xr:uid="{00000000-0005-0000-0000-000082020000}"/>
    <cellStyle name="20% - Accent5 2 10" xfId="8751" xr:uid="{CFF04887-AEB3-4860-9837-EB54385FAD2B}"/>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3" xfId="11765" xr:uid="{80A403EB-C348-4CC9-873E-D0CD7A0265A6}"/>
    <cellStyle name="20% - Accent5 2 2 2 2 3" xfId="4956" xr:uid="{00000000-0005-0000-0000-000088020000}"/>
    <cellStyle name="20% - Accent5 2 2 2 2 4" xfId="9619" xr:uid="{4C6C28DB-24A8-4FB9-951A-463C3D4A267C}"/>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3" xfId="12178" xr:uid="{369F1E1E-79C3-4EDE-8624-8DEF0478BF43}"/>
    <cellStyle name="20% - Accent5 2 2 2 3 3" xfId="5369" xr:uid="{00000000-0005-0000-0000-00008C020000}"/>
    <cellStyle name="20% - Accent5 2 2 2 3 4" xfId="10032" xr:uid="{42109E00-3F9C-421B-A82A-263F07B1F58D}"/>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3" xfId="12591" xr:uid="{BA22D569-A078-4A6C-ADD3-483200DAD8F8}"/>
    <cellStyle name="20% - Accent5 2 2 2 4 3" xfId="5782" xr:uid="{00000000-0005-0000-0000-000090020000}"/>
    <cellStyle name="20% - Accent5 2 2 2 4 4" xfId="10446" xr:uid="{EC401756-0810-41F6-8DB7-6268CEB0BDE3}"/>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3" xfId="13004" xr:uid="{A63A6F32-2715-4F1F-9C40-F771ADF200E1}"/>
    <cellStyle name="20% - Accent5 2 2 2 5 3" xfId="6195" xr:uid="{00000000-0005-0000-0000-000094020000}"/>
    <cellStyle name="20% - Accent5 2 2 2 5 4" xfId="10859" xr:uid="{CD467A8F-A489-4683-AD8B-4BB3E050BABC}"/>
    <cellStyle name="20% - Accent5 2 2 2 6" xfId="2300" xr:uid="{00000000-0005-0000-0000-000095020000}"/>
    <cellStyle name="20% - Accent5 2 2 2 6 2" xfId="6608" xr:uid="{00000000-0005-0000-0000-000096020000}"/>
    <cellStyle name="20% - Accent5 2 2 2 6 3" xfId="11272" xr:uid="{95930869-4B75-4F1C-897F-3CF4B258ADFA}"/>
    <cellStyle name="20% - Accent5 2 2 2 7" xfId="4542" xr:uid="{00000000-0005-0000-0000-000097020000}"/>
    <cellStyle name="20% - Accent5 2 2 2 7 2" xfId="9166" xr:uid="{F7A5FCB6-20C6-46B4-BADD-575A54C8E310}"/>
    <cellStyle name="20% - Accent5 2 2 2 8" xfId="8753" xr:uid="{815642CA-571D-4245-A502-569F62E1B67D}"/>
    <cellStyle name="20% - Accent5 2 2 3" xfId="605" xr:uid="{00000000-0005-0000-0000-000098020000}"/>
    <cellStyle name="20% - Accent5 2 2 3 2" xfId="2876" xr:uid="{00000000-0005-0000-0000-000099020000}"/>
    <cellStyle name="20% - Accent5 2 2 3 2 2" xfId="7100" xr:uid="{00000000-0005-0000-0000-00009A020000}"/>
    <cellStyle name="20% - Accent5 2 2 3 2 3" xfId="11764" xr:uid="{B3A36256-ED3F-4E21-B0BA-2E4737A9F5E5}"/>
    <cellStyle name="20% - Accent5 2 2 3 3" xfId="4955" xr:uid="{00000000-0005-0000-0000-00009B020000}"/>
    <cellStyle name="20% - Accent5 2 2 3 4" xfId="9618" xr:uid="{7076B07F-3329-44E0-9B1C-2AFC2F7D8C96}"/>
    <cellStyle name="20% - Accent5 2 2 4" xfId="1058" xr:uid="{00000000-0005-0000-0000-00009C020000}"/>
    <cellStyle name="20% - Accent5 2 2 4 2" xfId="3289" xr:uid="{00000000-0005-0000-0000-00009D020000}"/>
    <cellStyle name="20% - Accent5 2 2 4 2 2" xfId="7513" xr:uid="{00000000-0005-0000-0000-00009E020000}"/>
    <cellStyle name="20% - Accent5 2 2 4 2 3" xfId="12177" xr:uid="{CEAEC026-1162-4E99-ACE4-EB90FEDB7187}"/>
    <cellStyle name="20% - Accent5 2 2 4 3" xfId="5368" xr:uid="{00000000-0005-0000-0000-00009F020000}"/>
    <cellStyle name="20% - Accent5 2 2 4 4" xfId="10031" xr:uid="{A07C100E-7F2C-4BA4-A884-4F52F86EE44F}"/>
    <cellStyle name="20% - Accent5 2 2 5" xfId="1472" xr:uid="{00000000-0005-0000-0000-0000A0020000}"/>
    <cellStyle name="20% - Accent5 2 2 5 2" xfId="3702" xr:uid="{00000000-0005-0000-0000-0000A1020000}"/>
    <cellStyle name="20% - Accent5 2 2 5 2 2" xfId="7926" xr:uid="{00000000-0005-0000-0000-0000A2020000}"/>
    <cellStyle name="20% - Accent5 2 2 5 2 3" xfId="12590" xr:uid="{6AB2150B-FD4E-40AF-B1BD-F38F27E3DCE1}"/>
    <cellStyle name="20% - Accent5 2 2 5 3" xfId="5781" xr:uid="{00000000-0005-0000-0000-0000A3020000}"/>
    <cellStyle name="20% - Accent5 2 2 5 4" xfId="10445" xr:uid="{73804DE3-72EE-4070-9742-37205AF88124}"/>
    <cellStyle name="20% - Accent5 2 2 6" xfId="1886" xr:uid="{00000000-0005-0000-0000-0000A4020000}"/>
    <cellStyle name="20% - Accent5 2 2 6 2" xfId="4115" xr:uid="{00000000-0005-0000-0000-0000A5020000}"/>
    <cellStyle name="20% - Accent5 2 2 6 2 2" xfId="8339" xr:uid="{00000000-0005-0000-0000-0000A6020000}"/>
    <cellStyle name="20% - Accent5 2 2 6 2 3" xfId="13003" xr:uid="{CFCC20E5-3E99-4069-A38A-E68C952A7ED1}"/>
    <cellStyle name="20% - Accent5 2 2 6 3" xfId="6194" xr:uid="{00000000-0005-0000-0000-0000A7020000}"/>
    <cellStyle name="20% - Accent5 2 2 6 4" xfId="10858" xr:uid="{DC357211-8094-4712-AFDC-03ADB0EF7F13}"/>
    <cellStyle name="20% - Accent5 2 2 7" xfId="2299" xr:uid="{00000000-0005-0000-0000-0000A8020000}"/>
    <cellStyle name="20% - Accent5 2 2 7 2" xfId="6607" xr:uid="{00000000-0005-0000-0000-0000A9020000}"/>
    <cellStyle name="20% - Accent5 2 2 7 3" xfId="11271" xr:uid="{7CD957F8-FCCA-434C-8FC1-4D034F776535}"/>
    <cellStyle name="20% - Accent5 2 2 8" xfId="4541" xr:uid="{00000000-0005-0000-0000-0000AA020000}"/>
    <cellStyle name="20% - Accent5 2 2 8 2" xfId="9165" xr:uid="{23F66279-D4C1-40B6-A726-A6599F91112F}"/>
    <cellStyle name="20% - Accent5 2 2 9" xfId="8752" xr:uid="{B082AC39-9F4A-4BB3-B2F4-70C23622E523}"/>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3" xfId="11766" xr:uid="{3C98D71B-97E5-4B20-A3E0-6B0D3085CA10}"/>
    <cellStyle name="20% - Accent5 2 3 2 3" xfId="4957" xr:uid="{00000000-0005-0000-0000-0000AF020000}"/>
    <cellStyle name="20% - Accent5 2 3 2 4" xfId="9620" xr:uid="{6D15408A-3B01-454D-ACD9-9958D9AE2274}"/>
    <cellStyle name="20% - Accent5 2 3 3" xfId="1060" xr:uid="{00000000-0005-0000-0000-0000B0020000}"/>
    <cellStyle name="20% - Accent5 2 3 3 2" xfId="3291" xr:uid="{00000000-0005-0000-0000-0000B1020000}"/>
    <cellStyle name="20% - Accent5 2 3 3 2 2" xfId="7515" xr:uid="{00000000-0005-0000-0000-0000B2020000}"/>
    <cellStyle name="20% - Accent5 2 3 3 2 3" xfId="12179" xr:uid="{E2AE1B74-92B6-44CD-84D8-4AF52FC3EE3E}"/>
    <cellStyle name="20% - Accent5 2 3 3 3" xfId="5370" xr:uid="{00000000-0005-0000-0000-0000B3020000}"/>
    <cellStyle name="20% - Accent5 2 3 3 4" xfId="10033" xr:uid="{71A9D0C4-6673-40C3-AAFC-7B984AE3F4F3}"/>
    <cellStyle name="20% - Accent5 2 3 4" xfId="1474" xr:uid="{00000000-0005-0000-0000-0000B4020000}"/>
    <cellStyle name="20% - Accent5 2 3 4 2" xfId="3704" xr:uid="{00000000-0005-0000-0000-0000B5020000}"/>
    <cellStyle name="20% - Accent5 2 3 4 2 2" xfId="7928" xr:uid="{00000000-0005-0000-0000-0000B6020000}"/>
    <cellStyle name="20% - Accent5 2 3 4 2 3" xfId="12592" xr:uid="{A8A73800-B6BB-47D2-812F-5F58C027ADF2}"/>
    <cellStyle name="20% - Accent5 2 3 4 3" xfId="5783" xr:uid="{00000000-0005-0000-0000-0000B7020000}"/>
    <cellStyle name="20% - Accent5 2 3 4 4" xfId="10447" xr:uid="{FA722A65-6A0E-4426-9F06-F6D9351F5168}"/>
    <cellStyle name="20% - Accent5 2 3 5" xfId="1888" xr:uid="{00000000-0005-0000-0000-0000B8020000}"/>
    <cellStyle name="20% - Accent5 2 3 5 2" xfId="4117" xr:uid="{00000000-0005-0000-0000-0000B9020000}"/>
    <cellStyle name="20% - Accent5 2 3 5 2 2" xfId="8341" xr:uid="{00000000-0005-0000-0000-0000BA020000}"/>
    <cellStyle name="20% - Accent5 2 3 5 2 3" xfId="13005" xr:uid="{29509671-55F6-4F64-B16B-E2960787B848}"/>
    <cellStyle name="20% - Accent5 2 3 5 3" xfId="6196" xr:uid="{00000000-0005-0000-0000-0000BB020000}"/>
    <cellStyle name="20% - Accent5 2 3 5 4" xfId="10860" xr:uid="{0790E4F4-2155-4E1C-B349-7C814CC48475}"/>
    <cellStyle name="20% - Accent5 2 3 6" xfId="2301" xr:uid="{00000000-0005-0000-0000-0000BC020000}"/>
    <cellStyle name="20% - Accent5 2 3 6 2" xfId="6609" xr:uid="{00000000-0005-0000-0000-0000BD020000}"/>
    <cellStyle name="20% - Accent5 2 3 6 3" xfId="11273" xr:uid="{E1E18220-8B06-42A7-A1B6-F0E953703B19}"/>
    <cellStyle name="20% - Accent5 2 3 7" xfId="4543" xr:uid="{00000000-0005-0000-0000-0000BE020000}"/>
    <cellStyle name="20% - Accent5 2 3 7 2" xfId="9167" xr:uid="{C61F4A5E-C095-491A-8F99-E9397C6E68C2}"/>
    <cellStyle name="20% - Accent5 2 3 8" xfId="8754" xr:uid="{0A5A3760-2EA5-4875-8BD5-35CC3A8CD80D}"/>
    <cellStyle name="20% - Accent5 2 4" xfId="604" xr:uid="{00000000-0005-0000-0000-0000BF020000}"/>
    <cellStyle name="20% - Accent5 2 4 2" xfId="2875" xr:uid="{00000000-0005-0000-0000-0000C0020000}"/>
    <cellStyle name="20% - Accent5 2 4 2 2" xfId="7099" xr:uid="{00000000-0005-0000-0000-0000C1020000}"/>
    <cellStyle name="20% - Accent5 2 4 2 3" xfId="11763" xr:uid="{85C70F0B-DA81-421D-98DF-862599CB5D0D}"/>
    <cellStyle name="20% - Accent5 2 4 3" xfId="4954" xr:uid="{00000000-0005-0000-0000-0000C2020000}"/>
    <cellStyle name="20% - Accent5 2 4 4" xfId="9617" xr:uid="{8890ED5B-7CF7-410F-B7A4-A42F3454F3CE}"/>
    <cellStyle name="20% - Accent5 2 5" xfId="1057" xr:uid="{00000000-0005-0000-0000-0000C3020000}"/>
    <cellStyle name="20% - Accent5 2 5 2" xfId="3288" xr:uid="{00000000-0005-0000-0000-0000C4020000}"/>
    <cellStyle name="20% - Accent5 2 5 2 2" xfId="7512" xr:uid="{00000000-0005-0000-0000-0000C5020000}"/>
    <cellStyle name="20% - Accent5 2 5 2 3" xfId="12176" xr:uid="{03C1F3A5-3ABF-44F2-B8AF-9981FD140CE1}"/>
    <cellStyle name="20% - Accent5 2 5 3" xfId="5367" xr:uid="{00000000-0005-0000-0000-0000C6020000}"/>
    <cellStyle name="20% - Accent5 2 5 4" xfId="10030" xr:uid="{E0F16E91-CC6D-440B-B745-2FFDBFEBEBD5}"/>
    <cellStyle name="20% - Accent5 2 6" xfId="1471" xr:uid="{00000000-0005-0000-0000-0000C7020000}"/>
    <cellStyle name="20% - Accent5 2 6 2" xfId="3701" xr:uid="{00000000-0005-0000-0000-0000C8020000}"/>
    <cellStyle name="20% - Accent5 2 6 2 2" xfId="7925" xr:uid="{00000000-0005-0000-0000-0000C9020000}"/>
    <cellStyle name="20% - Accent5 2 6 2 3" xfId="12589" xr:uid="{923EF591-1A9D-4393-A8EA-72CF7FD39D1C}"/>
    <cellStyle name="20% - Accent5 2 6 3" xfId="5780" xr:uid="{00000000-0005-0000-0000-0000CA020000}"/>
    <cellStyle name="20% - Accent5 2 6 4" xfId="10444" xr:uid="{5EB37402-A4BF-438C-B68A-99477BDEB121}"/>
    <cellStyle name="20% - Accent5 2 7" xfId="1885" xr:uid="{00000000-0005-0000-0000-0000CB020000}"/>
    <cellStyle name="20% - Accent5 2 7 2" xfId="4114" xr:uid="{00000000-0005-0000-0000-0000CC020000}"/>
    <cellStyle name="20% - Accent5 2 7 2 2" xfId="8338" xr:uid="{00000000-0005-0000-0000-0000CD020000}"/>
    <cellStyle name="20% - Accent5 2 7 2 3" xfId="13002" xr:uid="{4829C48B-F29F-41EB-9E66-DAA4DD4938D4}"/>
    <cellStyle name="20% - Accent5 2 7 3" xfId="6193" xr:uid="{00000000-0005-0000-0000-0000CE020000}"/>
    <cellStyle name="20% - Accent5 2 7 4" xfId="10857" xr:uid="{4892EDA9-C16C-46D5-A124-BF1A2EDAC419}"/>
    <cellStyle name="20% - Accent5 2 8" xfId="2298" xr:uid="{00000000-0005-0000-0000-0000CF020000}"/>
    <cellStyle name="20% - Accent5 2 8 2" xfId="6606" xr:uid="{00000000-0005-0000-0000-0000D0020000}"/>
    <cellStyle name="20% - Accent5 2 8 3" xfId="11270" xr:uid="{2B915EEB-16A0-48DD-A4D9-2CEA3F24B830}"/>
    <cellStyle name="20% - Accent5 2 9" xfId="4540" xr:uid="{00000000-0005-0000-0000-0000D1020000}"/>
    <cellStyle name="20% - Accent5 2 9 2" xfId="9164" xr:uid="{A7C6F9CC-2209-4293-97EC-8D1EF871745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3" xfId="11768" xr:uid="{4E92E862-16A8-450B-A40A-2683C9C84EA7}"/>
    <cellStyle name="20% - Accent5 3 2 2 3" xfId="4959" xr:uid="{00000000-0005-0000-0000-0000D7020000}"/>
    <cellStyle name="20% - Accent5 3 2 2 4" xfId="9622" xr:uid="{FCBF346B-94F8-4A31-ACEA-B7700400E5B9}"/>
    <cellStyle name="20% - Accent5 3 2 3" xfId="1062" xr:uid="{00000000-0005-0000-0000-0000D8020000}"/>
    <cellStyle name="20% - Accent5 3 2 3 2" xfId="3293" xr:uid="{00000000-0005-0000-0000-0000D9020000}"/>
    <cellStyle name="20% - Accent5 3 2 3 2 2" xfId="7517" xr:uid="{00000000-0005-0000-0000-0000DA020000}"/>
    <cellStyle name="20% - Accent5 3 2 3 2 3" xfId="12181" xr:uid="{B902E0B6-0B0F-4130-9977-38840ECCF73E}"/>
    <cellStyle name="20% - Accent5 3 2 3 3" xfId="5372" xr:uid="{00000000-0005-0000-0000-0000DB020000}"/>
    <cellStyle name="20% - Accent5 3 2 3 4" xfId="10035" xr:uid="{C5940B33-A5C0-4E35-803C-E27CC20C743A}"/>
    <cellStyle name="20% - Accent5 3 2 4" xfId="1476" xr:uid="{00000000-0005-0000-0000-0000DC020000}"/>
    <cellStyle name="20% - Accent5 3 2 4 2" xfId="3706" xr:uid="{00000000-0005-0000-0000-0000DD020000}"/>
    <cellStyle name="20% - Accent5 3 2 4 2 2" xfId="7930" xr:uid="{00000000-0005-0000-0000-0000DE020000}"/>
    <cellStyle name="20% - Accent5 3 2 4 2 3" xfId="12594" xr:uid="{78159E49-A962-4966-8C7E-CC9CF42861B1}"/>
    <cellStyle name="20% - Accent5 3 2 4 3" xfId="5785" xr:uid="{00000000-0005-0000-0000-0000DF020000}"/>
    <cellStyle name="20% - Accent5 3 2 4 4" xfId="10449" xr:uid="{B12E1757-E4FD-4411-B3B4-D48805A2D017}"/>
    <cellStyle name="20% - Accent5 3 2 5" xfId="1890" xr:uid="{00000000-0005-0000-0000-0000E0020000}"/>
    <cellStyle name="20% - Accent5 3 2 5 2" xfId="4119" xr:uid="{00000000-0005-0000-0000-0000E1020000}"/>
    <cellStyle name="20% - Accent5 3 2 5 2 2" xfId="8343" xr:uid="{00000000-0005-0000-0000-0000E2020000}"/>
    <cellStyle name="20% - Accent5 3 2 5 2 3" xfId="13007" xr:uid="{4C1FE915-57E9-474F-ABCB-A710623D11B9}"/>
    <cellStyle name="20% - Accent5 3 2 5 3" xfId="6198" xr:uid="{00000000-0005-0000-0000-0000E3020000}"/>
    <cellStyle name="20% - Accent5 3 2 5 4" xfId="10862" xr:uid="{C79170CE-0963-4AA4-8369-7F3AF171A975}"/>
    <cellStyle name="20% - Accent5 3 2 6" xfId="2303" xr:uid="{00000000-0005-0000-0000-0000E4020000}"/>
    <cellStyle name="20% - Accent5 3 2 6 2" xfId="6611" xr:uid="{00000000-0005-0000-0000-0000E5020000}"/>
    <cellStyle name="20% - Accent5 3 2 6 3" xfId="11275" xr:uid="{8698A3DD-1A37-4231-BCF9-A82FF012C083}"/>
    <cellStyle name="20% - Accent5 3 2 7" xfId="4545" xr:uid="{00000000-0005-0000-0000-0000E6020000}"/>
    <cellStyle name="20% - Accent5 3 2 7 2" xfId="9169" xr:uid="{93DBA041-5DF0-4509-9C43-4FD2E340A957}"/>
    <cellStyle name="20% - Accent5 3 2 8" xfId="8756" xr:uid="{0A83B924-5717-4796-A3B8-D5B607A55098}"/>
    <cellStyle name="20% - Accent5 3 3" xfId="608" xr:uid="{00000000-0005-0000-0000-0000E7020000}"/>
    <cellStyle name="20% - Accent5 3 3 2" xfId="2879" xr:uid="{00000000-0005-0000-0000-0000E8020000}"/>
    <cellStyle name="20% - Accent5 3 3 2 2" xfId="7103" xr:uid="{00000000-0005-0000-0000-0000E9020000}"/>
    <cellStyle name="20% - Accent5 3 3 2 3" xfId="11767" xr:uid="{6C62C414-F6BC-4641-A1C9-E3AB0549C118}"/>
    <cellStyle name="20% - Accent5 3 3 3" xfId="4958" xr:uid="{00000000-0005-0000-0000-0000EA020000}"/>
    <cellStyle name="20% - Accent5 3 3 4" xfId="9621" xr:uid="{2D377267-9759-4904-ABEA-A1538DE58C8F}"/>
    <cellStyle name="20% - Accent5 3 4" xfId="1061" xr:uid="{00000000-0005-0000-0000-0000EB020000}"/>
    <cellStyle name="20% - Accent5 3 4 2" xfId="3292" xr:uid="{00000000-0005-0000-0000-0000EC020000}"/>
    <cellStyle name="20% - Accent5 3 4 2 2" xfId="7516" xr:uid="{00000000-0005-0000-0000-0000ED020000}"/>
    <cellStyle name="20% - Accent5 3 4 2 3" xfId="12180" xr:uid="{07EA54F7-14B2-420F-BBFC-95C288CE44FA}"/>
    <cellStyle name="20% - Accent5 3 4 3" xfId="5371" xr:uid="{00000000-0005-0000-0000-0000EE020000}"/>
    <cellStyle name="20% - Accent5 3 4 4" xfId="10034" xr:uid="{39AA7DFE-2FC6-4B5E-83D5-CD0A2C64B813}"/>
    <cellStyle name="20% - Accent5 3 5" xfId="1475" xr:uid="{00000000-0005-0000-0000-0000EF020000}"/>
    <cellStyle name="20% - Accent5 3 5 2" xfId="3705" xr:uid="{00000000-0005-0000-0000-0000F0020000}"/>
    <cellStyle name="20% - Accent5 3 5 2 2" xfId="7929" xr:uid="{00000000-0005-0000-0000-0000F1020000}"/>
    <cellStyle name="20% - Accent5 3 5 2 3" xfId="12593" xr:uid="{A4B1687E-01C3-46E4-B10C-AFC0F6C2E8BC}"/>
    <cellStyle name="20% - Accent5 3 5 3" xfId="5784" xr:uid="{00000000-0005-0000-0000-0000F2020000}"/>
    <cellStyle name="20% - Accent5 3 5 4" xfId="10448" xr:uid="{52E126E8-36B1-4A02-B250-A2903AC31B90}"/>
    <cellStyle name="20% - Accent5 3 6" xfId="1889" xr:uid="{00000000-0005-0000-0000-0000F3020000}"/>
    <cellStyle name="20% - Accent5 3 6 2" xfId="4118" xr:uid="{00000000-0005-0000-0000-0000F4020000}"/>
    <cellStyle name="20% - Accent5 3 6 2 2" xfId="8342" xr:uid="{00000000-0005-0000-0000-0000F5020000}"/>
    <cellStyle name="20% - Accent5 3 6 2 3" xfId="13006" xr:uid="{34F4B3ED-2BF5-4B82-B076-009E697B3283}"/>
    <cellStyle name="20% - Accent5 3 6 3" xfId="6197" xr:uid="{00000000-0005-0000-0000-0000F6020000}"/>
    <cellStyle name="20% - Accent5 3 6 4" xfId="10861" xr:uid="{87C5B2D6-D6FE-44A2-8D24-C6F67860F50B}"/>
    <cellStyle name="20% - Accent5 3 7" xfId="2302" xr:uid="{00000000-0005-0000-0000-0000F7020000}"/>
    <cellStyle name="20% - Accent5 3 7 2" xfId="6610" xr:uid="{00000000-0005-0000-0000-0000F8020000}"/>
    <cellStyle name="20% - Accent5 3 7 3" xfId="11274" xr:uid="{4692414A-E2B0-46ED-99AE-01031CC4FF1F}"/>
    <cellStyle name="20% - Accent5 3 8" xfId="4544" xr:uid="{00000000-0005-0000-0000-0000F9020000}"/>
    <cellStyle name="20% - Accent5 3 8 2" xfId="9168" xr:uid="{E6AF88CD-AF71-4E21-BA59-CD0187F0B488}"/>
    <cellStyle name="20% - Accent5 3 9" xfId="8755" xr:uid="{4EE503F6-5C5C-4476-BD41-1B1660959A7C}"/>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3" xfId="11769" xr:uid="{79CE092C-F61E-44C9-9189-CC2B6ABA5512}"/>
    <cellStyle name="20% - Accent5 4 2 3" xfId="4960" xr:uid="{00000000-0005-0000-0000-0000FE020000}"/>
    <cellStyle name="20% - Accent5 4 2 4" xfId="9623" xr:uid="{F5F3F2C7-5312-4E0C-B26E-D29314DC69E0}"/>
    <cellStyle name="20% - Accent5 4 3" xfId="1063" xr:uid="{00000000-0005-0000-0000-0000FF020000}"/>
    <cellStyle name="20% - Accent5 4 3 2" xfId="3294" xr:uid="{00000000-0005-0000-0000-000000030000}"/>
    <cellStyle name="20% - Accent5 4 3 2 2" xfId="7518" xr:uid="{00000000-0005-0000-0000-000001030000}"/>
    <cellStyle name="20% - Accent5 4 3 2 3" xfId="12182" xr:uid="{62F5C812-A771-4DCF-B331-7B24A20740CA}"/>
    <cellStyle name="20% - Accent5 4 3 3" xfId="5373" xr:uid="{00000000-0005-0000-0000-000002030000}"/>
    <cellStyle name="20% - Accent5 4 3 4" xfId="10036" xr:uid="{D3B2AC5F-5394-4D1F-B52E-75E3BAD01EBD}"/>
    <cellStyle name="20% - Accent5 4 4" xfId="1477" xr:uid="{00000000-0005-0000-0000-000003030000}"/>
    <cellStyle name="20% - Accent5 4 4 2" xfId="3707" xr:uid="{00000000-0005-0000-0000-000004030000}"/>
    <cellStyle name="20% - Accent5 4 4 2 2" xfId="7931" xr:uid="{00000000-0005-0000-0000-000005030000}"/>
    <cellStyle name="20% - Accent5 4 4 2 3" xfId="12595" xr:uid="{E9A044B5-FCF3-4218-9A92-CD020CD65724}"/>
    <cellStyle name="20% - Accent5 4 4 3" xfId="5786" xr:uid="{00000000-0005-0000-0000-000006030000}"/>
    <cellStyle name="20% - Accent5 4 4 4" xfId="10450" xr:uid="{AEF5E4F3-16B4-4A8A-B549-AE2CE764CC6D}"/>
    <cellStyle name="20% - Accent5 4 5" xfId="1891" xr:uid="{00000000-0005-0000-0000-000007030000}"/>
    <cellStyle name="20% - Accent5 4 5 2" xfId="4120" xr:uid="{00000000-0005-0000-0000-000008030000}"/>
    <cellStyle name="20% - Accent5 4 5 2 2" xfId="8344" xr:uid="{00000000-0005-0000-0000-000009030000}"/>
    <cellStyle name="20% - Accent5 4 5 2 3" xfId="13008" xr:uid="{B4217A42-7EBA-4C43-81EE-AD3A99516490}"/>
    <cellStyle name="20% - Accent5 4 5 3" xfId="6199" xr:uid="{00000000-0005-0000-0000-00000A030000}"/>
    <cellStyle name="20% - Accent5 4 5 4" xfId="10863" xr:uid="{1230E49C-D11E-485D-BEEF-7403CB1A4526}"/>
    <cellStyle name="20% - Accent5 4 6" xfId="2304" xr:uid="{00000000-0005-0000-0000-00000B030000}"/>
    <cellStyle name="20% - Accent5 4 6 2" xfId="6612" xr:uid="{00000000-0005-0000-0000-00000C030000}"/>
    <cellStyle name="20% - Accent5 4 6 3" xfId="11276" xr:uid="{FE415516-DD64-4676-9772-FEC3FF107805}"/>
    <cellStyle name="20% - Accent5 4 7" xfId="4546" xr:uid="{00000000-0005-0000-0000-00000D030000}"/>
    <cellStyle name="20% - Accent5 4 7 2" xfId="9170" xr:uid="{4CE604A3-D3E5-4E46-AF17-8A077C29E30E}"/>
    <cellStyle name="20% - Accent5 4 8" xfId="8757" xr:uid="{910FE500-0EB7-480B-B4F6-50A9DD7B367D}"/>
    <cellStyle name="20% - Accent5 5" xfId="603" xr:uid="{00000000-0005-0000-0000-00000E030000}"/>
    <cellStyle name="20% - Accent5 5 2" xfId="2874" xr:uid="{00000000-0005-0000-0000-00000F030000}"/>
    <cellStyle name="20% - Accent5 5 2 2" xfId="7098" xr:uid="{00000000-0005-0000-0000-000010030000}"/>
    <cellStyle name="20% - Accent5 5 2 3" xfId="11762" xr:uid="{7F6A12D2-000F-4BDF-AD38-C90C5D181745}"/>
    <cellStyle name="20% - Accent5 5 3" xfId="4953" xr:uid="{00000000-0005-0000-0000-000011030000}"/>
    <cellStyle name="20% - Accent5 5 4" xfId="9616" xr:uid="{EFFA6A18-5DD2-46E0-855E-2E30DEB7A08E}"/>
    <cellStyle name="20% - Accent5 6" xfId="1056" xr:uid="{00000000-0005-0000-0000-000012030000}"/>
    <cellStyle name="20% - Accent5 6 2" xfId="3287" xr:uid="{00000000-0005-0000-0000-000013030000}"/>
    <cellStyle name="20% - Accent5 6 2 2" xfId="7511" xr:uid="{00000000-0005-0000-0000-000014030000}"/>
    <cellStyle name="20% - Accent5 6 2 3" xfId="12175" xr:uid="{D087E617-185C-455D-A67D-891F26DD2B63}"/>
    <cellStyle name="20% - Accent5 6 3" xfId="5366" xr:uid="{00000000-0005-0000-0000-000015030000}"/>
    <cellStyle name="20% - Accent5 6 4" xfId="10029" xr:uid="{40BCAC9B-9E7A-4B2A-A9F7-4C1A09F31F2B}"/>
    <cellStyle name="20% - Accent5 7" xfId="1470" xr:uid="{00000000-0005-0000-0000-000016030000}"/>
    <cellStyle name="20% - Accent5 7 2" xfId="3700" xr:uid="{00000000-0005-0000-0000-000017030000}"/>
    <cellStyle name="20% - Accent5 7 2 2" xfId="7924" xr:uid="{00000000-0005-0000-0000-000018030000}"/>
    <cellStyle name="20% - Accent5 7 2 3" xfId="12588" xr:uid="{18BF7E0E-E51E-46DD-9678-9C253045AD66}"/>
    <cellStyle name="20% - Accent5 7 3" xfId="5779" xr:uid="{00000000-0005-0000-0000-000019030000}"/>
    <cellStyle name="20% - Accent5 7 4" xfId="10443" xr:uid="{70C7F698-2CAB-4651-B8EB-285A66690595}"/>
    <cellStyle name="20% - Accent5 8" xfId="1884" xr:uid="{00000000-0005-0000-0000-00001A030000}"/>
    <cellStyle name="20% - Accent5 8 2" xfId="4113" xr:uid="{00000000-0005-0000-0000-00001B030000}"/>
    <cellStyle name="20% - Accent5 8 2 2" xfId="8337" xr:uid="{00000000-0005-0000-0000-00001C030000}"/>
    <cellStyle name="20% - Accent5 8 2 3" xfId="13001" xr:uid="{63412A39-1252-4D78-9F7E-B4BA42F5CB28}"/>
    <cellStyle name="20% - Accent5 8 3" xfId="6192" xr:uid="{00000000-0005-0000-0000-00001D030000}"/>
    <cellStyle name="20% - Accent5 8 4" xfId="10856" xr:uid="{A0C40300-B055-44AB-8DFC-CD59CE96598F}"/>
    <cellStyle name="20% - Accent5 9" xfId="2297" xr:uid="{00000000-0005-0000-0000-00001E030000}"/>
    <cellStyle name="20% - Accent5 9 2" xfId="6605" xr:uid="{00000000-0005-0000-0000-00001F030000}"/>
    <cellStyle name="20% - Accent5 9 3" xfId="11269" xr:uid="{11F516DB-57CB-4528-BE10-0F0D93A97310}"/>
    <cellStyle name="20% - Accent6" xfId="41" builtinId="50" customBuiltin="1"/>
    <cellStyle name="20% - Accent6 10" xfId="4547" xr:uid="{00000000-0005-0000-0000-000021030000}"/>
    <cellStyle name="20% - Accent6 10 2" xfId="9171" xr:uid="{BE3C9646-84A1-4853-9297-A70DBA74F690}"/>
    <cellStyle name="20% - Accent6 11" xfId="8758" xr:uid="{D31E1A96-FA0E-499A-988F-A44A7278F910}"/>
    <cellStyle name="20% - Accent6 2" xfId="42" xr:uid="{00000000-0005-0000-0000-000022030000}"/>
    <cellStyle name="20% - Accent6 2 10" xfId="8759" xr:uid="{2196475F-05BA-4AC3-BE87-E35B8F320903}"/>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3" xfId="11773" xr:uid="{E18F3BDA-3DD9-4DBF-B68E-FD9924A9B595}"/>
    <cellStyle name="20% - Accent6 2 2 2 2 3" xfId="4964" xr:uid="{00000000-0005-0000-0000-000028030000}"/>
    <cellStyle name="20% - Accent6 2 2 2 2 4" xfId="9627" xr:uid="{7B7A9B05-770C-4F99-9B41-4F65F5697D97}"/>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3" xfId="12186" xr:uid="{2591121E-B3BF-4919-874B-0EE295A32541}"/>
    <cellStyle name="20% - Accent6 2 2 2 3 3" xfId="5377" xr:uid="{00000000-0005-0000-0000-00002C030000}"/>
    <cellStyle name="20% - Accent6 2 2 2 3 4" xfId="10040" xr:uid="{02495F82-AE86-4F94-AFF4-B34FC4AA9855}"/>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3" xfId="12599" xr:uid="{3C0B966A-EC9B-45CB-85B7-632CAC80326D}"/>
    <cellStyle name="20% - Accent6 2 2 2 4 3" xfId="5790" xr:uid="{00000000-0005-0000-0000-000030030000}"/>
    <cellStyle name="20% - Accent6 2 2 2 4 4" xfId="10454" xr:uid="{E42EA067-E232-4E99-AF37-8DEAECAAA3BD}"/>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3" xfId="13012" xr:uid="{E04EA332-6E06-4E8B-9639-384F40670D8E}"/>
    <cellStyle name="20% - Accent6 2 2 2 5 3" xfId="6203" xr:uid="{00000000-0005-0000-0000-000034030000}"/>
    <cellStyle name="20% - Accent6 2 2 2 5 4" xfId="10867" xr:uid="{67A292B2-F5BA-444F-AD9C-2E85BCEFD2E6}"/>
    <cellStyle name="20% - Accent6 2 2 2 6" xfId="2308" xr:uid="{00000000-0005-0000-0000-000035030000}"/>
    <cellStyle name="20% - Accent6 2 2 2 6 2" xfId="6616" xr:uid="{00000000-0005-0000-0000-000036030000}"/>
    <cellStyle name="20% - Accent6 2 2 2 6 3" xfId="11280" xr:uid="{08EFCB38-802A-4FF2-ABDF-9E18A84000C4}"/>
    <cellStyle name="20% - Accent6 2 2 2 7" xfId="4550" xr:uid="{00000000-0005-0000-0000-000037030000}"/>
    <cellStyle name="20% - Accent6 2 2 2 7 2" xfId="9174" xr:uid="{E7600067-5841-4DD9-A1AA-9F1027897156}"/>
    <cellStyle name="20% - Accent6 2 2 2 8" xfId="8761" xr:uid="{A392F671-67D8-4A65-B3EF-079AC2C75EB1}"/>
    <cellStyle name="20% - Accent6 2 2 3" xfId="613" xr:uid="{00000000-0005-0000-0000-000038030000}"/>
    <cellStyle name="20% - Accent6 2 2 3 2" xfId="2884" xr:uid="{00000000-0005-0000-0000-000039030000}"/>
    <cellStyle name="20% - Accent6 2 2 3 2 2" xfId="7108" xr:uid="{00000000-0005-0000-0000-00003A030000}"/>
    <cellStyle name="20% - Accent6 2 2 3 2 3" xfId="11772" xr:uid="{28C8EA18-6380-405D-B1F0-1AACEBA791A8}"/>
    <cellStyle name="20% - Accent6 2 2 3 3" xfId="4963" xr:uid="{00000000-0005-0000-0000-00003B030000}"/>
    <cellStyle name="20% - Accent6 2 2 3 4" xfId="9626" xr:uid="{1105FF94-8556-4EE2-8ABD-E57659868E8D}"/>
    <cellStyle name="20% - Accent6 2 2 4" xfId="1066" xr:uid="{00000000-0005-0000-0000-00003C030000}"/>
    <cellStyle name="20% - Accent6 2 2 4 2" xfId="3297" xr:uid="{00000000-0005-0000-0000-00003D030000}"/>
    <cellStyle name="20% - Accent6 2 2 4 2 2" xfId="7521" xr:uid="{00000000-0005-0000-0000-00003E030000}"/>
    <cellStyle name="20% - Accent6 2 2 4 2 3" xfId="12185" xr:uid="{8E85B30E-C161-4ECA-8B30-B14ACCE4DE89}"/>
    <cellStyle name="20% - Accent6 2 2 4 3" xfId="5376" xr:uid="{00000000-0005-0000-0000-00003F030000}"/>
    <cellStyle name="20% - Accent6 2 2 4 4" xfId="10039" xr:uid="{38153FCA-20FE-4645-B4B9-7B32D7DA4E0B}"/>
    <cellStyle name="20% - Accent6 2 2 5" xfId="1480" xr:uid="{00000000-0005-0000-0000-000040030000}"/>
    <cellStyle name="20% - Accent6 2 2 5 2" xfId="3710" xr:uid="{00000000-0005-0000-0000-000041030000}"/>
    <cellStyle name="20% - Accent6 2 2 5 2 2" xfId="7934" xr:uid="{00000000-0005-0000-0000-000042030000}"/>
    <cellStyle name="20% - Accent6 2 2 5 2 3" xfId="12598" xr:uid="{827FD1C5-6339-4B11-B926-51ECCAFE7309}"/>
    <cellStyle name="20% - Accent6 2 2 5 3" xfId="5789" xr:uid="{00000000-0005-0000-0000-000043030000}"/>
    <cellStyle name="20% - Accent6 2 2 5 4" xfId="10453" xr:uid="{25F356C3-ACB6-4C7F-8EA8-FC8D8A458D5D}"/>
    <cellStyle name="20% - Accent6 2 2 6" xfId="1894" xr:uid="{00000000-0005-0000-0000-000044030000}"/>
    <cellStyle name="20% - Accent6 2 2 6 2" xfId="4123" xr:uid="{00000000-0005-0000-0000-000045030000}"/>
    <cellStyle name="20% - Accent6 2 2 6 2 2" xfId="8347" xr:uid="{00000000-0005-0000-0000-000046030000}"/>
    <cellStyle name="20% - Accent6 2 2 6 2 3" xfId="13011" xr:uid="{3624625F-324E-4A21-BB8C-899AFC488444}"/>
    <cellStyle name="20% - Accent6 2 2 6 3" xfId="6202" xr:uid="{00000000-0005-0000-0000-000047030000}"/>
    <cellStyle name="20% - Accent6 2 2 6 4" xfId="10866" xr:uid="{3B3963D9-86AA-47F4-B5D0-188D83447223}"/>
    <cellStyle name="20% - Accent6 2 2 7" xfId="2307" xr:uid="{00000000-0005-0000-0000-000048030000}"/>
    <cellStyle name="20% - Accent6 2 2 7 2" xfId="6615" xr:uid="{00000000-0005-0000-0000-000049030000}"/>
    <cellStyle name="20% - Accent6 2 2 7 3" xfId="11279" xr:uid="{4B59AA82-8D38-4481-8026-28D64C2A8796}"/>
    <cellStyle name="20% - Accent6 2 2 8" xfId="4549" xr:uid="{00000000-0005-0000-0000-00004A030000}"/>
    <cellStyle name="20% - Accent6 2 2 8 2" xfId="9173" xr:uid="{7973153F-3DE6-4B63-9867-8C8A1914D75C}"/>
    <cellStyle name="20% - Accent6 2 2 9" xfId="8760" xr:uid="{0FF5523A-D32B-481D-BE8C-935DAA37E677}"/>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3" xfId="11774" xr:uid="{9209B1CB-E6A8-4C2F-A5C8-3C5B658A780B}"/>
    <cellStyle name="20% - Accent6 2 3 2 3" xfId="4965" xr:uid="{00000000-0005-0000-0000-00004F030000}"/>
    <cellStyle name="20% - Accent6 2 3 2 4" xfId="9628" xr:uid="{0F58482C-F448-441E-8AED-89A8F09A3049}"/>
    <cellStyle name="20% - Accent6 2 3 3" xfId="1068" xr:uid="{00000000-0005-0000-0000-000050030000}"/>
    <cellStyle name="20% - Accent6 2 3 3 2" xfId="3299" xr:uid="{00000000-0005-0000-0000-000051030000}"/>
    <cellStyle name="20% - Accent6 2 3 3 2 2" xfId="7523" xr:uid="{00000000-0005-0000-0000-000052030000}"/>
    <cellStyle name="20% - Accent6 2 3 3 2 3" xfId="12187" xr:uid="{88273EF4-7ECC-433A-8DC6-ABC72A13472D}"/>
    <cellStyle name="20% - Accent6 2 3 3 3" xfId="5378" xr:uid="{00000000-0005-0000-0000-000053030000}"/>
    <cellStyle name="20% - Accent6 2 3 3 4" xfId="10041" xr:uid="{CAF4C741-B252-429F-85C5-E1FD92EA35F9}"/>
    <cellStyle name="20% - Accent6 2 3 4" xfId="1482" xr:uid="{00000000-0005-0000-0000-000054030000}"/>
    <cellStyle name="20% - Accent6 2 3 4 2" xfId="3712" xr:uid="{00000000-0005-0000-0000-000055030000}"/>
    <cellStyle name="20% - Accent6 2 3 4 2 2" xfId="7936" xr:uid="{00000000-0005-0000-0000-000056030000}"/>
    <cellStyle name="20% - Accent6 2 3 4 2 3" xfId="12600" xr:uid="{913D445B-86E5-4628-A91F-D5D70317A5B2}"/>
    <cellStyle name="20% - Accent6 2 3 4 3" xfId="5791" xr:uid="{00000000-0005-0000-0000-000057030000}"/>
    <cellStyle name="20% - Accent6 2 3 4 4" xfId="10455" xr:uid="{0A8AA244-3318-4744-AE5E-6DA60D1591B2}"/>
    <cellStyle name="20% - Accent6 2 3 5" xfId="1896" xr:uid="{00000000-0005-0000-0000-000058030000}"/>
    <cellStyle name="20% - Accent6 2 3 5 2" xfId="4125" xr:uid="{00000000-0005-0000-0000-000059030000}"/>
    <cellStyle name="20% - Accent6 2 3 5 2 2" xfId="8349" xr:uid="{00000000-0005-0000-0000-00005A030000}"/>
    <cellStyle name="20% - Accent6 2 3 5 2 3" xfId="13013" xr:uid="{5F61A5E4-8E53-4657-94AB-960F031D02E1}"/>
    <cellStyle name="20% - Accent6 2 3 5 3" xfId="6204" xr:uid="{00000000-0005-0000-0000-00005B030000}"/>
    <cellStyle name="20% - Accent6 2 3 5 4" xfId="10868" xr:uid="{4C812F59-A72E-417D-A09C-0D7D586D093D}"/>
    <cellStyle name="20% - Accent6 2 3 6" xfId="2309" xr:uid="{00000000-0005-0000-0000-00005C030000}"/>
    <cellStyle name="20% - Accent6 2 3 6 2" xfId="6617" xr:uid="{00000000-0005-0000-0000-00005D030000}"/>
    <cellStyle name="20% - Accent6 2 3 6 3" xfId="11281" xr:uid="{CC1B353E-032A-4FE6-88E3-6D938981B41A}"/>
    <cellStyle name="20% - Accent6 2 3 7" xfId="4551" xr:uid="{00000000-0005-0000-0000-00005E030000}"/>
    <cellStyle name="20% - Accent6 2 3 7 2" xfId="9175" xr:uid="{6195EB93-AE47-4EE4-9384-DEF0155B7F83}"/>
    <cellStyle name="20% - Accent6 2 3 8" xfId="8762" xr:uid="{644CFF95-EDDB-4942-9CCD-7DFDAAC2A06A}"/>
    <cellStyle name="20% - Accent6 2 4" xfId="612" xr:uid="{00000000-0005-0000-0000-00005F030000}"/>
    <cellStyle name="20% - Accent6 2 4 2" xfId="2883" xr:uid="{00000000-0005-0000-0000-000060030000}"/>
    <cellStyle name="20% - Accent6 2 4 2 2" xfId="7107" xr:uid="{00000000-0005-0000-0000-000061030000}"/>
    <cellStyle name="20% - Accent6 2 4 2 3" xfId="11771" xr:uid="{5AA05666-E4C9-4B57-A21A-EEF4A69319A8}"/>
    <cellStyle name="20% - Accent6 2 4 3" xfId="4962" xr:uid="{00000000-0005-0000-0000-000062030000}"/>
    <cellStyle name="20% - Accent6 2 4 4" xfId="9625" xr:uid="{800FCB33-BFFA-4AB1-A4C5-AF081CCEA364}"/>
    <cellStyle name="20% - Accent6 2 5" xfId="1065" xr:uid="{00000000-0005-0000-0000-000063030000}"/>
    <cellStyle name="20% - Accent6 2 5 2" xfId="3296" xr:uid="{00000000-0005-0000-0000-000064030000}"/>
    <cellStyle name="20% - Accent6 2 5 2 2" xfId="7520" xr:uid="{00000000-0005-0000-0000-000065030000}"/>
    <cellStyle name="20% - Accent6 2 5 2 3" xfId="12184" xr:uid="{A0B9B5B1-C6E8-4EBC-A3CB-A1A2DA67ADBA}"/>
    <cellStyle name="20% - Accent6 2 5 3" xfId="5375" xr:uid="{00000000-0005-0000-0000-000066030000}"/>
    <cellStyle name="20% - Accent6 2 5 4" xfId="10038" xr:uid="{0C965733-AC7C-40D7-B6FF-ABBFFE5C66A4}"/>
    <cellStyle name="20% - Accent6 2 6" xfId="1479" xr:uid="{00000000-0005-0000-0000-000067030000}"/>
    <cellStyle name="20% - Accent6 2 6 2" xfId="3709" xr:uid="{00000000-0005-0000-0000-000068030000}"/>
    <cellStyle name="20% - Accent6 2 6 2 2" xfId="7933" xr:uid="{00000000-0005-0000-0000-000069030000}"/>
    <cellStyle name="20% - Accent6 2 6 2 3" xfId="12597" xr:uid="{BE9FF5C5-79F3-49E6-8FA6-95C5C6590B40}"/>
    <cellStyle name="20% - Accent6 2 6 3" xfId="5788" xr:uid="{00000000-0005-0000-0000-00006A030000}"/>
    <cellStyle name="20% - Accent6 2 6 4" xfId="10452" xr:uid="{A97FF1D2-F4CE-44DB-A75E-DE481FAC6CBD}"/>
    <cellStyle name="20% - Accent6 2 7" xfId="1893" xr:uid="{00000000-0005-0000-0000-00006B030000}"/>
    <cellStyle name="20% - Accent6 2 7 2" xfId="4122" xr:uid="{00000000-0005-0000-0000-00006C030000}"/>
    <cellStyle name="20% - Accent6 2 7 2 2" xfId="8346" xr:uid="{00000000-0005-0000-0000-00006D030000}"/>
    <cellStyle name="20% - Accent6 2 7 2 3" xfId="13010" xr:uid="{CF5FB500-A8D3-4978-93C6-28FCB7AA949B}"/>
    <cellStyle name="20% - Accent6 2 7 3" xfId="6201" xr:uid="{00000000-0005-0000-0000-00006E030000}"/>
    <cellStyle name="20% - Accent6 2 7 4" xfId="10865" xr:uid="{6FD981BC-B7BA-403D-B1C0-7FF577D62764}"/>
    <cellStyle name="20% - Accent6 2 8" xfId="2306" xr:uid="{00000000-0005-0000-0000-00006F030000}"/>
    <cellStyle name="20% - Accent6 2 8 2" xfId="6614" xr:uid="{00000000-0005-0000-0000-000070030000}"/>
    <cellStyle name="20% - Accent6 2 8 3" xfId="11278" xr:uid="{7F92E816-FF58-4532-83FF-700C34EFAD06}"/>
    <cellStyle name="20% - Accent6 2 9" xfId="4548" xr:uid="{00000000-0005-0000-0000-000071030000}"/>
    <cellStyle name="20% - Accent6 2 9 2" xfId="9172" xr:uid="{28C11370-0FA1-4023-886F-25B9CCA22FC9}"/>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3" xfId="11776" xr:uid="{78BFC194-2B2A-4AFF-829F-96CBBB6392EE}"/>
    <cellStyle name="20% - Accent6 3 2 2 3" xfId="4967" xr:uid="{00000000-0005-0000-0000-000077030000}"/>
    <cellStyle name="20% - Accent6 3 2 2 4" xfId="9630" xr:uid="{062E9451-B159-47A8-9FF5-97F0955DC990}"/>
    <cellStyle name="20% - Accent6 3 2 3" xfId="1070" xr:uid="{00000000-0005-0000-0000-000078030000}"/>
    <cellStyle name="20% - Accent6 3 2 3 2" xfId="3301" xr:uid="{00000000-0005-0000-0000-000079030000}"/>
    <cellStyle name="20% - Accent6 3 2 3 2 2" xfId="7525" xr:uid="{00000000-0005-0000-0000-00007A030000}"/>
    <cellStyle name="20% - Accent6 3 2 3 2 3" xfId="12189" xr:uid="{733C8545-CB59-4E67-A994-67249B20B039}"/>
    <cellStyle name="20% - Accent6 3 2 3 3" xfId="5380" xr:uid="{00000000-0005-0000-0000-00007B030000}"/>
    <cellStyle name="20% - Accent6 3 2 3 4" xfId="10043" xr:uid="{1EC9E3ED-51E8-47B8-B9C3-24DD0B6C0618}"/>
    <cellStyle name="20% - Accent6 3 2 4" xfId="1484" xr:uid="{00000000-0005-0000-0000-00007C030000}"/>
    <cellStyle name="20% - Accent6 3 2 4 2" xfId="3714" xr:uid="{00000000-0005-0000-0000-00007D030000}"/>
    <cellStyle name="20% - Accent6 3 2 4 2 2" xfId="7938" xr:uid="{00000000-0005-0000-0000-00007E030000}"/>
    <cellStyle name="20% - Accent6 3 2 4 2 3" xfId="12602" xr:uid="{1A341F50-456A-4F79-91A2-B1E09F2E0722}"/>
    <cellStyle name="20% - Accent6 3 2 4 3" xfId="5793" xr:uid="{00000000-0005-0000-0000-00007F030000}"/>
    <cellStyle name="20% - Accent6 3 2 4 4" xfId="10457" xr:uid="{698FB4A8-1847-42F0-8970-AA73AF1353C9}"/>
    <cellStyle name="20% - Accent6 3 2 5" xfId="1898" xr:uid="{00000000-0005-0000-0000-000080030000}"/>
    <cellStyle name="20% - Accent6 3 2 5 2" xfId="4127" xr:uid="{00000000-0005-0000-0000-000081030000}"/>
    <cellStyle name="20% - Accent6 3 2 5 2 2" xfId="8351" xr:uid="{00000000-0005-0000-0000-000082030000}"/>
    <cellStyle name="20% - Accent6 3 2 5 2 3" xfId="13015" xr:uid="{D132CE71-28D1-4810-8236-5A712FC5EAD9}"/>
    <cellStyle name="20% - Accent6 3 2 5 3" xfId="6206" xr:uid="{00000000-0005-0000-0000-000083030000}"/>
    <cellStyle name="20% - Accent6 3 2 5 4" xfId="10870" xr:uid="{27B9AA3D-B3D4-4899-B9FB-CA3973E3D13A}"/>
    <cellStyle name="20% - Accent6 3 2 6" xfId="2311" xr:uid="{00000000-0005-0000-0000-000084030000}"/>
    <cellStyle name="20% - Accent6 3 2 6 2" xfId="6619" xr:uid="{00000000-0005-0000-0000-000085030000}"/>
    <cellStyle name="20% - Accent6 3 2 6 3" xfId="11283" xr:uid="{83D80C4C-3841-4319-9663-D1A1865D3CA7}"/>
    <cellStyle name="20% - Accent6 3 2 7" xfId="4553" xr:uid="{00000000-0005-0000-0000-000086030000}"/>
    <cellStyle name="20% - Accent6 3 2 7 2" xfId="9177" xr:uid="{A2D65B15-706E-456A-805D-4E010636F54A}"/>
    <cellStyle name="20% - Accent6 3 2 8" xfId="8764" xr:uid="{0E40C670-5D75-4376-AF44-EA2C3EFEE5AA}"/>
    <cellStyle name="20% - Accent6 3 3" xfId="616" xr:uid="{00000000-0005-0000-0000-000087030000}"/>
    <cellStyle name="20% - Accent6 3 3 2" xfId="2887" xr:uid="{00000000-0005-0000-0000-000088030000}"/>
    <cellStyle name="20% - Accent6 3 3 2 2" xfId="7111" xr:uid="{00000000-0005-0000-0000-000089030000}"/>
    <cellStyle name="20% - Accent6 3 3 2 3" xfId="11775" xr:uid="{5A498386-0607-477D-88FF-68BE7A50EA1C}"/>
    <cellStyle name="20% - Accent6 3 3 3" xfId="4966" xr:uid="{00000000-0005-0000-0000-00008A030000}"/>
    <cellStyle name="20% - Accent6 3 3 4" xfId="9629" xr:uid="{D2E3172B-15BF-4A10-A1CD-02E92C3E6D11}"/>
    <cellStyle name="20% - Accent6 3 4" xfId="1069" xr:uid="{00000000-0005-0000-0000-00008B030000}"/>
    <cellStyle name="20% - Accent6 3 4 2" xfId="3300" xr:uid="{00000000-0005-0000-0000-00008C030000}"/>
    <cellStyle name="20% - Accent6 3 4 2 2" xfId="7524" xr:uid="{00000000-0005-0000-0000-00008D030000}"/>
    <cellStyle name="20% - Accent6 3 4 2 3" xfId="12188" xr:uid="{CD4454B4-5BB8-4B52-A83C-8D0401D4678C}"/>
    <cellStyle name="20% - Accent6 3 4 3" xfId="5379" xr:uid="{00000000-0005-0000-0000-00008E030000}"/>
    <cellStyle name="20% - Accent6 3 4 4" xfId="10042" xr:uid="{E4BCFD67-E2F2-40D2-B56B-D7E987A46052}"/>
    <cellStyle name="20% - Accent6 3 5" xfId="1483" xr:uid="{00000000-0005-0000-0000-00008F030000}"/>
    <cellStyle name="20% - Accent6 3 5 2" xfId="3713" xr:uid="{00000000-0005-0000-0000-000090030000}"/>
    <cellStyle name="20% - Accent6 3 5 2 2" xfId="7937" xr:uid="{00000000-0005-0000-0000-000091030000}"/>
    <cellStyle name="20% - Accent6 3 5 2 3" xfId="12601" xr:uid="{999E75DC-FA41-4A12-88A1-FE888F4D78A8}"/>
    <cellStyle name="20% - Accent6 3 5 3" xfId="5792" xr:uid="{00000000-0005-0000-0000-000092030000}"/>
    <cellStyle name="20% - Accent6 3 5 4" xfId="10456" xr:uid="{846BB7C3-9018-42BA-AA9E-198FCA2F4787}"/>
    <cellStyle name="20% - Accent6 3 6" xfId="1897" xr:uid="{00000000-0005-0000-0000-000093030000}"/>
    <cellStyle name="20% - Accent6 3 6 2" xfId="4126" xr:uid="{00000000-0005-0000-0000-000094030000}"/>
    <cellStyle name="20% - Accent6 3 6 2 2" xfId="8350" xr:uid="{00000000-0005-0000-0000-000095030000}"/>
    <cellStyle name="20% - Accent6 3 6 2 3" xfId="13014" xr:uid="{235A50A0-457C-4C22-9AF8-766B5E9DDF21}"/>
    <cellStyle name="20% - Accent6 3 6 3" xfId="6205" xr:uid="{00000000-0005-0000-0000-000096030000}"/>
    <cellStyle name="20% - Accent6 3 6 4" xfId="10869" xr:uid="{873B761F-E71E-4559-89E8-7031C7F1DF5C}"/>
    <cellStyle name="20% - Accent6 3 7" xfId="2310" xr:uid="{00000000-0005-0000-0000-000097030000}"/>
    <cellStyle name="20% - Accent6 3 7 2" xfId="6618" xr:uid="{00000000-0005-0000-0000-000098030000}"/>
    <cellStyle name="20% - Accent6 3 7 3" xfId="11282" xr:uid="{897F3388-6395-42B7-A937-AD4454AE38D8}"/>
    <cellStyle name="20% - Accent6 3 8" xfId="4552" xr:uid="{00000000-0005-0000-0000-000099030000}"/>
    <cellStyle name="20% - Accent6 3 8 2" xfId="9176" xr:uid="{653D3D3A-06A9-4749-9DA4-869CF23E413A}"/>
    <cellStyle name="20% - Accent6 3 9" xfId="8763" xr:uid="{7E2922A9-4D3E-4DA3-A379-BA51829B5585}"/>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3" xfId="11777" xr:uid="{E1933F3D-07B8-4583-ACF7-AB213A8A8035}"/>
    <cellStyle name="20% - Accent6 4 2 3" xfId="4968" xr:uid="{00000000-0005-0000-0000-00009E030000}"/>
    <cellStyle name="20% - Accent6 4 2 4" xfId="9631" xr:uid="{43B8EF9D-EDE1-4AD1-9460-491689E44E4F}"/>
    <cellStyle name="20% - Accent6 4 3" xfId="1071" xr:uid="{00000000-0005-0000-0000-00009F030000}"/>
    <cellStyle name="20% - Accent6 4 3 2" xfId="3302" xr:uid="{00000000-0005-0000-0000-0000A0030000}"/>
    <cellStyle name="20% - Accent6 4 3 2 2" xfId="7526" xr:uid="{00000000-0005-0000-0000-0000A1030000}"/>
    <cellStyle name="20% - Accent6 4 3 2 3" xfId="12190" xr:uid="{1B2687CD-D867-41A7-A9D1-D7928CD9379A}"/>
    <cellStyle name="20% - Accent6 4 3 3" xfId="5381" xr:uid="{00000000-0005-0000-0000-0000A2030000}"/>
    <cellStyle name="20% - Accent6 4 3 4" xfId="10044" xr:uid="{FDEFFC27-D540-4B73-8F12-72D2586A867F}"/>
    <cellStyle name="20% - Accent6 4 4" xfId="1485" xr:uid="{00000000-0005-0000-0000-0000A3030000}"/>
    <cellStyle name="20% - Accent6 4 4 2" xfId="3715" xr:uid="{00000000-0005-0000-0000-0000A4030000}"/>
    <cellStyle name="20% - Accent6 4 4 2 2" xfId="7939" xr:uid="{00000000-0005-0000-0000-0000A5030000}"/>
    <cellStyle name="20% - Accent6 4 4 2 3" xfId="12603" xr:uid="{47A25048-A00C-4CB4-9A62-E5335B914E0A}"/>
    <cellStyle name="20% - Accent6 4 4 3" xfId="5794" xr:uid="{00000000-0005-0000-0000-0000A6030000}"/>
    <cellStyle name="20% - Accent6 4 4 4" xfId="10458" xr:uid="{F56E9839-9184-4F32-B667-E514CE48EA9B}"/>
    <cellStyle name="20% - Accent6 4 5" xfId="1899" xr:uid="{00000000-0005-0000-0000-0000A7030000}"/>
    <cellStyle name="20% - Accent6 4 5 2" xfId="4128" xr:uid="{00000000-0005-0000-0000-0000A8030000}"/>
    <cellStyle name="20% - Accent6 4 5 2 2" xfId="8352" xr:uid="{00000000-0005-0000-0000-0000A9030000}"/>
    <cellStyle name="20% - Accent6 4 5 2 3" xfId="13016" xr:uid="{526D9A37-68E0-4D67-8168-0DC4373EA858}"/>
    <cellStyle name="20% - Accent6 4 5 3" xfId="6207" xr:uid="{00000000-0005-0000-0000-0000AA030000}"/>
    <cellStyle name="20% - Accent6 4 5 4" xfId="10871" xr:uid="{8726721A-3E70-4506-81CF-C39DCBDD5920}"/>
    <cellStyle name="20% - Accent6 4 6" xfId="2312" xr:uid="{00000000-0005-0000-0000-0000AB030000}"/>
    <cellStyle name="20% - Accent6 4 6 2" xfId="6620" xr:uid="{00000000-0005-0000-0000-0000AC030000}"/>
    <cellStyle name="20% - Accent6 4 6 3" xfId="11284" xr:uid="{6F375370-2D56-4D88-9AA2-F5519BADDCCE}"/>
    <cellStyle name="20% - Accent6 4 7" xfId="4554" xr:uid="{00000000-0005-0000-0000-0000AD030000}"/>
    <cellStyle name="20% - Accent6 4 7 2" xfId="9178" xr:uid="{83E606A2-1A62-4439-BABA-64D6A074DD46}"/>
    <cellStyle name="20% - Accent6 4 8" xfId="8765" xr:uid="{3D3B77FA-CF3C-4CA0-A170-B03BBC239BC9}"/>
    <cellStyle name="20% - Accent6 5" xfId="611" xr:uid="{00000000-0005-0000-0000-0000AE030000}"/>
    <cellStyle name="20% - Accent6 5 2" xfId="2882" xr:uid="{00000000-0005-0000-0000-0000AF030000}"/>
    <cellStyle name="20% - Accent6 5 2 2" xfId="7106" xr:uid="{00000000-0005-0000-0000-0000B0030000}"/>
    <cellStyle name="20% - Accent6 5 2 3" xfId="11770" xr:uid="{89CD4E9F-2A00-48DE-86BD-1A124D7A93E2}"/>
    <cellStyle name="20% - Accent6 5 3" xfId="4961" xr:uid="{00000000-0005-0000-0000-0000B1030000}"/>
    <cellStyle name="20% - Accent6 5 4" xfId="9624" xr:uid="{993E528B-7673-47D6-90E7-88EC332EDE75}"/>
    <cellStyle name="20% - Accent6 6" xfId="1064" xr:uid="{00000000-0005-0000-0000-0000B2030000}"/>
    <cellStyle name="20% - Accent6 6 2" xfId="3295" xr:uid="{00000000-0005-0000-0000-0000B3030000}"/>
    <cellStyle name="20% - Accent6 6 2 2" xfId="7519" xr:uid="{00000000-0005-0000-0000-0000B4030000}"/>
    <cellStyle name="20% - Accent6 6 2 3" xfId="12183" xr:uid="{08CA9C71-9797-4858-A99B-6F800C26CB5C}"/>
    <cellStyle name="20% - Accent6 6 3" xfId="5374" xr:uid="{00000000-0005-0000-0000-0000B5030000}"/>
    <cellStyle name="20% - Accent6 6 4" xfId="10037" xr:uid="{187FCEF6-1E1F-47B2-B8E0-950E15D00D19}"/>
    <cellStyle name="20% - Accent6 7" xfId="1478" xr:uid="{00000000-0005-0000-0000-0000B6030000}"/>
    <cellStyle name="20% - Accent6 7 2" xfId="3708" xr:uid="{00000000-0005-0000-0000-0000B7030000}"/>
    <cellStyle name="20% - Accent6 7 2 2" xfId="7932" xr:uid="{00000000-0005-0000-0000-0000B8030000}"/>
    <cellStyle name="20% - Accent6 7 2 3" xfId="12596" xr:uid="{702D0A99-B892-4E1A-AD12-E457C038F962}"/>
    <cellStyle name="20% - Accent6 7 3" xfId="5787" xr:uid="{00000000-0005-0000-0000-0000B9030000}"/>
    <cellStyle name="20% - Accent6 7 4" xfId="10451" xr:uid="{C6300646-BAFF-4938-B3F1-9EA3E39A4025}"/>
    <cellStyle name="20% - Accent6 8" xfId="1892" xr:uid="{00000000-0005-0000-0000-0000BA030000}"/>
    <cellStyle name="20% - Accent6 8 2" xfId="4121" xr:uid="{00000000-0005-0000-0000-0000BB030000}"/>
    <cellStyle name="20% - Accent6 8 2 2" xfId="8345" xr:uid="{00000000-0005-0000-0000-0000BC030000}"/>
    <cellStyle name="20% - Accent6 8 2 3" xfId="13009" xr:uid="{5C187FEC-4AE9-4E41-A183-7E3D2D87D0D4}"/>
    <cellStyle name="20% - Accent6 8 3" xfId="6200" xr:uid="{00000000-0005-0000-0000-0000BD030000}"/>
    <cellStyle name="20% - Accent6 8 4" xfId="10864" xr:uid="{0302C21C-565B-45DE-B630-427E9FCBEE55}"/>
    <cellStyle name="20% - Accent6 9" xfId="2305" xr:uid="{00000000-0005-0000-0000-0000BE030000}"/>
    <cellStyle name="20% - Accent6 9 2" xfId="6613" xr:uid="{00000000-0005-0000-0000-0000BF030000}"/>
    <cellStyle name="20% - Accent6 9 3" xfId="11277" xr:uid="{4A02924C-0BA8-4EC0-91FB-53F101D4940B}"/>
    <cellStyle name="40% - Accent1" xfId="49" builtinId="31" customBuiltin="1"/>
    <cellStyle name="40% - Accent1 10" xfId="4555" xr:uid="{00000000-0005-0000-0000-0000C1030000}"/>
    <cellStyle name="40% - Accent1 10 2" xfId="9179" xr:uid="{4055CC6E-F4A9-4158-8490-FAF6DB78173B}"/>
    <cellStyle name="40% - Accent1 11" xfId="8766" xr:uid="{B69CCB00-36D5-4244-92FE-A96DCE2BD384}"/>
    <cellStyle name="40% - Accent1 2" xfId="50" xr:uid="{00000000-0005-0000-0000-0000C2030000}"/>
    <cellStyle name="40% - Accent1 2 10" xfId="8767" xr:uid="{50C989C9-5369-48E8-8D06-56A450299C07}"/>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3" xfId="11781" xr:uid="{82176F37-00D0-4B87-AAF3-774914F9D2A0}"/>
    <cellStyle name="40% - Accent1 2 2 2 2 3" xfId="4972" xr:uid="{00000000-0005-0000-0000-0000C8030000}"/>
    <cellStyle name="40% - Accent1 2 2 2 2 4" xfId="9635" xr:uid="{3DCB8C14-F093-41FE-80BF-57EF1ED2FDDE}"/>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3" xfId="12194" xr:uid="{0D6C52E6-09CB-46E7-B1A0-2466ED310A8C}"/>
    <cellStyle name="40% - Accent1 2 2 2 3 3" xfId="5385" xr:uid="{00000000-0005-0000-0000-0000CC030000}"/>
    <cellStyle name="40% - Accent1 2 2 2 3 4" xfId="10048" xr:uid="{F98F0479-9182-48A2-9263-8CA55DEEC292}"/>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3" xfId="12607" xr:uid="{B61274D4-4022-4966-9BF1-CFA385FB5B29}"/>
    <cellStyle name="40% - Accent1 2 2 2 4 3" xfId="5798" xr:uid="{00000000-0005-0000-0000-0000D0030000}"/>
    <cellStyle name="40% - Accent1 2 2 2 4 4" xfId="10462" xr:uid="{95C0F0D2-8881-43F2-A357-61B79A3C1C5F}"/>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3" xfId="13020" xr:uid="{50FB56F5-07FC-483D-B98C-F24390AC333F}"/>
    <cellStyle name="40% - Accent1 2 2 2 5 3" xfId="6211" xr:uid="{00000000-0005-0000-0000-0000D4030000}"/>
    <cellStyle name="40% - Accent1 2 2 2 5 4" xfId="10875" xr:uid="{5A3695A9-A63F-4883-A420-E29F0B098458}"/>
    <cellStyle name="40% - Accent1 2 2 2 6" xfId="2316" xr:uid="{00000000-0005-0000-0000-0000D5030000}"/>
    <cellStyle name="40% - Accent1 2 2 2 6 2" xfId="6624" xr:uid="{00000000-0005-0000-0000-0000D6030000}"/>
    <cellStyle name="40% - Accent1 2 2 2 6 3" xfId="11288" xr:uid="{B6F3A956-50D2-4484-A700-B859FB045DE7}"/>
    <cellStyle name="40% - Accent1 2 2 2 7" xfId="4558" xr:uid="{00000000-0005-0000-0000-0000D7030000}"/>
    <cellStyle name="40% - Accent1 2 2 2 7 2" xfId="9182" xr:uid="{43E9558E-3908-4E28-B7C5-186232285853}"/>
    <cellStyle name="40% - Accent1 2 2 2 8" xfId="8769" xr:uid="{E8D9D744-A591-49E2-8F87-BB14AD9FAAFB}"/>
    <cellStyle name="40% - Accent1 2 2 3" xfId="621" xr:uid="{00000000-0005-0000-0000-0000D8030000}"/>
    <cellStyle name="40% - Accent1 2 2 3 2" xfId="2892" xr:uid="{00000000-0005-0000-0000-0000D9030000}"/>
    <cellStyle name="40% - Accent1 2 2 3 2 2" xfId="7116" xr:uid="{00000000-0005-0000-0000-0000DA030000}"/>
    <cellStyle name="40% - Accent1 2 2 3 2 3" xfId="11780" xr:uid="{05CA3B9D-ED06-4305-9AE4-7830B86BE4D8}"/>
    <cellStyle name="40% - Accent1 2 2 3 3" xfId="4971" xr:uid="{00000000-0005-0000-0000-0000DB030000}"/>
    <cellStyle name="40% - Accent1 2 2 3 4" xfId="9634" xr:uid="{4410F43A-A93D-4CE6-A784-6FF37CD1445B}"/>
    <cellStyle name="40% - Accent1 2 2 4" xfId="1074" xr:uid="{00000000-0005-0000-0000-0000DC030000}"/>
    <cellStyle name="40% - Accent1 2 2 4 2" xfId="3305" xr:uid="{00000000-0005-0000-0000-0000DD030000}"/>
    <cellStyle name="40% - Accent1 2 2 4 2 2" xfId="7529" xr:uid="{00000000-0005-0000-0000-0000DE030000}"/>
    <cellStyle name="40% - Accent1 2 2 4 2 3" xfId="12193" xr:uid="{B2BC365C-FA3D-4C0B-A3B6-BA2498811576}"/>
    <cellStyle name="40% - Accent1 2 2 4 3" xfId="5384" xr:uid="{00000000-0005-0000-0000-0000DF030000}"/>
    <cellStyle name="40% - Accent1 2 2 4 4" xfId="10047" xr:uid="{E6B15876-8ED4-4E5E-B1DD-13AA035BFC76}"/>
    <cellStyle name="40% - Accent1 2 2 5" xfId="1488" xr:uid="{00000000-0005-0000-0000-0000E0030000}"/>
    <cellStyle name="40% - Accent1 2 2 5 2" xfId="3718" xr:uid="{00000000-0005-0000-0000-0000E1030000}"/>
    <cellStyle name="40% - Accent1 2 2 5 2 2" xfId="7942" xr:uid="{00000000-0005-0000-0000-0000E2030000}"/>
    <cellStyle name="40% - Accent1 2 2 5 2 3" xfId="12606" xr:uid="{D688670A-6BAB-4C1E-88D6-E6D54432C417}"/>
    <cellStyle name="40% - Accent1 2 2 5 3" xfId="5797" xr:uid="{00000000-0005-0000-0000-0000E3030000}"/>
    <cellStyle name="40% - Accent1 2 2 5 4" xfId="10461" xr:uid="{DDD73FFF-8CC6-429E-8A65-49CFC242149B}"/>
    <cellStyle name="40% - Accent1 2 2 6" xfId="1902" xr:uid="{00000000-0005-0000-0000-0000E4030000}"/>
    <cellStyle name="40% - Accent1 2 2 6 2" xfId="4131" xr:uid="{00000000-0005-0000-0000-0000E5030000}"/>
    <cellStyle name="40% - Accent1 2 2 6 2 2" xfId="8355" xr:uid="{00000000-0005-0000-0000-0000E6030000}"/>
    <cellStyle name="40% - Accent1 2 2 6 2 3" xfId="13019" xr:uid="{B9BFC29E-C053-4223-A89A-E5BB5D6AC1EE}"/>
    <cellStyle name="40% - Accent1 2 2 6 3" xfId="6210" xr:uid="{00000000-0005-0000-0000-0000E7030000}"/>
    <cellStyle name="40% - Accent1 2 2 6 4" xfId="10874" xr:uid="{F7438FB2-1138-493E-87EB-054725844049}"/>
    <cellStyle name="40% - Accent1 2 2 7" xfId="2315" xr:uid="{00000000-0005-0000-0000-0000E8030000}"/>
    <cellStyle name="40% - Accent1 2 2 7 2" xfId="6623" xr:uid="{00000000-0005-0000-0000-0000E9030000}"/>
    <cellStyle name="40% - Accent1 2 2 7 3" xfId="11287" xr:uid="{6D95E48D-ED19-4DEF-8AD8-B656BE399619}"/>
    <cellStyle name="40% - Accent1 2 2 8" xfId="4557" xr:uid="{00000000-0005-0000-0000-0000EA030000}"/>
    <cellStyle name="40% - Accent1 2 2 8 2" xfId="9181" xr:uid="{C4CC18DF-7230-4090-8D86-06A7AEB8950C}"/>
    <cellStyle name="40% - Accent1 2 2 9" xfId="8768" xr:uid="{F8332259-CD70-4631-A0D9-08792780EE84}"/>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3" xfId="11782" xr:uid="{625C8AD2-9F68-42CE-9F22-1AA4841D8CFB}"/>
    <cellStyle name="40% - Accent1 2 3 2 3" xfId="4973" xr:uid="{00000000-0005-0000-0000-0000EF030000}"/>
    <cellStyle name="40% - Accent1 2 3 2 4" xfId="9636" xr:uid="{4E280E5E-62AB-4278-9E19-C8BAE4B637B2}"/>
    <cellStyle name="40% - Accent1 2 3 3" xfId="1076" xr:uid="{00000000-0005-0000-0000-0000F0030000}"/>
    <cellStyle name="40% - Accent1 2 3 3 2" xfId="3307" xr:uid="{00000000-0005-0000-0000-0000F1030000}"/>
    <cellStyle name="40% - Accent1 2 3 3 2 2" xfId="7531" xr:uid="{00000000-0005-0000-0000-0000F2030000}"/>
    <cellStyle name="40% - Accent1 2 3 3 2 3" xfId="12195" xr:uid="{CEF30BC5-FAFD-4A3E-BE9D-6DCC7E6E5A92}"/>
    <cellStyle name="40% - Accent1 2 3 3 3" xfId="5386" xr:uid="{00000000-0005-0000-0000-0000F3030000}"/>
    <cellStyle name="40% - Accent1 2 3 3 4" xfId="10049" xr:uid="{1E877CB5-F9D2-4629-A267-482FC7FA5ED8}"/>
    <cellStyle name="40% - Accent1 2 3 4" xfId="1490" xr:uid="{00000000-0005-0000-0000-0000F4030000}"/>
    <cellStyle name="40% - Accent1 2 3 4 2" xfId="3720" xr:uid="{00000000-0005-0000-0000-0000F5030000}"/>
    <cellStyle name="40% - Accent1 2 3 4 2 2" xfId="7944" xr:uid="{00000000-0005-0000-0000-0000F6030000}"/>
    <cellStyle name="40% - Accent1 2 3 4 2 3" xfId="12608" xr:uid="{2F28FB61-0C64-4655-B5E8-24AC61114F6A}"/>
    <cellStyle name="40% - Accent1 2 3 4 3" xfId="5799" xr:uid="{00000000-0005-0000-0000-0000F7030000}"/>
    <cellStyle name="40% - Accent1 2 3 4 4" xfId="10463" xr:uid="{DAC158CB-52EA-48A2-A9E3-73DDA1B58D31}"/>
    <cellStyle name="40% - Accent1 2 3 5" xfId="1904" xr:uid="{00000000-0005-0000-0000-0000F8030000}"/>
    <cellStyle name="40% - Accent1 2 3 5 2" xfId="4133" xr:uid="{00000000-0005-0000-0000-0000F9030000}"/>
    <cellStyle name="40% - Accent1 2 3 5 2 2" xfId="8357" xr:uid="{00000000-0005-0000-0000-0000FA030000}"/>
    <cellStyle name="40% - Accent1 2 3 5 2 3" xfId="13021" xr:uid="{61FD0B91-2D9E-4C98-A9A2-54BC2CD63213}"/>
    <cellStyle name="40% - Accent1 2 3 5 3" xfId="6212" xr:uid="{00000000-0005-0000-0000-0000FB030000}"/>
    <cellStyle name="40% - Accent1 2 3 5 4" xfId="10876" xr:uid="{4BCE0FE8-AAE6-476B-A17C-AA76BA9E28E9}"/>
    <cellStyle name="40% - Accent1 2 3 6" xfId="2317" xr:uid="{00000000-0005-0000-0000-0000FC030000}"/>
    <cellStyle name="40% - Accent1 2 3 6 2" xfId="6625" xr:uid="{00000000-0005-0000-0000-0000FD030000}"/>
    <cellStyle name="40% - Accent1 2 3 6 3" xfId="11289" xr:uid="{4E947559-1695-4DA7-BACE-B2E074BF9AE2}"/>
    <cellStyle name="40% - Accent1 2 3 7" xfId="4559" xr:uid="{00000000-0005-0000-0000-0000FE030000}"/>
    <cellStyle name="40% - Accent1 2 3 7 2" xfId="9183" xr:uid="{C3ED37B7-8568-4DAE-8D1E-3C0A35FD9714}"/>
    <cellStyle name="40% - Accent1 2 3 8" xfId="8770" xr:uid="{432032C4-028C-4931-B7EB-EFBA54F7685E}"/>
    <cellStyle name="40% - Accent1 2 4" xfId="620" xr:uid="{00000000-0005-0000-0000-0000FF030000}"/>
    <cellStyle name="40% - Accent1 2 4 2" xfId="2891" xr:uid="{00000000-0005-0000-0000-000000040000}"/>
    <cellStyle name="40% - Accent1 2 4 2 2" xfId="7115" xr:uid="{00000000-0005-0000-0000-000001040000}"/>
    <cellStyle name="40% - Accent1 2 4 2 3" xfId="11779" xr:uid="{FA0F0591-4EFA-4CD1-AD9D-82CE6A8B5F31}"/>
    <cellStyle name="40% - Accent1 2 4 3" xfId="4970" xr:uid="{00000000-0005-0000-0000-000002040000}"/>
    <cellStyle name="40% - Accent1 2 4 4" xfId="9633" xr:uid="{A88C8F24-4B2C-4231-86C6-AABDE3AFC033}"/>
    <cellStyle name="40% - Accent1 2 5" xfId="1073" xr:uid="{00000000-0005-0000-0000-000003040000}"/>
    <cellStyle name="40% - Accent1 2 5 2" xfId="3304" xr:uid="{00000000-0005-0000-0000-000004040000}"/>
    <cellStyle name="40% - Accent1 2 5 2 2" xfId="7528" xr:uid="{00000000-0005-0000-0000-000005040000}"/>
    <cellStyle name="40% - Accent1 2 5 2 3" xfId="12192" xr:uid="{C494CA26-9BF5-4B21-A4B1-6F3FC3E666A0}"/>
    <cellStyle name="40% - Accent1 2 5 3" xfId="5383" xr:uid="{00000000-0005-0000-0000-000006040000}"/>
    <cellStyle name="40% - Accent1 2 5 4" xfId="10046" xr:uid="{2579B16E-A537-42CF-B29F-C6525B149FF1}"/>
    <cellStyle name="40% - Accent1 2 6" xfId="1487" xr:uid="{00000000-0005-0000-0000-000007040000}"/>
    <cellStyle name="40% - Accent1 2 6 2" xfId="3717" xr:uid="{00000000-0005-0000-0000-000008040000}"/>
    <cellStyle name="40% - Accent1 2 6 2 2" xfId="7941" xr:uid="{00000000-0005-0000-0000-000009040000}"/>
    <cellStyle name="40% - Accent1 2 6 2 3" xfId="12605" xr:uid="{644BA734-1BA5-4B77-879D-22A387D5F5CA}"/>
    <cellStyle name="40% - Accent1 2 6 3" xfId="5796" xr:uid="{00000000-0005-0000-0000-00000A040000}"/>
    <cellStyle name="40% - Accent1 2 6 4" xfId="10460" xr:uid="{BB966743-026F-4336-860E-33AB02629F11}"/>
    <cellStyle name="40% - Accent1 2 7" xfId="1901" xr:uid="{00000000-0005-0000-0000-00000B040000}"/>
    <cellStyle name="40% - Accent1 2 7 2" xfId="4130" xr:uid="{00000000-0005-0000-0000-00000C040000}"/>
    <cellStyle name="40% - Accent1 2 7 2 2" xfId="8354" xr:uid="{00000000-0005-0000-0000-00000D040000}"/>
    <cellStyle name="40% - Accent1 2 7 2 3" xfId="13018" xr:uid="{E7733A6F-8E30-4ADA-82B0-3CAAB42CEECC}"/>
    <cellStyle name="40% - Accent1 2 7 3" xfId="6209" xr:uid="{00000000-0005-0000-0000-00000E040000}"/>
    <cellStyle name="40% - Accent1 2 7 4" xfId="10873" xr:uid="{64E13920-49D3-4017-99C1-C9B88DCEB573}"/>
    <cellStyle name="40% - Accent1 2 8" xfId="2314" xr:uid="{00000000-0005-0000-0000-00000F040000}"/>
    <cellStyle name="40% - Accent1 2 8 2" xfId="6622" xr:uid="{00000000-0005-0000-0000-000010040000}"/>
    <cellStyle name="40% - Accent1 2 8 3" xfId="11286" xr:uid="{22C43622-E2C8-4E4E-8F49-6760CA616B51}"/>
    <cellStyle name="40% - Accent1 2 9" xfId="4556" xr:uid="{00000000-0005-0000-0000-000011040000}"/>
    <cellStyle name="40% - Accent1 2 9 2" xfId="9180" xr:uid="{BACFABBB-0C6A-42AE-91CB-DBCF96F3331E}"/>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3" xfId="11784" xr:uid="{94A02ACB-C04F-400C-AE19-364A3727094E}"/>
    <cellStyle name="40% - Accent1 3 2 2 3" xfId="4975" xr:uid="{00000000-0005-0000-0000-000017040000}"/>
    <cellStyle name="40% - Accent1 3 2 2 4" xfId="9638" xr:uid="{90133B91-4093-4272-9738-9AA9E0923514}"/>
    <cellStyle name="40% - Accent1 3 2 3" xfId="1078" xr:uid="{00000000-0005-0000-0000-000018040000}"/>
    <cellStyle name="40% - Accent1 3 2 3 2" xfId="3309" xr:uid="{00000000-0005-0000-0000-000019040000}"/>
    <cellStyle name="40% - Accent1 3 2 3 2 2" xfId="7533" xr:uid="{00000000-0005-0000-0000-00001A040000}"/>
    <cellStyle name="40% - Accent1 3 2 3 2 3" xfId="12197" xr:uid="{5FBF41B4-C43E-43E1-9EA7-A01C34B6CC6F}"/>
    <cellStyle name="40% - Accent1 3 2 3 3" xfId="5388" xr:uid="{00000000-0005-0000-0000-00001B040000}"/>
    <cellStyle name="40% - Accent1 3 2 3 4" xfId="10051" xr:uid="{A3A8C0A6-CB16-4F1C-A9E3-542CE810A74B}"/>
    <cellStyle name="40% - Accent1 3 2 4" xfId="1492" xr:uid="{00000000-0005-0000-0000-00001C040000}"/>
    <cellStyle name="40% - Accent1 3 2 4 2" xfId="3722" xr:uid="{00000000-0005-0000-0000-00001D040000}"/>
    <cellStyle name="40% - Accent1 3 2 4 2 2" xfId="7946" xr:uid="{00000000-0005-0000-0000-00001E040000}"/>
    <cellStyle name="40% - Accent1 3 2 4 2 3" xfId="12610" xr:uid="{62F85B8F-CBCF-4FD1-8E51-8D7E8FC4C695}"/>
    <cellStyle name="40% - Accent1 3 2 4 3" xfId="5801" xr:uid="{00000000-0005-0000-0000-00001F040000}"/>
    <cellStyle name="40% - Accent1 3 2 4 4" xfId="10465" xr:uid="{02AB733B-5E64-4631-85E7-A735B779E849}"/>
    <cellStyle name="40% - Accent1 3 2 5" xfId="1906" xr:uid="{00000000-0005-0000-0000-000020040000}"/>
    <cellStyle name="40% - Accent1 3 2 5 2" xfId="4135" xr:uid="{00000000-0005-0000-0000-000021040000}"/>
    <cellStyle name="40% - Accent1 3 2 5 2 2" xfId="8359" xr:uid="{00000000-0005-0000-0000-000022040000}"/>
    <cellStyle name="40% - Accent1 3 2 5 2 3" xfId="13023" xr:uid="{FB391758-C6FE-47CD-A6E0-0ABD85CD4094}"/>
    <cellStyle name="40% - Accent1 3 2 5 3" xfId="6214" xr:uid="{00000000-0005-0000-0000-000023040000}"/>
    <cellStyle name="40% - Accent1 3 2 5 4" xfId="10878" xr:uid="{544968B2-CDD9-40C2-8907-F16EFFBC184D}"/>
    <cellStyle name="40% - Accent1 3 2 6" xfId="2319" xr:uid="{00000000-0005-0000-0000-000024040000}"/>
    <cellStyle name="40% - Accent1 3 2 6 2" xfId="6627" xr:uid="{00000000-0005-0000-0000-000025040000}"/>
    <cellStyle name="40% - Accent1 3 2 6 3" xfId="11291" xr:uid="{1F72F866-EFD0-4069-B1BD-7044E13A20C7}"/>
    <cellStyle name="40% - Accent1 3 2 7" xfId="4561" xr:uid="{00000000-0005-0000-0000-000026040000}"/>
    <cellStyle name="40% - Accent1 3 2 7 2" xfId="9185" xr:uid="{49EDF504-CA62-44AE-9B14-DF25A1DDC1A2}"/>
    <cellStyle name="40% - Accent1 3 2 8" xfId="8772" xr:uid="{F5785108-6D2C-486B-B4C4-89A9779493C4}"/>
    <cellStyle name="40% - Accent1 3 3" xfId="624" xr:uid="{00000000-0005-0000-0000-000027040000}"/>
    <cellStyle name="40% - Accent1 3 3 2" xfId="2895" xr:uid="{00000000-0005-0000-0000-000028040000}"/>
    <cellStyle name="40% - Accent1 3 3 2 2" xfId="7119" xr:uid="{00000000-0005-0000-0000-000029040000}"/>
    <cellStyle name="40% - Accent1 3 3 2 3" xfId="11783" xr:uid="{762228F1-B139-4D0F-83A1-DD4E4AA3A40D}"/>
    <cellStyle name="40% - Accent1 3 3 3" xfId="4974" xr:uid="{00000000-0005-0000-0000-00002A040000}"/>
    <cellStyle name="40% - Accent1 3 3 4" xfId="9637" xr:uid="{0AA415AD-D2B1-4D67-B087-534EB3EF2CF8}"/>
    <cellStyle name="40% - Accent1 3 4" xfId="1077" xr:uid="{00000000-0005-0000-0000-00002B040000}"/>
    <cellStyle name="40% - Accent1 3 4 2" xfId="3308" xr:uid="{00000000-0005-0000-0000-00002C040000}"/>
    <cellStyle name="40% - Accent1 3 4 2 2" xfId="7532" xr:uid="{00000000-0005-0000-0000-00002D040000}"/>
    <cellStyle name="40% - Accent1 3 4 2 3" xfId="12196" xr:uid="{718DFE3C-CCA4-48DE-844D-4F31EE280D51}"/>
    <cellStyle name="40% - Accent1 3 4 3" xfId="5387" xr:uid="{00000000-0005-0000-0000-00002E040000}"/>
    <cellStyle name="40% - Accent1 3 4 4" xfId="10050" xr:uid="{0201ED21-21F2-4428-868B-84CC3E169FC2}"/>
    <cellStyle name="40% - Accent1 3 5" xfId="1491" xr:uid="{00000000-0005-0000-0000-00002F040000}"/>
    <cellStyle name="40% - Accent1 3 5 2" xfId="3721" xr:uid="{00000000-0005-0000-0000-000030040000}"/>
    <cellStyle name="40% - Accent1 3 5 2 2" xfId="7945" xr:uid="{00000000-0005-0000-0000-000031040000}"/>
    <cellStyle name="40% - Accent1 3 5 2 3" xfId="12609" xr:uid="{A693EE32-255E-4405-958B-C57E063BBEEA}"/>
    <cellStyle name="40% - Accent1 3 5 3" xfId="5800" xr:uid="{00000000-0005-0000-0000-000032040000}"/>
    <cellStyle name="40% - Accent1 3 5 4" xfId="10464" xr:uid="{C15AAAFB-88F1-4B21-B937-9C9DE4FA0710}"/>
    <cellStyle name="40% - Accent1 3 6" xfId="1905" xr:uid="{00000000-0005-0000-0000-000033040000}"/>
    <cellStyle name="40% - Accent1 3 6 2" xfId="4134" xr:uid="{00000000-0005-0000-0000-000034040000}"/>
    <cellStyle name="40% - Accent1 3 6 2 2" xfId="8358" xr:uid="{00000000-0005-0000-0000-000035040000}"/>
    <cellStyle name="40% - Accent1 3 6 2 3" xfId="13022" xr:uid="{B3D515F2-41CD-4E27-B546-0C14251F0B4E}"/>
    <cellStyle name="40% - Accent1 3 6 3" xfId="6213" xr:uid="{00000000-0005-0000-0000-000036040000}"/>
    <cellStyle name="40% - Accent1 3 6 4" xfId="10877" xr:uid="{590B33A8-57A9-43C7-B2D7-E61D87FDE66B}"/>
    <cellStyle name="40% - Accent1 3 7" xfId="2318" xr:uid="{00000000-0005-0000-0000-000037040000}"/>
    <cellStyle name="40% - Accent1 3 7 2" xfId="6626" xr:uid="{00000000-0005-0000-0000-000038040000}"/>
    <cellStyle name="40% - Accent1 3 7 3" xfId="11290" xr:uid="{E9FB3CC0-6B85-47DF-8613-8597FEE1E2C2}"/>
    <cellStyle name="40% - Accent1 3 8" xfId="4560" xr:uid="{00000000-0005-0000-0000-000039040000}"/>
    <cellStyle name="40% - Accent1 3 8 2" xfId="9184" xr:uid="{D84FAC0E-E07C-475B-97BF-6AC7B8B81948}"/>
    <cellStyle name="40% - Accent1 3 9" xfId="8771" xr:uid="{0D6A7ED8-1852-48B2-A499-7B9DFD4950E9}"/>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3" xfId="11785" xr:uid="{114F487F-E8F6-4A02-A553-A73AA8790630}"/>
    <cellStyle name="40% - Accent1 4 2 3" xfId="4976" xr:uid="{00000000-0005-0000-0000-00003E040000}"/>
    <cellStyle name="40% - Accent1 4 2 4" xfId="9639" xr:uid="{B3979D23-6A3D-43C4-B5A2-119E0975C511}"/>
    <cellStyle name="40% - Accent1 4 3" xfId="1079" xr:uid="{00000000-0005-0000-0000-00003F040000}"/>
    <cellStyle name="40% - Accent1 4 3 2" xfId="3310" xr:uid="{00000000-0005-0000-0000-000040040000}"/>
    <cellStyle name="40% - Accent1 4 3 2 2" xfId="7534" xr:uid="{00000000-0005-0000-0000-000041040000}"/>
    <cellStyle name="40% - Accent1 4 3 2 3" xfId="12198" xr:uid="{42A204CF-B3CA-4FE7-A4BD-81B3406E8E77}"/>
    <cellStyle name="40% - Accent1 4 3 3" xfId="5389" xr:uid="{00000000-0005-0000-0000-000042040000}"/>
    <cellStyle name="40% - Accent1 4 3 4" xfId="10052" xr:uid="{7F4C3823-8175-4B4F-9336-C721DD6FF9FF}"/>
    <cellStyle name="40% - Accent1 4 4" xfId="1493" xr:uid="{00000000-0005-0000-0000-000043040000}"/>
    <cellStyle name="40% - Accent1 4 4 2" xfId="3723" xr:uid="{00000000-0005-0000-0000-000044040000}"/>
    <cellStyle name="40% - Accent1 4 4 2 2" xfId="7947" xr:uid="{00000000-0005-0000-0000-000045040000}"/>
    <cellStyle name="40% - Accent1 4 4 2 3" xfId="12611" xr:uid="{2D099873-36B2-4EAB-9FA6-531D036A0D9E}"/>
    <cellStyle name="40% - Accent1 4 4 3" xfId="5802" xr:uid="{00000000-0005-0000-0000-000046040000}"/>
    <cellStyle name="40% - Accent1 4 4 4" xfId="10466" xr:uid="{B576C839-A293-4504-B045-98C60FC13FA2}"/>
    <cellStyle name="40% - Accent1 4 5" xfId="1907" xr:uid="{00000000-0005-0000-0000-000047040000}"/>
    <cellStyle name="40% - Accent1 4 5 2" xfId="4136" xr:uid="{00000000-0005-0000-0000-000048040000}"/>
    <cellStyle name="40% - Accent1 4 5 2 2" xfId="8360" xr:uid="{00000000-0005-0000-0000-000049040000}"/>
    <cellStyle name="40% - Accent1 4 5 2 3" xfId="13024" xr:uid="{67360CC0-9524-42DD-86B8-E01A49338E83}"/>
    <cellStyle name="40% - Accent1 4 5 3" xfId="6215" xr:uid="{00000000-0005-0000-0000-00004A040000}"/>
    <cellStyle name="40% - Accent1 4 5 4" xfId="10879" xr:uid="{EAF48ACE-03A8-4A3B-B93C-AF47C89D6AB3}"/>
    <cellStyle name="40% - Accent1 4 6" xfId="2320" xr:uid="{00000000-0005-0000-0000-00004B040000}"/>
    <cellStyle name="40% - Accent1 4 6 2" xfId="6628" xr:uid="{00000000-0005-0000-0000-00004C040000}"/>
    <cellStyle name="40% - Accent1 4 6 3" xfId="11292" xr:uid="{57E3B6EB-3C80-4ED3-9120-73578B22BF97}"/>
    <cellStyle name="40% - Accent1 4 7" xfId="4562" xr:uid="{00000000-0005-0000-0000-00004D040000}"/>
    <cellStyle name="40% - Accent1 4 7 2" xfId="9186" xr:uid="{A2832D42-0EE8-4C9F-8B43-73179953915E}"/>
    <cellStyle name="40% - Accent1 4 8" xfId="8773" xr:uid="{F4278A96-1310-4F3D-B93F-9469150927B1}"/>
    <cellStyle name="40% - Accent1 5" xfId="619" xr:uid="{00000000-0005-0000-0000-00004E040000}"/>
    <cellStyle name="40% - Accent1 5 2" xfId="2890" xr:uid="{00000000-0005-0000-0000-00004F040000}"/>
    <cellStyle name="40% - Accent1 5 2 2" xfId="7114" xr:uid="{00000000-0005-0000-0000-000050040000}"/>
    <cellStyle name="40% - Accent1 5 2 3" xfId="11778" xr:uid="{FDBD9717-7EC2-4524-8FF8-3D30248DC485}"/>
    <cellStyle name="40% - Accent1 5 3" xfId="4969" xr:uid="{00000000-0005-0000-0000-000051040000}"/>
    <cellStyle name="40% - Accent1 5 4" xfId="9632" xr:uid="{019929A0-92EA-43F9-AF95-BC1CEAA13F52}"/>
    <cellStyle name="40% - Accent1 6" xfId="1072" xr:uid="{00000000-0005-0000-0000-000052040000}"/>
    <cellStyle name="40% - Accent1 6 2" xfId="3303" xr:uid="{00000000-0005-0000-0000-000053040000}"/>
    <cellStyle name="40% - Accent1 6 2 2" xfId="7527" xr:uid="{00000000-0005-0000-0000-000054040000}"/>
    <cellStyle name="40% - Accent1 6 2 3" xfId="12191" xr:uid="{388E2625-4A97-4BDD-9511-2B838FA23DC6}"/>
    <cellStyle name="40% - Accent1 6 3" xfId="5382" xr:uid="{00000000-0005-0000-0000-000055040000}"/>
    <cellStyle name="40% - Accent1 6 4" xfId="10045" xr:uid="{BFE1C560-2F2B-4B27-967D-5C7FBB486D33}"/>
    <cellStyle name="40% - Accent1 7" xfId="1486" xr:uid="{00000000-0005-0000-0000-000056040000}"/>
    <cellStyle name="40% - Accent1 7 2" xfId="3716" xr:uid="{00000000-0005-0000-0000-000057040000}"/>
    <cellStyle name="40% - Accent1 7 2 2" xfId="7940" xr:uid="{00000000-0005-0000-0000-000058040000}"/>
    <cellStyle name="40% - Accent1 7 2 3" xfId="12604" xr:uid="{9DDB0BAC-C0C1-4259-9952-0D00AB3AD124}"/>
    <cellStyle name="40% - Accent1 7 3" xfId="5795" xr:uid="{00000000-0005-0000-0000-000059040000}"/>
    <cellStyle name="40% - Accent1 7 4" xfId="10459" xr:uid="{23AC18E8-8E59-4943-893A-1B30484851DD}"/>
    <cellStyle name="40% - Accent1 8" xfId="1900" xr:uid="{00000000-0005-0000-0000-00005A040000}"/>
    <cellStyle name="40% - Accent1 8 2" xfId="4129" xr:uid="{00000000-0005-0000-0000-00005B040000}"/>
    <cellStyle name="40% - Accent1 8 2 2" xfId="8353" xr:uid="{00000000-0005-0000-0000-00005C040000}"/>
    <cellStyle name="40% - Accent1 8 2 3" xfId="13017" xr:uid="{056F0101-4103-4173-868C-505B6FA1D508}"/>
    <cellStyle name="40% - Accent1 8 3" xfId="6208" xr:uid="{00000000-0005-0000-0000-00005D040000}"/>
    <cellStyle name="40% - Accent1 8 4" xfId="10872" xr:uid="{44545217-21F7-42FD-9172-1D23ED09D45F}"/>
    <cellStyle name="40% - Accent1 9" xfId="2313" xr:uid="{00000000-0005-0000-0000-00005E040000}"/>
    <cellStyle name="40% - Accent1 9 2" xfId="6621" xr:uid="{00000000-0005-0000-0000-00005F040000}"/>
    <cellStyle name="40% - Accent1 9 3" xfId="11285" xr:uid="{93BDFCFF-F702-4BAD-A389-662ADFCF7FCA}"/>
    <cellStyle name="40% - Accent2" xfId="57" builtinId="35" customBuiltin="1"/>
    <cellStyle name="40% - Accent2 10" xfId="4563" xr:uid="{00000000-0005-0000-0000-000061040000}"/>
    <cellStyle name="40% - Accent2 10 2" xfId="9187" xr:uid="{A0DF9409-FAD7-4EB8-AC5A-773F505817C1}"/>
    <cellStyle name="40% - Accent2 11" xfId="8774" xr:uid="{E019ECF2-5DDA-49A3-9B83-65E1F3B0ED4D}"/>
    <cellStyle name="40% - Accent2 2" xfId="58" xr:uid="{00000000-0005-0000-0000-000062040000}"/>
    <cellStyle name="40% - Accent2 2 10" xfId="8775" xr:uid="{3261EDBD-913E-40D5-81EB-EC4A81D27267}"/>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3" xfId="11789" xr:uid="{0441B67F-AA59-42C0-9DA4-94DB4D981D6D}"/>
    <cellStyle name="40% - Accent2 2 2 2 2 3" xfId="4980" xr:uid="{00000000-0005-0000-0000-000068040000}"/>
    <cellStyle name="40% - Accent2 2 2 2 2 4" xfId="9643" xr:uid="{47F2B9CB-92C9-42A5-BB76-3C73AB76F94B}"/>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3" xfId="12202" xr:uid="{470519BD-AC02-43BC-9121-956D23D2E1EA}"/>
    <cellStyle name="40% - Accent2 2 2 2 3 3" xfId="5393" xr:uid="{00000000-0005-0000-0000-00006C040000}"/>
    <cellStyle name="40% - Accent2 2 2 2 3 4" xfId="10056" xr:uid="{C3BF3D05-A5B0-4B58-A934-255487E2E40D}"/>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3" xfId="12615" xr:uid="{2F7B2BEF-B861-4618-9B79-69C0018A07D0}"/>
    <cellStyle name="40% - Accent2 2 2 2 4 3" xfId="5806" xr:uid="{00000000-0005-0000-0000-000070040000}"/>
    <cellStyle name="40% - Accent2 2 2 2 4 4" xfId="10470" xr:uid="{BBCC3992-4BE6-40BD-92DC-9E171205173F}"/>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3" xfId="13028" xr:uid="{EA92BDCC-1840-46AB-8782-F4B77E28F974}"/>
    <cellStyle name="40% - Accent2 2 2 2 5 3" xfId="6219" xr:uid="{00000000-0005-0000-0000-000074040000}"/>
    <cellStyle name="40% - Accent2 2 2 2 5 4" xfId="10883" xr:uid="{B7D654F1-067F-4D0B-8398-4A69325B399E}"/>
    <cellStyle name="40% - Accent2 2 2 2 6" xfId="2324" xr:uid="{00000000-0005-0000-0000-000075040000}"/>
    <cellStyle name="40% - Accent2 2 2 2 6 2" xfId="6632" xr:uid="{00000000-0005-0000-0000-000076040000}"/>
    <cellStyle name="40% - Accent2 2 2 2 6 3" xfId="11296" xr:uid="{D2DF1559-D205-418A-9433-8471AE2D0E15}"/>
    <cellStyle name="40% - Accent2 2 2 2 7" xfId="4566" xr:uid="{00000000-0005-0000-0000-000077040000}"/>
    <cellStyle name="40% - Accent2 2 2 2 7 2" xfId="9190" xr:uid="{E4ABB796-FF69-4B89-9617-3832B0E63734}"/>
    <cellStyle name="40% - Accent2 2 2 2 8" xfId="8777" xr:uid="{8EDE757A-890A-4876-B697-F3C7C78E410A}"/>
    <cellStyle name="40% - Accent2 2 2 3" xfId="629" xr:uid="{00000000-0005-0000-0000-000078040000}"/>
    <cellStyle name="40% - Accent2 2 2 3 2" xfId="2900" xr:uid="{00000000-0005-0000-0000-000079040000}"/>
    <cellStyle name="40% - Accent2 2 2 3 2 2" xfId="7124" xr:uid="{00000000-0005-0000-0000-00007A040000}"/>
    <cellStyle name="40% - Accent2 2 2 3 2 3" xfId="11788" xr:uid="{DAB8E150-EE8D-43D9-8799-7305EB41214C}"/>
    <cellStyle name="40% - Accent2 2 2 3 3" xfId="4979" xr:uid="{00000000-0005-0000-0000-00007B040000}"/>
    <cellStyle name="40% - Accent2 2 2 3 4" xfId="9642" xr:uid="{E7154342-F82B-4312-9759-031888C8308D}"/>
    <cellStyle name="40% - Accent2 2 2 4" xfId="1082" xr:uid="{00000000-0005-0000-0000-00007C040000}"/>
    <cellStyle name="40% - Accent2 2 2 4 2" xfId="3313" xr:uid="{00000000-0005-0000-0000-00007D040000}"/>
    <cellStyle name="40% - Accent2 2 2 4 2 2" xfId="7537" xr:uid="{00000000-0005-0000-0000-00007E040000}"/>
    <cellStyle name="40% - Accent2 2 2 4 2 3" xfId="12201" xr:uid="{82AABC3E-AE6B-4638-9E71-7E849012A215}"/>
    <cellStyle name="40% - Accent2 2 2 4 3" xfId="5392" xr:uid="{00000000-0005-0000-0000-00007F040000}"/>
    <cellStyle name="40% - Accent2 2 2 4 4" xfId="10055" xr:uid="{E12995CF-5160-4C5C-B881-207562B44A70}"/>
    <cellStyle name="40% - Accent2 2 2 5" xfId="1496" xr:uid="{00000000-0005-0000-0000-000080040000}"/>
    <cellStyle name="40% - Accent2 2 2 5 2" xfId="3726" xr:uid="{00000000-0005-0000-0000-000081040000}"/>
    <cellStyle name="40% - Accent2 2 2 5 2 2" xfId="7950" xr:uid="{00000000-0005-0000-0000-000082040000}"/>
    <cellStyle name="40% - Accent2 2 2 5 2 3" xfId="12614" xr:uid="{BCCEF2CA-1A20-4F53-8977-DEE7AEDFFC24}"/>
    <cellStyle name="40% - Accent2 2 2 5 3" xfId="5805" xr:uid="{00000000-0005-0000-0000-000083040000}"/>
    <cellStyle name="40% - Accent2 2 2 5 4" xfId="10469" xr:uid="{0BCFB252-0E29-4E43-A2E1-C6372E427380}"/>
    <cellStyle name="40% - Accent2 2 2 6" xfId="1910" xr:uid="{00000000-0005-0000-0000-000084040000}"/>
    <cellStyle name="40% - Accent2 2 2 6 2" xfId="4139" xr:uid="{00000000-0005-0000-0000-000085040000}"/>
    <cellStyle name="40% - Accent2 2 2 6 2 2" xfId="8363" xr:uid="{00000000-0005-0000-0000-000086040000}"/>
    <cellStyle name="40% - Accent2 2 2 6 2 3" xfId="13027" xr:uid="{D4740062-5B3A-46CD-8643-B765B17BA567}"/>
    <cellStyle name="40% - Accent2 2 2 6 3" xfId="6218" xr:uid="{00000000-0005-0000-0000-000087040000}"/>
    <cellStyle name="40% - Accent2 2 2 6 4" xfId="10882" xr:uid="{72917B8F-1D72-4822-81FE-A26441A17E8C}"/>
    <cellStyle name="40% - Accent2 2 2 7" xfId="2323" xr:uid="{00000000-0005-0000-0000-000088040000}"/>
    <cellStyle name="40% - Accent2 2 2 7 2" xfId="6631" xr:uid="{00000000-0005-0000-0000-000089040000}"/>
    <cellStyle name="40% - Accent2 2 2 7 3" xfId="11295" xr:uid="{FD1D5C62-4CDD-4964-8668-70E7BF5D0FCC}"/>
    <cellStyle name="40% - Accent2 2 2 8" xfId="4565" xr:uid="{00000000-0005-0000-0000-00008A040000}"/>
    <cellStyle name="40% - Accent2 2 2 8 2" xfId="9189" xr:uid="{11890B6D-98FE-4CCB-A560-B62769033944}"/>
    <cellStyle name="40% - Accent2 2 2 9" xfId="8776" xr:uid="{17EEC4A7-840F-423B-BA03-D28DE0565D53}"/>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3" xfId="11790" xr:uid="{D80FF651-B44F-4E06-86F8-69F0782CFA3E}"/>
    <cellStyle name="40% - Accent2 2 3 2 3" xfId="4981" xr:uid="{00000000-0005-0000-0000-00008F040000}"/>
    <cellStyle name="40% - Accent2 2 3 2 4" xfId="9644" xr:uid="{01A67CF7-B786-4CC5-B72A-C683CBCDE2A8}"/>
    <cellStyle name="40% - Accent2 2 3 3" xfId="1084" xr:uid="{00000000-0005-0000-0000-000090040000}"/>
    <cellStyle name="40% - Accent2 2 3 3 2" xfId="3315" xr:uid="{00000000-0005-0000-0000-000091040000}"/>
    <cellStyle name="40% - Accent2 2 3 3 2 2" xfId="7539" xr:uid="{00000000-0005-0000-0000-000092040000}"/>
    <cellStyle name="40% - Accent2 2 3 3 2 3" xfId="12203" xr:uid="{C0B56C2A-5D84-4701-BA5B-7275BBEAD185}"/>
    <cellStyle name="40% - Accent2 2 3 3 3" xfId="5394" xr:uid="{00000000-0005-0000-0000-000093040000}"/>
    <cellStyle name="40% - Accent2 2 3 3 4" xfId="10057" xr:uid="{C5745946-4B95-4288-A8EB-2EBE419176C0}"/>
    <cellStyle name="40% - Accent2 2 3 4" xfId="1498" xr:uid="{00000000-0005-0000-0000-000094040000}"/>
    <cellStyle name="40% - Accent2 2 3 4 2" xfId="3728" xr:uid="{00000000-0005-0000-0000-000095040000}"/>
    <cellStyle name="40% - Accent2 2 3 4 2 2" xfId="7952" xr:uid="{00000000-0005-0000-0000-000096040000}"/>
    <cellStyle name="40% - Accent2 2 3 4 2 3" xfId="12616" xr:uid="{8C11C43A-779A-4D2A-B0F1-F9AD175810D0}"/>
    <cellStyle name="40% - Accent2 2 3 4 3" xfId="5807" xr:uid="{00000000-0005-0000-0000-000097040000}"/>
    <cellStyle name="40% - Accent2 2 3 4 4" xfId="10471" xr:uid="{E7B09516-139F-44E7-A8DF-E358B8920B27}"/>
    <cellStyle name="40% - Accent2 2 3 5" xfId="1912" xr:uid="{00000000-0005-0000-0000-000098040000}"/>
    <cellStyle name="40% - Accent2 2 3 5 2" xfId="4141" xr:uid="{00000000-0005-0000-0000-000099040000}"/>
    <cellStyle name="40% - Accent2 2 3 5 2 2" xfId="8365" xr:uid="{00000000-0005-0000-0000-00009A040000}"/>
    <cellStyle name="40% - Accent2 2 3 5 2 3" xfId="13029" xr:uid="{20EB0AC4-162A-42FF-BE1C-A3DDAB8A0E57}"/>
    <cellStyle name="40% - Accent2 2 3 5 3" xfId="6220" xr:uid="{00000000-0005-0000-0000-00009B040000}"/>
    <cellStyle name="40% - Accent2 2 3 5 4" xfId="10884" xr:uid="{EB6C2480-5DB9-4501-95F5-973267F2BD74}"/>
    <cellStyle name="40% - Accent2 2 3 6" xfId="2325" xr:uid="{00000000-0005-0000-0000-00009C040000}"/>
    <cellStyle name="40% - Accent2 2 3 6 2" xfId="6633" xr:uid="{00000000-0005-0000-0000-00009D040000}"/>
    <cellStyle name="40% - Accent2 2 3 6 3" xfId="11297" xr:uid="{60181900-0966-47FF-9E14-F97AF551A782}"/>
    <cellStyle name="40% - Accent2 2 3 7" xfId="4567" xr:uid="{00000000-0005-0000-0000-00009E040000}"/>
    <cellStyle name="40% - Accent2 2 3 7 2" xfId="9191" xr:uid="{C27651FB-85A3-4486-8E5F-BEC017DBD2A0}"/>
    <cellStyle name="40% - Accent2 2 3 8" xfId="8778" xr:uid="{CDC02DFB-E55D-41F1-BD01-008573112404}"/>
    <cellStyle name="40% - Accent2 2 4" xfId="628" xr:uid="{00000000-0005-0000-0000-00009F040000}"/>
    <cellStyle name="40% - Accent2 2 4 2" xfId="2899" xr:uid="{00000000-0005-0000-0000-0000A0040000}"/>
    <cellStyle name="40% - Accent2 2 4 2 2" xfId="7123" xr:uid="{00000000-0005-0000-0000-0000A1040000}"/>
    <cellStyle name="40% - Accent2 2 4 2 3" xfId="11787" xr:uid="{3EA87A1A-DE72-44E1-9A26-34BF527303F2}"/>
    <cellStyle name="40% - Accent2 2 4 3" xfId="4978" xr:uid="{00000000-0005-0000-0000-0000A2040000}"/>
    <cellStyle name="40% - Accent2 2 4 4" xfId="9641" xr:uid="{F4E99785-D612-4C44-87BF-BF1DEA62365F}"/>
    <cellStyle name="40% - Accent2 2 5" xfId="1081" xr:uid="{00000000-0005-0000-0000-0000A3040000}"/>
    <cellStyle name="40% - Accent2 2 5 2" xfId="3312" xr:uid="{00000000-0005-0000-0000-0000A4040000}"/>
    <cellStyle name="40% - Accent2 2 5 2 2" xfId="7536" xr:uid="{00000000-0005-0000-0000-0000A5040000}"/>
    <cellStyle name="40% - Accent2 2 5 2 3" xfId="12200" xr:uid="{5B8BBC1A-9C42-4970-8BD2-908961FB6595}"/>
    <cellStyle name="40% - Accent2 2 5 3" xfId="5391" xr:uid="{00000000-0005-0000-0000-0000A6040000}"/>
    <cellStyle name="40% - Accent2 2 5 4" xfId="10054" xr:uid="{A0C47071-2288-4C06-ADF4-660EE0D61134}"/>
    <cellStyle name="40% - Accent2 2 6" xfId="1495" xr:uid="{00000000-0005-0000-0000-0000A7040000}"/>
    <cellStyle name="40% - Accent2 2 6 2" xfId="3725" xr:uid="{00000000-0005-0000-0000-0000A8040000}"/>
    <cellStyle name="40% - Accent2 2 6 2 2" xfId="7949" xr:uid="{00000000-0005-0000-0000-0000A9040000}"/>
    <cellStyle name="40% - Accent2 2 6 2 3" xfId="12613" xr:uid="{FECD2755-34C1-4199-8313-28AC18715BA6}"/>
    <cellStyle name="40% - Accent2 2 6 3" xfId="5804" xr:uid="{00000000-0005-0000-0000-0000AA040000}"/>
    <cellStyle name="40% - Accent2 2 6 4" xfId="10468" xr:uid="{4D806B24-7F62-469A-B5A0-D347D37052C1}"/>
    <cellStyle name="40% - Accent2 2 7" xfId="1909" xr:uid="{00000000-0005-0000-0000-0000AB040000}"/>
    <cellStyle name="40% - Accent2 2 7 2" xfId="4138" xr:uid="{00000000-0005-0000-0000-0000AC040000}"/>
    <cellStyle name="40% - Accent2 2 7 2 2" xfId="8362" xr:uid="{00000000-0005-0000-0000-0000AD040000}"/>
    <cellStyle name="40% - Accent2 2 7 2 3" xfId="13026" xr:uid="{33D2F35C-4163-4DF6-90CF-2C158925EAC0}"/>
    <cellStyle name="40% - Accent2 2 7 3" xfId="6217" xr:uid="{00000000-0005-0000-0000-0000AE040000}"/>
    <cellStyle name="40% - Accent2 2 7 4" xfId="10881" xr:uid="{F497B6EF-FF4E-445C-8E5C-D840610906C6}"/>
    <cellStyle name="40% - Accent2 2 8" xfId="2322" xr:uid="{00000000-0005-0000-0000-0000AF040000}"/>
    <cellStyle name="40% - Accent2 2 8 2" xfId="6630" xr:uid="{00000000-0005-0000-0000-0000B0040000}"/>
    <cellStyle name="40% - Accent2 2 8 3" xfId="11294" xr:uid="{D4C28A14-23A9-4BA3-8E63-868868A35CF8}"/>
    <cellStyle name="40% - Accent2 2 9" xfId="4564" xr:uid="{00000000-0005-0000-0000-0000B1040000}"/>
    <cellStyle name="40% - Accent2 2 9 2" xfId="9188" xr:uid="{2481D518-1395-483F-B9E9-F336577BA1E3}"/>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3" xfId="11792" xr:uid="{C8A3ED11-C982-4688-BFFD-6900736FA023}"/>
    <cellStyle name="40% - Accent2 3 2 2 3" xfId="4983" xr:uid="{00000000-0005-0000-0000-0000B7040000}"/>
    <cellStyle name="40% - Accent2 3 2 2 4" xfId="9646" xr:uid="{235F4FAA-06A1-48EF-BDB7-37F340E1246D}"/>
    <cellStyle name="40% - Accent2 3 2 3" xfId="1086" xr:uid="{00000000-0005-0000-0000-0000B8040000}"/>
    <cellStyle name="40% - Accent2 3 2 3 2" xfId="3317" xr:uid="{00000000-0005-0000-0000-0000B9040000}"/>
    <cellStyle name="40% - Accent2 3 2 3 2 2" xfId="7541" xr:uid="{00000000-0005-0000-0000-0000BA040000}"/>
    <cellStyle name="40% - Accent2 3 2 3 2 3" xfId="12205" xr:uid="{606DB5DB-88EF-4842-8E4F-3CE4BC84342D}"/>
    <cellStyle name="40% - Accent2 3 2 3 3" xfId="5396" xr:uid="{00000000-0005-0000-0000-0000BB040000}"/>
    <cellStyle name="40% - Accent2 3 2 3 4" xfId="10059" xr:uid="{831EA590-62E9-4DED-8350-7A1D50EE5D03}"/>
    <cellStyle name="40% - Accent2 3 2 4" xfId="1500" xr:uid="{00000000-0005-0000-0000-0000BC040000}"/>
    <cellStyle name="40% - Accent2 3 2 4 2" xfId="3730" xr:uid="{00000000-0005-0000-0000-0000BD040000}"/>
    <cellStyle name="40% - Accent2 3 2 4 2 2" xfId="7954" xr:uid="{00000000-0005-0000-0000-0000BE040000}"/>
    <cellStyle name="40% - Accent2 3 2 4 2 3" xfId="12618" xr:uid="{52DC2C19-87F2-49CB-8D65-6506B38E7E81}"/>
    <cellStyle name="40% - Accent2 3 2 4 3" xfId="5809" xr:uid="{00000000-0005-0000-0000-0000BF040000}"/>
    <cellStyle name="40% - Accent2 3 2 4 4" xfId="10473" xr:uid="{8FAF9C55-C1BE-43F9-B68B-3A634C93DDC2}"/>
    <cellStyle name="40% - Accent2 3 2 5" xfId="1914" xr:uid="{00000000-0005-0000-0000-0000C0040000}"/>
    <cellStyle name="40% - Accent2 3 2 5 2" xfId="4143" xr:uid="{00000000-0005-0000-0000-0000C1040000}"/>
    <cellStyle name="40% - Accent2 3 2 5 2 2" xfId="8367" xr:uid="{00000000-0005-0000-0000-0000C2040000}"/>
    <cellStyle name="40% - Accent2 3 2 5 2 3" xfId="13031" xr:uid="{85F221FF-6BEE-4400-BB97-CE12B13EBAD2}"/>
    <cellStyle name="40% - Accent2 3 2 5 3" xfId="6222" xr:uid="{00000000-0005-0000-0000-0000C3040000}"/>
    <cellStyle name="40% - Accent2 3 2 5 4" xfId="10886" xr:uid="{B1AC6C60-D260-45C5-90FE-3F83846DA131}"/>
    <cellStyle name="40% - Accent2 3 2 6" xfId="2327" xr:uid="{00000000-0005-0000-0000-0000C4040000}"/>
    <cellStyle name="40% - Accent2 3 2 6 2" xfId="6635" xr:uid="{00000000-0005-0000-0000-0000C5040000}"/>
    <cellStyle name="40% - Accent2 3 2 6 3" xfId="11299" xr:uid="{0FC89C42-37B4-460E-B179-739D753D5F6C}"/>
    <cellStyle name="40% - Accent2 3 2 7" xfId="4569" xr:uid="{00000000-0005-0000-0000-0000C6040000}"/>
    <cellStyle name="40% - Accent2 3 2 7 2" xfId="9193" xr:uid="{293332D5-47BE-417B-883B-E00D826C2919}"/>
    <cellStyle name="40% - Accent2 3 2 8" xfId="8780" xr:uid="{AB13C85F-64D9-4097-9BBF-68DDF93A8CC6}"/>
    <cellStyle name="40% - Accent2 3 3" xfId="632" xr:uid="{00000000-0005-0000-0000-0000C7040000}"/>
    <cellStyle name="40% - Accent2 3 3 2" xfId="2903" xr:uid="{00000000-0005-0000-0000-0000C8040000}"/>
    <cellStyle name="40% - Accent2 3 3 2 2" xfId="7127" xr:uid="{00000000-0005-0000-0000-0000C9040000}"/>
    <cellStyle name="40% - Accent2 3 3 2 3" xfId="11791" xr:uid="{89CC9EC1-5D18-4B7E-820F-D62FA39BFD4C}"/>
    <cellStyle name="40% - Accent2 3 3 3" xfId="4982" xr:uid="{00000000-0005-0000-0000-0000CA040000}"/>
    <cellStyle name="40% - Accent2 3 3 4" xfId="9645" xr:uid="{80B92493-9EBC-4FD4-9A28-396A48B553A4}"/>
    <cellStyle name="40% - Accent2 3 4" xfId="1085" xr:uid="{00000000-0005-0000-0000-0000CB040000}"/>
    <cellStyle name="40% - Accent2 3 4 2" xfId="3316" xr:uid="{00000000-0005-0000-0000-0000CC040000}"/>
    <cellStyle name="40% - Accent2 3 4 2 2" xfId="7540" xr:uid="{00000000-0005-0000-0000-0000CD040000}"/>
    <cellStyle name="40% - Accent2 3 4 2 3" xfId="12204" xr:uid="{6468010E-E112-44FD-94EB-A919BEFAF3DC}"/>
    <cellStyle name="40% - Accent2 3 4 3" xfId="5395" xr:uid="{00000000-0005-0000-0000-0000CE040000}"/>
    <cellStyle name="40% - Accent2 3 4 4" xfId="10058" xr:uid="{20178D83-0855-4751-A0AD-2E504504F8A4}"/>
    <cellStyle name="40% - Accent2 3 5" xfId="1499" xr:uid="{00000000-0005-0000-0000-0000CF040000}"/>
    <cellStyle name="40% - Accent2 3 5 2" xfId="3729" xr:uid="{00000000-0005-0000-0000-0000D0040000}"/>
    <cellStyle name="40% - Accent2 3 5 2 2" xfId="7953" xr:uid="{00000000-0005-0000-0000-0000D1040000}"/>
    <cellStyle name="40% - Accent2 3 5 2 3" xfId="12617" xr:uid="{B0337729-B538-4BD2-AE25-1D1C9887D6C6}"/>
    <cellStyle name="40% - Accent2 3 5 3" xfId="5808" xr:uid="{00000000-0005-0000-0000-0000D2040000}"/>
    <cellStyle name="40% - Accent2 3 5 4" xfId="10472" xr:uid="{FCF17F7F-E766-44C9-8ADA-F592B2178CFA}"/>
    <cellStyle name="40% - Accent2 3 6" xfId="1913" xr:uid="{00000000-0005-0000-0000-0000D3040000}"/>
    <cellStyle name="40% - Accent2 3 6 2" xfId="4142" xr:uid="{00000000-0005-0000-0000-0000D4040000}"/>
    <cellStyle name="40% - Accent2 3 6 2 2" xfId="8366" xr:uid="{00000000-0005-0000-0000-0000D5040000}"/>
    <cellStyle name="40% - Accent2 3 6 2 3" xfId="13030" xr:uid="{8B55A591-27DC-45CD-8DCB-1720A0DEF990}"/>
    <cellStyle name="40% - Accent2 3 6 3" xfId="6221" xr:uid="{00000000-0005-0000-0000-0000D6040000}"/>
    <cellStyle name="40% - Accent2 3 6 4" xfId="10885" xr:uid="{D646C9AD-E66C-4538-AABC-784EC6EF0058}"/>
    <cellStyle name="40% - Accent2 3 7" xfId="2326" xr:uid="{00000000-0005-0000-0000-0000D7040000}"/>
    <cellStyle name="40% - Accent2 3 7 2" xfId="6634" xr:uid="{00000000-0005-0000-0000-0000D8040000}"/>
    <cellStyle name="40% - Accent2 3 7 3" xfId="11298" xr:uid="{6A9EFD00-C1F7-42D3-87DC-4B2AD671C017}"/>
    <cellStyle name="40% - Accent2 3 8" xfId="4568" xr:uid="{00000000-0005-0000-0000-0000D9040000}"/>
    <cellStyle name="40% - Accent2 3 8 2" xfId="9192" xr:uid="{E2B98378-C680-4A56-9D55-19991D6D7965}"/>
    <cellStyle name="40% - Accent2 3 9" xfId="8779" xr:uid="{4F997B3F-CFA1-4E8D-9EBF-BE83294F2307}"/>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3" xfId="11793" xr:uid="{96EC8E77-0771-4AF0-B18A-5020F051707E}"/>
    <cellStyle name="40% - Accent2 4 2 3" xfId="4984" xr:uid="{00000000-0005-0000-0000-0000DE040000}"/>
    <cellStyle name="40% - Accent2 4 2 4" xfId="9647" xr:uid="{CC2BA4E8-A9F6-4F06-BAC7-DB719EC3FBDB}"/>
    <cellStyle name="40% - Accent2 4 3" xfId="1087" xr:uid="{00000000-0005-0000-0000-0000DF040000}"/>
    <cellStyle name="40% - Accent2 4 3 2" xfId="3318" xr:uid="{00000000-0005-0000-0000-0000E0040000}"/>
    <cellStyle name="40% - Accent2 4 3 2 2" xfId="7542" xr:uid="{00000000-0005-0000-0000-0000E1040000}"/>
    <cellStyle name="40% - Accent2 4 3 2 3" xfId="12206" xr:uid="{11C80201-BCF4-45B6-B128-4A1F774C20B4}"/>
    <cellStyle name="40% - Accent2 4 3 3" xfId="5397" xr:uid="{00000000-0005-0000-0000-0000E2040000}"/>
    <cellStyle name="40% - Accent2 4 3 4" xfId="10060" xr:uid="{D522F76C-71FC-4CB2-A775-A083CDBAE8E9}"/>
    <cellStyle name="40% - Accent2 4 4" xfId="1501" xr:uid="{00000000-0005-0000-0000-0000E3040000}"/>
    <cellStyle name="40% - Accent2 4 4 2" xfId="3731" xr:uid="{00000000-0005-0000-0000-0000E4040000}"/>
    <cellStyle name="40% - Accent2 4 4 2 2" xfId="7955" xr:uid="{00000000-0005-0000-0000-0000E5040000}"/>
    <cellStyle name="40% - Accent2 4 4 2 3" xfId="12619" xr:uid="{D6A23AB1-1A7F-40AB-81DE-576397285C98}"/>
    <cellStyle name="40% - Accent2 4 4 3" xfId="5810" xr:uid="{00000000-0005-0000-0000-0000E6040000}"/>
    <cellStyle name="40% - Accent2 4 4 4" xfId="10474" xr:uid="{1A938DF7-508C-44FC-80B6-1D2A4CAB251E}"/>
    <cellStyle name="40% - Accent2 4 5" xfId="1915" xr:uid="{00000000-0005-0000-0000-0000E7040000}"/>
    <cellStyle name="40% - Accent2 4 5 2" xfId="4144" xr:uid="{00000000-0005-0000-0000-0000E8040000}"/>
    <cellStyle name="40% - Accent2 4 5 2 2" xfId="8368" xr:uid="{00000000-0005-0000-0000-0000E9040000}"/>
    <cellStyle name="40% - Accent2 4 5 2 3" xfId="13032" xr:uid="{11364BC9-05BD-45A5-9A99-55EC1C317E6E}"/>
    <cellStyle name="40% - Accent2 4 5 3" xfId="6223" xr:uid="{00000000-0005-0000-0000-0000EA040000}"/>
    <cellStyle name="40% - Accent2 4 5 4" xfId="10887" xr:uid="{A5A71D08-A5B6-4CCA-9CB5-CADA8F72BF9A}"/>
    <cellStyle name="40% - Accent2 4 6" xfId="2328" xr:uid="{00000000-0005-0000-0000-0000EB040000}"/>
    <cellStyle name="40% - Accent2 4 6 2" xfId="6636" xr:uid="{00000000-0005-0000-0000-0000EC040000}"/>
    <cellStyle name="40% - Accent2 4 6 3" xfId="11300" xr:uid="{394F0C14-0BBE-4B4D-B830-DFEA8643583A}"/>
    <cellStyle name="40% - Accent2 4 7" xfId="4570" xr:uid="{00000000-0005-0000-0000-0000ED040000}"/>
    <cellStyle name="40% - Accent2 4 7 2" xfId="9194" xr:uid="{E10A2A6D-28FF-4929-982D-640F4331C8A1}"/>
    <cellStyle name="40% - Accent2 4 8" xfId="8781" xr:uid="{89152A2A-8DD0-4FFE-94D7-B54C638BBDC7}"/>
    <cellStyle name="40% - Accent2 5" xfId="627" xr:uid="{00000000-0005-0000-0000-0000EE040000}"/>
    <cellStyle name="40% - Accent2 5 2" xfId="2898" xr:uid="{00000000-0005-0000-0000-0000EF040000}"/>
    <cellStyle name="40% - Accent2 5 2 2" xfId="7122" xr:uid="{00000000-0005-0000-0000-0000F0040000}"/>
    <cellStyle name="40% - Accent2 5 2 3" xfId="11786" xr:uid="{FDB9FB3F-AE4C-4D36-BA22-E3F28D10BED5}"/>
    <cellStyle name="40% - Accent2 5 3" xfId="4977" xr:uid="{00000000-0005-0000-0000-0000F1040000}"/>
    <cellStyle name="40% - Accent2 5 4" xfId="9640" xr:uid="{37C8F031-97D7-4FC8-B258-B0DE28CF7A4C}"/>
    <cellStyle name="40% - Accent2 6" xfId="1080" xr:uid="{00000000-0005-0000-0000-0000F2040000}"/>
    <cellStyle name="40% - Accent2 6 2" xfId="3311" xr:uid="{00000000-0005-0000-0000-0000F3040000}"/>
    <cellStyle name="40% - Accent2 6 2 2" xfId="7535" xr:uid="{00000000-0005-0000-0000-0000F4040000}"/>
    <cellStyle name="40% - Accent2 6 2 3" xfId="12199" xr:uid="{6F3551BC-923E-47D3-A5F2-7EDE4F8403BD}"/>
    <cellStyle name="40% - Accent2 6 3" xfId="5390" xr:uid="{00000000-0005-0000-0000-0000F5040000}"/>
    <cellStyle name="40% - Accent2 6 4" xfId="10053" xr:uid="{6E88B6B6-0308-4F76-936B-95E6014E779E}"/>
    <cellStyle name="40% - Accent2 7" xfId="1494" xr:uid="{00000000-0005-0000-0000-0000F6040000}"/>
    <cellStyle name="40% - Accent2 7 2" xfId="3724" xr:uid="{00000000-0005-0000-0000-0000F7040000}"/>
    <cellStyle name="40% - Accent2 7 2 2" xfId="7948" xr:uid="{00000000-0005-0000-0000-0000F8040000}"/>
    <cellStyle name="40% - Accent2 7 2 3" xfId="12612" xr:uid="{FE6366D4-713E-4DD9-808C-66562D0DB925}"/>
    <cellStyle name="40% - Accent2 7 3" xfId="5803" xr:uid="{00000000-0005-0000-0000-0000F9040000}"/>
    <cellStyle name="40% - Accent2 7 4" xfId="10467" xr:uid="{7522F524-B613-49D0-86BC-2EAF4BAF2272}"/>
    <cellStyle name="40% - Accent2 8" xfId="1908" xr:uid="{00000000-0005-0000-0000-0000FA040000}"/>
    <cellStyle name="40% - Accent2 8 2" xfId="4137" xr:uid="{00000000-0005-0000-0000-0000FB040000}"/>
    <cellStyle name="40% - Accent2 8 2 2" xfId="8361" xr:uid="{00000000-0005-0000-0000-0000FC040000}"/>
    <cellStyle name="40% - Accent2 8 2 3" xfId="13025" xr:uid="{B5E50079-3A63-4D99-BB20-5AB358C16AC4}"/>
    <cellStyle name="40% - Accent2 8 3" xfId="6216" xr:uid="{00000000-0005-0000-0000-0000FD040000}"/>
    <cellStyle name="40% - Accent2 8 4" xfId="10880" xr:uid="{6DBBE1C4-2BDD-4C82-8706-EA12019D1CB1}"/>
    <cellStyle name="40% - Accent2 9" xfId="2321" xr:uid="{00000000-0005-0000-0000-0000FE040000}"/>
    <cellStyle name="40% - Accent2 9 2" xfId="6629" xr:uid="{00000000-0005-0000-0000-0000FF040000}"/>
    <cellStyle name="40% - Accent2 9 3" xfId="11293" xr:uid="{754453CD-466F-4ACF-A341-37083A29E262}"/>
    <cellStyle name="40% - Accent3" xfId="65" builtinId="39" customBuiltin="1"/>
    <cellStyle name="40% - Accent3 10" xfId="4571" xr:uid="{00000000-0005-0000-0000-000001050000}"/>
    <cellStyle name="40% - Accent3 10 2" xfId="9195" xr:uid="{59AF38E4-F37B-43BC-9B2E-7A2CC458EB4A}"/>
    <cellStyle name="40% - Accent3 11" xfId="8782" xr:uid="{B69CBBE5-05F0-4883-BF97-0FD1F69B222D}"/>
    <cellStyle name="40% - Accent3 2" xfId="66" xr:uid="{00000000-0005-0000-0000-000002050000}"/>
    <cellStyle name="40% - Accent3 2 10" xfId="8783" xr:uid="{8A6169F2-D9BC-48BB-A6D6-76E92378489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3" xfId="11797" xr:uid="{FA8477E6-5DE8-4000-A305-03ABB4796A51}"/>
    <cellStyle name="40% - Accent3 2 2 2 2 3" xfId="4988" xr:uid="{00000000-0005-0000-0000-000008050000}"/>
    <cellStyle name="40% - Accent3 2 2 2 2 4" xfId="9651" xr:uid="{362CA058-24DE-4918-99C9-F850C7E2759E}"/>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3" xfId="12210" xr:uid="{24DBE53B-3FD1-4B8A-B39B-16B34FA9B87B}"/>
    <cellStyle name="40% - Accent3 2 2 2 3 3" xfId="5401" xr:uid="{00000000-0005-0000-0000-00000C050000}"/>
    <cellStyle name="40% - Accent3 2 2 2 3 4" xfId="10064" xr:uid="{B69044F3-746F-4EB6-AAE7-90F68537D943}"/>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3" xfId="12623" xr:uid="{C8688324-FA2F-45A4-87E6-D4BF9E384FD9}"/>
    <cellStyle name="40% - Accent3 2 2 2 4 3" xfId="5814" xr:uid="{00000000-0005-0000-0000-000010050000}"/>
    <cellStyle name="40% - Accent3 2 2 2 4 4" xfId="10478" xr:uid="{A8A5FE98-0C0A-45A4-AE7E-8680258FEE56}"/>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3" xfId="13036" xr:uid="{25FBFA75-DF15-430C-AE2F-98048ED3E587}"/>
    <cellStyle name="40% - Accent3 2 2 2 5 3" xfId="6227" xr:uid="{00000000-0005-0000-0000-000014050000}"/>
    <cellStyle name="40% - Accent3 2 2 2 5 4" xfId="10891" xr:uid="{51DC4DD9-47FE-4F50-BC5A-FACD9516D10E}"/>
    <cellStyle name="40% - Accent3 2 2 2 6" xfId="2332" xr:uid="{00000000-0005-0000-0000-000015050000}"/>
    <cellStyle name="40% - Accent3 2 2 2 6 2" xfId="6640" xr:uid="{00000000-0005-0000-0000-000016050000}"/>
    <cellStyle name="40% - Accent3 2 2 2 6 3" xfId="11304" xr:uid="{0DB8E038-A70D-4086-A4C0-348BABEBAEF8}"/>
    <cellStyle name="40% - Accent3 2 2 2 7" xfId="4574" xr:uid="{00000000-0005-0000-0000-000017050000}"/>
    <cellStyle name="40% - Accent3 2 2 2 7 2" xfId="9198" xr:uid="{E3B59472-341E-40C0-BE8A-AB4B146943B6}"/>
    <cellStyle name="40% - Accent3 2 2 2 8" xfId="8785" xr:uid="{1E786034-2762-43DB-AEB0-4910C0F92671}"/>
    <cellStyle name="40% - Accent3 2 2 3" xfId="637" xr:uid="{00000000-0005-0000-0000-000018050000}"/>
    <cellStyle name="40% - Accent3 2 2 3 2" xfId="2908" xr:uid="{00000000-0005-0000-0000-000019050000}"/>
    <cellStyle name="40% - Accent3 2 2 3 2 2" xfId="7132" xr:uid="{00000000-0005-0000-0000-00001A050000}"/>
    <cellStyle name="40% - Accent3 2 2 3 2 3" xfId="11796" xr:uid="{5C02A066-B00D-463D-B7B6-F57ADDBDEB0B}"/>
    <cellStyle name="40% - Accent3 2 2 3 3" xfId="4987" xr:uid="{00000000-0005-0000-0000-00001B050000}"/>
    <cellStyle name="40% - Accent3 2 2 3 4" xfId="9650" xr:uid="{C71C8D16-84D6-49E1-A761-F8C08A980759}"/>
    <cellStyle name="40% - Accent3 2 2 4" xfId="1090" xr:uid="{00000000-0005-0000-0000-00001C050000}"/>
    <cellStyle name="40% - Accent3 2 2 4 2" xfId="3321" xr:uid="{00000000-0005-0000-0000-00001D050000}"/>
    <cellStyle name="40% - Accent3 2 2 4 2 2" xfId="7545" xr:uid="{00000000-0005-0000-0000-00001E050000}"/>
    <cellStyle name="40% - Accent3 2 2 4 2 3" xfId="12209" xr:uid="{155E0F28-8BF5-4718-B61F-8DC6FC955206}"/>
    <cellStyle name="40% - Accent3 2 2 4 3" xfId="5400" xr:uid="{00000000-0005-0000-0000-00001F050000}"/>
    <cellStyle name="40% - Accent3 2 2 4 4" xfId="10063" xr:uid="{10B40EFD-C649-4472-A75D-8AB204D9A5AD}"/>
    <cellStyle name="40% - Accent3 2 2 5" xfId="1504" xr:uid="{00000000-0005-0000-0000-000020050000}"/>
    <cellStyle name="40% - Accent3 2 2 5 2" xfId="3734" xr:uid="{00000000-0005-0000-0000-000021050000}"/>
    <cellStyle name="40% - Accent3 2 2 5 2 2" xfId="7958" xr:uid="{00000000-0005-0000-0000-000022050000}"/>
    <cellStyle name="40% - Accent3 2 2 5 2 3" xfId="12622" xr:uid="{C04EA258-51F5-4547-BCC0-5006BB812456}"/>
    <cellStyle name="40% - Accent3 2 2 5 3" xfId="5813" xr:uid="{00000000-0005-0000-0000-000023050000}"/>
    <cellStyle name="40% - Accent3 2 2 5 4" xfId="10477" xr:uid="{1570FFFC-46CF-4A95-B8B7-5AC62D969025}"/>
    <cellStyle name="40% - Accent3 2 2 6" xfId="1918" xr:uid="{00000000-0005-0000-0000-000024050000}"/>
    <cellStyle name="40% - Accent3 2 2 6 2" xfId="4147" xr:uid="{00000000-0005-0000-0000-000025050000}"/>
    <cellStyle name="40% - Accent3 2 2 6 2 2" xfId="8371" xr:uid="{00000000-0005-0000-0000-000026050000}"/>
    <cellStyle name="40% - Accent3 2 2 6 2 3" xfId="13035" xr:uid="{4E51E7EE-9187-44F0-91C6-2460F5221AC1}"/>
    <cellStyle name="40% - Accent3 2 2 6 3" xfId="6226" xr:uid="{00000000-0005-0000-0000-000027050000}"/>
    <cellStyle name="40% - Accent3 2 2 6 4" xfId="10890" xr:uid="{D1217A78-4837-40C5-BE81-706B91B8927B}"/>
    <cellStyle name="40% - Accent3 2 2 7" xfId="2331" xr:uid="{00000000-0005-0000-0000-000028050000}"/>
    <cellStyle name="40% - Accent3 2 2 7 2" xfId="6639" xr:uid="{00000000-0005-0000-0000-000029050000}"/>
    <cellStyle name="40% - Accent3 2 2 7 3" xfId="11303" xr:uid="{11743155-A6BB-4B3B-8D70-71F55F9D9161}"/>
    <cellStyle name="40% - Accent3 2 2 8" xfId="4573" xr:uid="{00000000-0005-0000-0000-00002A050000}"/>
    <cellStyle name="40% - Accent3 2 2 8 2" xfId="9197" xr:uid="{D1E23406-1855-4FE9-A4E6-FE4FE43E3E16}"/>
    <cellStyle name="40% - Accent3 2 2 9" xfId="8784" xr:uid="{74529169-CA7E-4101-AD16-5B59CD1399C1}"/>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3" xfId="11798" xr:uid="{A1AD1367-08BF-4FC1-82C5-91D07EDC2981}"/>
    <cellStyle name="40% - Accent3 2 3 2 3" xfId="4989" xr:uid="{00000000-0005-0000-0000-00002F050000}"/>
    <cellStyle name="40% - Accent3 2 3 2 4" xfId="9652" xr:uid="{37E556AD-FAD5-4A53-84BF-7388BAD853C5}"/>
    <cellStyle name="40% - Accent3 2 3 3" xfId="1092" xr:uid="{00000000-0005-0000-0000-000030050000}"/>
    <cellStyle name="40% - Accent3 2 3 3 2" xfId="3323" xr:uid="{00000000-0005-0000-0000-000031050000}"/>
    <cellStyle name="40% - Accent3 2 3 3 2 2" xfId="7547" xr:uid="{00000000-0005-0000-0000-000032050000}"/>
    <cellStyle name="40% - Accent3 2 3 3 2 3" xfId="12211" xr:uid="{2E1B2141-1925-4847-8BAD-D4D761A5A491}"/>
    <cellStyle name="40% - Accent3 2 3 3 3" xfId="5402" xr:uid="{00000000-0005-0000-0000-000033050000}"/>
    <cellStyle name="40% - Accent3 2 3 3 4" xfId="10065" xr:uid="{6A8F45A9-BD47-4A77-B213-770F39799A6A}"/>
    <cellStyle name="40% - Accent3 2 3 4" xfId="1506" xr:uid="{00000000-0005-0000-0000-000034050000}"/>
    <cellStyle name="40% - Accent3 2 3 4 2" xfId="3736" xr:uid="{00000000-0005-0000-0000-000035050000}"/>
    <cellStyle name="40% - Accent3 2 3 4 2 2" xfId="7960" xr:uid="{00000000-0005-0000-0000-000036050000}"/>
    <cellStyle name="40% - Accent3 2 3 4 2 3" xfId="12624" xr:uid="{3A263BAF-1D3D-454D-AD9B-965093B9120A}"/>
    <cellStyle name="40% - Accent3 2 3 4 3" xfId="5815" xr:uid="{00000000-0005-0000-0000-000037050000}"/>
    <cellStyle name="40% - Accent3 2 3 4 4" xfId="10479" xr:uid="{13625141-F987-44F8-B1F2-E5A8F0F06E59}"/>
    <cellStyle name="40% - Accent3 2 3 5" xfId="1920" xr:uid="{00000000-0005-0000-0000-000038050000}"/>
    <cellStyle name="40% - Accent3 2 3 5 2" xfId="4149" xr:uid="{00000000-0005-0000-0000-000039050000}"/>
    <cellStyle name="40% - Accent3 2 3 5 2 2" xfId="8373" xr:uid="{00000000-0005-0000-0000-00003A050000}"/>
    <cellStyle name="40% - Accent3 2 3 5 2 3" xfId="13037" xr:uid="{361D34F6-9A42-4424-9D54-69D708EA22D0}"/>
    <cellStyle name="40% - Accent3 2 3 5 3" xfId="6228" xr:uid="{00000000-0005-0000-0000-00003B050000}"/>
    <cellStyle name="40% - Accent3 2 3 5 4" xfId="10892" xr:uid="{2778746F-21C8-4E9B-8810-BC4FC0043B6B}"/>
    <cellStyle name="40% - Accent3 2 3 6" xfId="2333" xr:uid="{00000000-0005-0000-0000-00003C050000}"/>
    <cellStyle name="40% - Accent3 2 3 6 2" xfId="6641" xr:uid="{00000000-0005-0000-0000-00003D050000}"/>
    <cellStyle name="40% - Accent3 2 3 6 3" xfId="11305" xr:uid="{DFE1B484-B819-4FA7-8D63-F778A021BF97}"/>
    <cellStyle name="40% - Accent3 2 3 7" xfId="4575" xr:uid="{00000000-0005-0000-0000-00003E050000}"/>
    <cellStyle name="40% - Accent3 2 3 7 2" xfId="9199" xr:uid="{F249794A-EA47-4B88-992F-14DCB22FBE0A}"/>
    <cellStyle name="40% - Accent3 2 3 8" xfId="8786" xr:uid="{E8EC51D0-6543-4262-8CED-807FE7C11E4D}"/>
    <cellStyle name="40% - Accent3 2 4" xfId="636" xr:uid="{00000000-0005-0000-0000-00003F050000}"/>
    <cellStyle name="40% - Accent3 2 4 2" xfId="2907" xr:uid="{00000000-0005-0000-0000-000040050000}"/>
    <cellStyle name="40% - Accent3 2 4 2 2" xfId="7131" xr:uid="{00000000-0005-0000-0000-000041050000}"/>
    <cellStyle name="40% - Accent3 2 4 2 3" xfId="11795" xr:uid="{235167E1-28A8-4D3D-8CB4-48F3AECE3F8D}"/>
    <cellStyle name="40% - Accent3 2 4 3" xfId="4986" xr:uid="{00000000-0005-0000-0000-000042050000}"/>
    <cellStyle name="40% - Accent3 2 4 4" xfId="9649" xr:uid="{8B0B8179-FEF5-45E6-9085-756065B69F7A}"/>
    <cellStyle name="40% - Accent3 2 5" xfId="1089" xr:uid="{00000000-0005-0000-0000-000043050000}"/>
    <cellStyle name="40% - Accent3 2 5 2" xfId="3320" xr:uid="{00000000-0005-0000-0000-000044050000}"/>
    <cellStyle name="40% - Accent3 2 5 2 2" xfId="7544" xr:uid="{00000000-0005-0000-0000-000045050000}"/>
    <cellStyle name="40% - Accent3 2 5 2 3" xfId="12208" xr:uid="{B66F434E-3D93-4164-A185-875C6B70FC85}"/>
    <cellStyle name="40% - Accent3 2 5 3" xfId="5399" xr:uid="{00000000-0005-0000-0000-000046050000}"/>
    <cellStyle name="40% - Accent3 2 5 4" xfId="10062" xr:uid="{CD2CDB8E-A75C-4DE7-8F5D-6B440191AC15}"/>
    <cellStyle name="40% - Accent3 2 6" xfId="1503" xr:uid="{00000000-0005-0000-0000-000047050000}"/>
    <cellStyle name="40% - Accent3 2 6 2" xfId="3733" xr:uid="{00000000-0005-0000-0000-000048050000}"/>
    <cellStyle name="40% - Accent3 2 6 2 2" xfId="7957" xr:uid="{00000000-0005-0000-0000-000049050000}"/>
    <cellStyle name="40% - Accent3 2 6 2 3" xfId="12621" xr:uid="{F5343408-5DCA-4884-BD23-67C4A7C723A4}"/>
    <cellStyle name="40% - Accent3 2 6 3" xfId="5812" xr:uid="{00000000-0005-0000-0000-00004A050000}"/>
    <cellStyle name="40% - Accent3 2 6 4" xfId="10476" xr:uid="{57E93284-6741-4D89-A0A1-0A39D44AF260}"/>
    <cellStyle name="40% - Accent3 2 7" xfId="1917" xr:uid="{00000000-0005-0000-0000-00004B050000}"/>
    <cellStyle name="40% - Accent3 2 7 2" xfId="4146" xr:uid="{00000000-0005-0000-0000-00004C050000}"/>
    <cellStyle name="40% - Accent3 2 7 2 2" xfId="8370" xr:uid="{00000000-0005-0000-0000-00004D050000}"/>
    <cellStyle name="40% - Accent3 2 7 2 3" xfId="13034" xr:uid="{1E2DC5F7-3A49-41FA-8AA6-50575B0D3042}"/>
    <cellStyle name="40% - Accent3 2 7 3" xfId="6225" xr:uid="{00000000-0005-0000-0000-00004E050000}"/>
    <cellStyle name="40% - Accent3 2 7 4" xfId="10889" xr:uid="{7C164D57-2BDD-431A-A9B9-C8807109145D}"/>
    <cellStyle name="40% - Accent3 2 8" xfId="2330" xr:uid="{00000000-0005-0000-0000-00004F050000}"/>
    <cellStyle name="40% - Accent3 2 8 2" xfId="6638" xr:uid="{00000000-0005-0000-0000-000050050000}"/>
    <cellStyle name="40% - Accent3 2 8 3" xfId="11302" xr:uid="{A4AA531B-7CC7-496F-87B6-8D38BAD10E7C}"/>
    <cellStyle name="40% - Accent3 2 9" xfId="4572" xr:uid="{00000000-0005-0000-0000-000051050000}"/>
    <cellStyle name="40% - Accent3 2 9 2" xfId="9196" xr:uid="{7E9B06CF-2926-4CB9-A24D-C02E6EC08FEB}"/>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3" xfId="11800" xr:uid="{432AF535-2629-49C4-ADB3-464304A7FC93}"/>
    <cellStyle name="40% - Accent3 3 2 2 3" xfId="4991" xr:uid="{00000000-0005-0000-0000-000057050000}"/>
    <cellStyle name="40% - Accent3 3 2 2 4" xfId="9654" xr:uid="{35724697-594D-40F3-84E3-BAFDE9A2E30B}"/>
    <cellStyle name="40% - Accent3 3 2 3" xfId="1094" xr:uid="{00000000-0005-0000-0000-000058050000}"/>
    <cellStyle name="40% - Accent3 3 2 3 2" xfId="3325" xr:uid="{00000000-0005-0000-0000-000059050000}"/>
    <cellStyle name="40% - Accent3 3 2 3 2 2" xfId="7549" xr:uid="{00000000-0005-0000-0000-00005A050000}"/>
    <cellStyle name="40% - Accent3 3 2 3 2 3" xfId="12213" xr:uid="{46ACB69F-C332-41E3-9A17-30893BFE32CE}"/>
    <cellStyle name="40% - Accent3 3 2 3 3" xfId="5404" xr:uid="{00000000-0005-0000-0000-00005B050000}"/>
    <cellStyle name="40% - Accent3 3 2 3 4" xfId="10067" xr:uid="{221D0618-3DA4-49B2-9FAA-0105927101DE}"/>
    <cellStyle name="40% - Accent3 3 2 4" xfId="1508" xr:uid="{00000000-0005-0000-0000-00005C050000}"/>
    <cellStyle name="40% - Accent3 3 2 4 2" xfId="3738" xr:uid="{00000000-0005-0000-0000-00005D050000}"/>
    <cellStyle name="40% - Accent3 3 2 4 2 2" xfId="7962" xr:uid="{00000000-0005-0000-0000-00005E050000}"/>
    <cellStyle name="40% - Accent3 3 2 4 2 3" xfId="12626" xr:uid="{65B71A1F-F38C-414C-9691-DD149CCBDBE1}"/>
    <cellStyle name="40% - Accent3 3 2 4 3" xfId="5817" xr:uid="{00000000-0005-0000-0000-00005F050000}"/>
    <cellStyle name="40% - Accent3 3 2 4 4" xfId="10481" xr:uid="{ADAF4366-C789-48BF-B964-757CA0097728}"/>
    <cellStyle name="40% - Accent3 3 2 5" xfId="1922" xr:uid="{00000000-0005-0000-0000-000060050000}"/>
    <cellStyle name="40% - Accent3 3 2 5 2" xfId="4151" xr:uid="{00000000-0005-0000-0000-000061050000}"/>
    <cellStyle name="40% - Accent3 3 2 5 2 2" xfId="8375" xr:uid="{00000000-0005-0000-0000-000062050000}"/>
    <cellStyle name="40% - Accent3 3 2 5 2 3" xfId="13039" xr:uid="{2D8A6385-798D-412A-907F-A612F58AB0C6}"/>
    <cellStyle name="40% - Accent3 3 2 5 3" xfId="6230" xr:uid="{00000000-0005-0000-0000-000063050000}"/>
    <cellStyle name="40% - Accent3 3 2 5 4" xfId="10894" xr:uid="{C8E12ADF-CB3C-417D-8DD5-236FADA614B7}"/>
    <cellStyle name="40% - Accent3 3 2 6" xfId="2335" xr:uid="{00000000-0005-0000-0000-000064050000}"/>
    <cellStyle name="40% - Accent3 3 2 6 2" xfId="6643" xr:uid="{00000000-0005-0000-0000-000065050000}"/>
    <cellStyle name="40% - Accent3 3 2 6 3" xfId="11307" xr:uid="{A4896B97-1EAA-45C2-973D-E29CA62BE4DB}"/>
    <cellStyle name="40% - Accent3 3 2 7" xfId="4577" xr:uid="{00000000-0005-0000-0000-000066050000}"/>
    <cellStyle name="40% - Accent3 3 2 7 2" xfId="9201" xr:uid="{4B785BB0-77AE-472A-9E89-504D5987AE0E}"/>
    <cellStyle name="40% - Accent3 3 2 8" xfId="8788" xr:uid="{8BFF0B6F-EBAB-4F54-9935-342A63FB4620}"/>
    <cellStyle name="40% - Accent3 3 3" xfId="640" xr:uid="{00000000-0005-0000-0000-000067050000}"/>
    <cellStyle name="40% - Accent3 3 3 2" xfId="2911" xr:uid="{00000000-0005-0000-0000-000068050000}"/>
    <cellStyle name="40% - Accent3 3 3 2 2" xfId="7135" xr:uid="{00000000-0005-0000-0000-000069050000}"/>
    <cellStyle name="40% - Accent3 3 3 2 3" xfId="11799" xr:uid="{2C3E68F6-747A-4924-B975-2F830BCBA0FA}"/>
    <cellStyle name="40% - Accent3 3 3 3" xfId="4990" xr:uid="{00000000-0005-0000-0000-00006A050000}"/>
    <cellStyle name="40% - Accent3 3 3 4" xfId="9653" xr:uid="{388F84A1-FBF3-4DED-A328-9AB0AE047FFA}"/>
    <cellStyle name="40% - Accent3 3 4" xfId="1093" xr:uid="{00000000-0005-0000-0000-00006B050000}"/>
    <cellStyle name="40% - Accent3 3 4 2" xfId="3324" xr:uid="{00000000-0005-0000-0000-00006C050000}"/>
    <cellStyle name="40% - Accent3 3 4 2 2" xfId="7548" xr:uid="{00000000-0005-0000-0000-00006D050000}"/>
    <cellStyle name="40% - Accent3 3 4 2 3" xfId="12212" xr:uid="{07D163FA-4E98-4FA8-B26D-335645C12F9E}"/>
    <cellStyle name="40% - Accent3 3 4 3" xfId="5403" xr:uid="{00000000-0005-0000-0000-00006E050000}"/>
    <cellStyle name="40% - Accent3 3 4 4" xfId="10066" xr:uid="{FBE901E9-ECF8-4712-87C7-AB5F4CBE7D9A}"/>
    <cellStyle name="40% - Accent3 3 5" xfId="1507" xr:uid="{00000000-0005-0000-0000-00006F050000}"/>
    <cellStyle name="40% - Accent3 3 5 2" xfId="3737" xr:uid="{00000000-0005-0000-0000-000070050000}"/>
    <cellStyle name="40% - Accent3 3 5 2 2" xfId="7961" xr:uid="{00000000-0005-0000-0000-000071050000}"/>
    <cellStyle name="40% - Accent3 3 5 2 3" xfId="12625" xr:uid="{1D3DCAD0-8E9C-4A6F-A2DC-1F38F0BB8ECE}"/>
    <cellStyle name="40% - Accent3 3 5 3" xfId="5816" xr:uid="{00000000-0005-0000-0000-000072050000}"/>
    <cellStyle name="40% - Accent3 3 5 4" xfId="10480" xr:uid="{503B4F01-F629-4283-A1FC-18B264D412CA}"/>
    <cellStyle name="40% - Accent3 3 6" xfId="1921" xr:uid="{00000000-0005-0000-0000-000073050000}"/>
    <cellStyle name="40% - Accent3 3 6 2" xfId="4150" xr:uid="{00000000-0005-0000-0000-000074050000}"/>
    <cellStyle name="40% - Accent3 3 6 2 2" xfId="8374" xr:uid="{00000000-0005-0000-0000-000075050000}"/>
    <cellStyle name="40% - Accent3 3 6 2 3" xfId="13038" xr:uid="{1CBEB200-77F7-4C55-8E97-25C2E8A7D60A}"/>
    <cellStyle name="40% - Accent3 3 6 3" xfId="6229" xr:uid="{00000000-0005-0000-0000-000076050000}"/>
    <cellStyle name="40% - Accent3 3 6 4" xfId="10893" xr:uid="{F98AD48D-84D8-4589-87D1-3BEAEED44DF2}"/>
    <cellStyle name="40% - Accent3 3 7" xfId="2334" xr:uid="{00000000-0005-0000-0000-000077050000}"/>
    <cellStyle name="40% - Accent3 3 7 2" xfId="6642" xr:uid="{00000000-0005-0000-0000-000078050000}"/>
    <cellStyle name="40% - Accent3 3 7 3" xfId="11306" xr:uid="{47D9C5C1-E7E6-4C1C-8E9A-23E7E5F8775D}"/>
    <cellStyle name="40% - Accent3 3 8" xfId="4576" xr:uid="{00000000-0005-0000-0000-000079050000}"/>
    <cellStyle name="40% - Accent3 3 8 2" xfId="9200" xr:uid="{872939AF-3B98-42FD-AAB4-A6B6F37DB1F6}"/>
    <cellStyle name="40% - Accent3 3 9" xfId="8787" xr:uid="{B50F124E-703D-422B-8D99-142AE1E355F2}"/>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3" xfId="11801" xr:uid="{1A6453FD-8162-4521-921F-CF6E05AC70D8}"/>
    <cellStyle name="40% - Accent3 4 2 3" xfId="4992" xr:uid="{00000000-0005-0000-0000-00007E050000}"/>
    <cellStyle name="40% - Accent3 4 2 4" xfId="9655" xr:uid="{7AE7C4DA-A8FD-44C3-8656-BFDA117AD016}"/>
    <cellStyle name="40% - Accent3 4 3" xfId="1095" xr:uid="{00000000-0005-0000-0000-00007F050000}"/>
    <cellStyle name="40% - Accent3 4 3 2" xfId="3326" xr:uid="{00000000-0005-0000-0000-000080050000}"/>
    <cellStyle name="40% - Accent3 4 3 2 2" xfId="7550" xr:uid="{00000000-0005-0000-0000-000081050000}"/>
    <cellStyle name="40% - Accent3 4 3 2 3" xfId="12214" xr:uid="{C3A5B732-1ACE-4A8F-B3ED-92ABC138AE3C}"/>
    <cellStyle name="40% - Accent3 4 3 3" xfId="5405" xr:uid="{00000000-0005-0000-0000-000082050000}"/>
    <cellStyle name="40% - Accent3 4 3 4" xfId="10068" xr:uid="{6D9740BB-19CE-462A-B98E-DEF9A13793AB}"/>
    <cellStyle name="40% - Accent3 4 4" xfId="1509" xr:uid="{00000000-0005-0000-0000-000083050000}"/>
    <cellStyle name="40% - Accent3 4 4 2" xfId="3739" xr:uid="{00000000-0005-0000-0000-000084050000}"/>
    <cellStyle name="40% - Accent3 4 4 2 2" xfId="7963" xr:uid="{00000000-0005-0000-0000-000085050000}"/>
    <cellStyle name="40% - Accent3 4 4 2 3" xfId="12627" xr:uid="{DC5E2040-A1A1-4538-9C31-4B5915DF237E}"/>
    <cellStyle name="40% - Accent3 4 4 3" xfId="5818" xr:uid="{00000000-0005-0000-0000-000086050000}"/>
    <cellStyle name="40% - Accent3 4 4 4" xfId="10482" xr:uid="{2FC6B5C6-39AC-40C3-AC57-6A92D289D8E4}"/>
    <cellStyle name="40% - Accent3 4 5" xfId="1923" xr:uid="{00000000-0005-0000-0000-000087050000}"/>
    <cellStyle name="40% - Accent3 4 5 2" xfId="4152" xr:uid="{00000000-0005-0000-0000-000088050000}"/>
    <cellStyle name="40% - Accent3 4 5 2 2" xfId="8376" xr:uid="{00000000-0005-0000-0000-000089050000}"/>
    <cellStyle name="40% - Accent3 4 5 2 3" xfId="13040" xr:uid="{9E0E9B38-7441-4E70-9F39-979EE538C8CD}"/>
    <cellStyle name="40% - Accent3 4 5 3" xfId="6231" xr:uid="{00000000-0005-0000-0000-00008A050000}"/>
    <cellStyle name="40% - Accent3 4 5 4" xfId="10895" xr:uid="{23AF0862-CE79-44D7-B12A-D45C6EF118C5}"/>
    <cellStyle name="40% - Accent3 4 6" xfId="2336" xr:uid="{00000000-0005-0000-0000-00008B050000}"/>
    <cellStyle name="40% - Accent3 4 6 2" xfId="6644" xr:uid="{00000000-0005-0000-0000-00008C050000}"/>
    <cellStyle name="40% - Accent3 4 6 3" xfId="11308" xr:uid="{475F4BC9-F89A-4262-A457-1C14E3C8D881}"/>
    <cellStyle name="40% - Accent3 4 7" xfId="4578" xr:uid="{00000000-0005-0000-0000-00008D050000}"/>
    <cellStyle name="40% - Accent3 4 7 2" xfId="9202" xr:uid="{695D2E13-F05C-4388-A6A1-964B72232DBF}"/>
    <cellStyle name="40% - Accent3 4 8" xfId="8789" xr:uid="{AAF5DBC7-8EA3-407D-85D3-56061E34A3CD}"/>
    <cellStyle name="40% - Accent3 5" xfId="635" xr:uid="{00000000-0005-0000-0000-00008E050000}"/>
    <cellStyle name="40% - Accent3 5 2" xfId="2906" xr:uid="{00000000-0005-0000-0000-00008F050000}"/>
    <cellStyle name="40% - Accent3 5 2 2" xfId="7130" xr:uid="{00000000-0005-0000-0000-000090050000}"/>
    <cellStyle name="40% - Accent3 5 2 3" xfId="11794" xr:uid="{45BC282D-3E73-4D7A-938F-8796ADB80A98}"/>
    <cellStyle name="40% - Accent3 5 3" xfId="4985" xr:uid="{00000000-0005-0000-0000-000091050000}"/>
    <cellStyle name="40% - Accent3 5 4" xfId="9648" xr:uid="{F54B804D-700A-4BF8-AB86-42047C80B65C}"/>
    <cellStyle name="40% - Accent3 6" xfId="1088" xr:uid="{00000000-0005-0000-0000-000092050000}"/>
    <cellStyle name="40% - Accent3 6 2" xfId="3319" xr:uid="{00000000-0005-0000-0000-000093050000}"/>
    <cellStyle name="40% - Accent3 6 2 2" xfId="7543" xr:uid="{00000000-0005-0000-0000-000094050000}"/>
    <cellStyle name="40% - Accent3 6 2 3" xfId="12207" xr:uid="{70EEE789-1C5C-4814-97EA-5C402FBDBC3B}"/>
    <cellStyle name="40% - Accent3 6 3" xfId="5398" xr:uid="{00000000-0005-0000-0000-000095050000}"/>
    <cellStyle name="40% - Accent3 6 4" xfId="10061" xr:uid="{EC1F7B0B-0E73-458B-9126-40ED0C8FBB50}"/>
    <cellStyle name="40% - Accent3 7" xfId="1502" xr:uid="{00000000-0005-0000-0000-000096050000}"/>
    <cellStyle name="40% - Accent3 7 2" xfId="3732" xr:uid="{00000000-0005-0000-0000-000097050000}"/>
    <cellStyle name="40% - Accent3 7 2 2" xfId="7956" xr:uid="{00000000-0005-0000-0000-000098050000}"/>
    <cellStyle name="40% - Accent3 7 2 3" xfId="12620" xr:uid="{AFC9AAC9-75CC-451A-845C-B957A72DEAC6}"/>
    <cellStyle name="40% - Accent3 7 3" xfId="5811" xr:uid="{00000000-0005-0000-0000-000099050000}"/>
    <cellStyle name="40% - Accent3 7 4" xfId="10475" xr:uid="{6875C49C-4E85-4D13-9AA4-A9A50AD2D2D5}"/>
    <cellStyle name="40% - Accent3 8" xfId="1916" xr:uid="{00000000-0005-0000-0000-00009A050000}"/>
    <cellStyle name="40% - Accent3 8 2" xfId="4145" xr:uid="{00000000-0005-0000-0000-00009B050000}"/>
    <cellStyle name="40% - Accent3 8 2 2" xfId="8369" xr:uid="{00000000-0005-0000-0000-00009C050000}"/>
    <cellStyle name="40% - Accent3 8 2 3" xfId="13033" xr:uid="{72F43117-77F9-4EE2-9023-C412086F5915}"/>
    <cellStyle name="40% - Accent3 8 3" xfId="6224" xr:uid="{00000000-0005-0000-0000-00009D050000}"/>
    <cellStyle name="40% - Accent3 8 4" xfId="10888" xr:uid="{0F37BF25-766F-4C17-BAB7-D2BD611C7811}"/>
    <cellStyle name="40% - Accent3 9" xfId="2329" xr:uid="{00000000-0005-0000-0000-00009E050000}"/>
    <cellStyle name="40% - Accent3 9 2" xfId="6637" xr:uid="{00000000-0005-0000-0000-00009F050000}"/>
    <cellStyle name="40% - Accent3 9 3" xfId="11301" xr:uid="{7D0569E5-12F6-409B-AA99-0C2005353024}"/>
    <cellStyle name="40% - Accent4" xfId="73" builtinId="43" customBuiltin="1"/>
    <cellStyle name="40% - Accent4 10" xfId="4579" xr:uid="{00000000-0005-0000-0000-0000A1050000}"/>
    <cellStyle name="40% - Accent4 10 2" xfId="9203" xr:uid="{BC90A01A-C81A-4347-93DC-1B5E4872B0D1}"/>
    <cellStyle name="40% - Accent4 11" xfId="8790" xr:uid="{EBB734D8-02B8-4D19-9D72-129BE9A581D7}"/>
    <cellStyle name="40% - Accent4 2" xfId="74" xr:uid="{00000000-0005-0000-0000-0000A2050000}"/>
    <cellStyle name="40% - Accent4 2 10" xfId="8791" xr:uid="{A2F313B4-8C15-4415-8806-25E8DF539E9E}"/>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3" xfId="11805" xr:uid="{0A1F97C3-C78D-412F-A205-9CC4CD257D4E}"/>
    <cellStyle name="40% - Accent4 2 2 2 2 3" xfId="4996" xr:uid="{00000000-0005-0000-0000-0000A8050000}"/>
    <cellStyle name="40% - Accent4 2 2 2 2 4" xfId="9659" xr:uid="{F94086D7-9B9C-476E-A281-5E0F83EDFFFE}"/>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3" xfId="12218" xr:uid="{18CD3473-29D7-4616-85CD-6DDEDC0D5E13}"/>
    <cellStyle name="40% - Accent4 2 2 2 3 3" xfId="5409" xr:uid="{00000000-0005-0000-0000-0000AC050000}"/>
    <cellStyle name="40% - Accent4 2 2 2 3 4" xfId="10072" xr:uid="{0415E9F8-E2B8-4C41-8D17-942CC2692115}"/>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3" xfId="12631" xr:uid="{9A0F8004-BE13-4F3C-BB3E-E377CBCEF38B}"/>
    <cellStyle name="40% - Accent4 2 2 2 4 3" xfId="5822" xr:uid="{00000000-0005-0000-0000-0000B0050000}"/>
    <cellStyle name="40% - Accent4 2 2 2 4 4" xfId="10486" xr:uid="{D1FCE33E-EBAE-4F26-A3E7-FA6074CF68CF}"/>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3" xfId="13044" xr:uid="{37A14903-CEC8-4027-AFC4-E2666D5120E0}"/>
    <cellStyle name="40% - Accent4 2 2 2 5 3" xfId="6235" xr:uid="{00000000-0005-0000-0000-0000B4050000}"/>
    <cellStyle name="40% - Accent4 2 2 2 5 4" xfId="10899" xr:uid="{03A1D1D5-9725-4A42-9740-1987DDB87F9C}"/>
    <cellStyle name="40% - Accent4 2 2 2 6" xfId="2340" xr:uid="{00000000-0005-0000-0000-0000B5050000}"/>
    <cellStyle name="40% - Accent4 2 2 2 6 2" xfId="6648" xr:uid="{00000000-0005-0000-0000-0000B6050000}"/>
    <cellStyle name="40% - Accent4 2 2 2 6 3" xfId="11312" xr:uid="{F98CD195-344A-4B2C-A5BA-9EB007790D90}"/>
    <cellStyle name="40% - Accent4 2 2 2 7" xfId="4582" xr:uid="{00000000-0005-0000-0000-0000B7050000}"/>
    <cellStyle name="40% - Accent4 2 2 2 7 2" xfId="9206" xr:uid="{A2029DCD-07E3-47D2-B401-3CC6375A5A2B}"/>
    <cellStyle name="40% - Accent4 2 2 2 8" xfId="8793" xr:uid="{DA13E225-64CD-4639-9814-80074D7A76CC}"/>
    <cellStyle name="40% - Accent4 2 2 3" xfId="645" xr:uid="{00000000-0005-0000-0000-0000B8050000}"/>
    <cellStyle name="40% - Accent4 2 2 3 2" xfId="2916" xr:uid="{00000000-0005-0000-0000-0000B9050000}"/>
    <cellStyle name="40% - Accent4 2 2 3 2 2" xfId="7140" xr:uid="{00000000-0005-0000-0000-0000BA050000}"/>
    <cellStyle name="40% - Accent4 2 2 3 2 3" xfId="11804" xr:uid="{31801D0D-1618-4C76-8F59-FDDA517BCCF7}"/>
    <cellStyle name="40% - Accent4 2 2 3 3" xfId="4995" xr:uid="{00000000-0005-0000-0000-0000BB050000}"/>
    <cellStyle name="40% - Accent4 2 2 3 4" xfId="9658" xr:uid="{925A1416-620B-499A-B51A-8033ACB4DCD6}"/>
    <cellStyle name="40% - Accent4 2 2 4" xfId="1098" xr:uid="{00000000-0005-0000-0000-0000BC050000}"/>
    <cellStyle name="40% - Accent4 2 2 4 2" xfId="3329" xr:uid="{00000000-0005-0000-0000-0000BD050000}"/>
    <cellStyle name="40% - Accent4 2 2 4 2 2" xfId="7553" xr:uid="{00000000-0005-0000-0000-0000BE050000}"/>
    <cellStyle name="40% - Accent4 2 2 4 2 3" xfId="12217" xr:uid="{15C3C8EC-EFC3-411B-8F95-32DBEE6FE61E}"/>
    <cellStyle name="40% - Accent4 2 2 4 3" xfId="5408" xr:uid="{00000000-0005-0000-0000-0000BF050000}"/>
    <cellStyle name="40% - Accent4 2 2 4 4" xfId="10071" xr:uid="{28084BC4-782A-489A-A2F6-1771FE07191C}"/>
    <cellStyle name="40% - Accent4 2 2 5" xfId="1512" xr:uid="{00000000-0005-0000-0000-0000C0050000}"/>
    <cellStyle name="40% - Accent4 2 2 5 2" xfId="3742" xr:uid="{00000000-0005-0000-0000-0000C1050000}"/>
    <cellStyle name="40% - Accent4 2 2 5 2 2" xfId="7966" xr:uid="{00000000-0005-0000-0000-0000C2050000}"/>
    <cellStyle name="40% - Accent4 2 2 5 2 3" xfId="12630" xr:uid="{A4022592-8A0C-460D-86D1-91B17E74AB18}"/>
    <cellStyle name="40% - Accent4 2 2 5 3" xfId="5821" xr:uid="{00000000-0005-0000-0000-0000C3050000}"/>
    <cellStyle name="40% - Accent4 2 2 5 4" xfId="10485" xr:uid="{651A8091-12C8-47A3-A932-2A2F4E06E99D}"/>
    <cellStyle name="40% - Accent4 2 2 6" xfId="1926" xr:uid="{00000000-0005-0000-0000-0000C4050000}"/>
    <cellStyle name="40% - Accent4 2 2 6 2" xfId="4155" xr:uid="{00000000-0005-0000-0000-0000C5050000}"/>
    <cellStyle name="40% - Accent4 2 2 6 2 2" xfId="8379" xr:uid="{00000000-0005-0000-0000-0000C6050000}"/>
    <cellStyle name="40% - Accent4 2 2 6 2 3" xfId="13043" xr:uid="{86FA1A33-D9F6-494A-867C-A6DE4757B844}"/>
    <cellStyle name="40% - Accent4 2 2 6 3" xfId="6234" xr:uid="{00000000-0005-0000-0000-0000C7050000}"/>
    <cellStyle name="40% - Accent4 2 2 6 4" xfId="10898" xr:uid="{FF7175B3-D6E1-4054-B857-892BABB4E880}"/>
    <cellStyle name="40% - Accent4 2 2 7" xfId="2339" xr:uid="{00000000-0005-0000-0000-0000C8050000}"/>
    <cellStyle name="40% - Accent4 2 2 7 2" xfId="6647" xr:uid="{00000000-0005-0000-0000-0000C9050000}"/>
    <cellStyle name="40% - Accent4 2 2 7 3" xfId="11311" xr:uid="{52B9641C-8248-4459-8314-1EA29C834194}"/>
    <cellStyle name="40% - Accent4 2 2 8" xfId="4581" xr:uid="{00000000-0005-0000-0000-0000CA050000}"/>
    <cellStyle name="40% - Accent4 2 2 8 2" xfId="9205" xr:uid="{10026947-D64C-403A-85A0-7EBA7FA21FAE}"/>
    <cellStyle name="40% - Accent4 2 2 9" xfId="8792" xr:uid="{66A0D146-F214-42D7-8212-3D78DAA32F2B}"/>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3" xfId="11806" xr:uid="{83AB01AD-F620-46A1-B8AF-6D9B8F20A1F7}"/>
    <cellStyle name="40% - Accent4 2 3 2 3" xfId="4997" xr:uid="{00000000-0005-0000-0000-0000CF050000}"/>
    <cellStyle name="40% - Accent4 2 3 2 4" xfId="9660" xr:uid="{8CB4C847-0903-44F4-9C0B-B8EB1F698BC8}"/>
    <cellStyle name="40% - Accent4 2 3 3" xfId="1100" xr:uid="{00000000-0005-0000-0000-0000D0050000}"/>
    <cellStyle name="40% - Accent4 2 3 3 2" xfId="3331" xr:uid="{00000000-0005-0000-0000-0000D1050000}"/>
    <cellStyle name="40% - Accent4 2 3 3 2 2" xfId="7555" xr:uid="{00000000-0005-0000-0000-0000D2050000}"/>
    <cellStyle name="40% - Accent4 2 3 3 2 3" xfId="12219" xr:uid="{64643914-1E89-4B9D-8512-D1B32D5D04E4}"/>
    <cellStyle name="40% - Accent4 2 3 3 3" xfId="5410" xr:uid="{00000000-0005-0000-0000-0000D3050000}"/>
    <cellStyle name="40% - Accent4 2 3 3 4" xfId="10073" xr:uid="{C3CD842C-706D-4CCF-8505-F30842EBB2DC}"/>
    <cellStyle name="40% - Accent4 2 3 4" xfId="1514" xr:uid="{00000000-0005-0000-0000-0000D4050000}"/>
    <cellStyle name="40% - Accent4 2 3 4 2" xfId="3744" xr:uid="{00000000-0005-0000-0000-0000D5050000}"/>
    <cellStyle name="40% - Accent4 2 3 4 2 2" xfId="7968" xr:uid="{00000000-0005-0000-0000-0000D6050000}"/>
    <cellStyle name="40% - Accent4 2 3 4 2 3" xfId="12632" xr:uid="{2ABBEF43-C7EC-4AC0-98C7-23CEB86BB735}"/>
    <cellStyle name="40% - Accent4 2 3 4 3" xfId="5823" xr:uid="{00000000-0005-0000-0000-0000D7050000}"/>
    <cellStyle name="40% - Accent4 2 3 4 4" xfId="10487" xr:uid="{180E6A64-BFDB-4975-AE14-317036AAF011}"/>
    <cellStyle name="40% - Accent4 2 3 5" xfId="1928" xr:uid="{00000000-0005-0000-0000-0000D8050000}"/>
    <cellStyle name="40% - Accent4 2 3 5 2" xfId="4157" xr:uid="{00000000-0005-0000-0000-0000D9050000}"/>
    <cellStyle name="40% - Accent4 2 3 5 2 2" xfId="8381" xr:uid="{00000000-0005-0000-0000-0000DA050000}"/>
    <cellStyle name="40% - Accent4 2 3 5 2 3" xfId="13045" xr:uid="{D898385C-2F66-4C74-8073-8EF7C91D6685}"/>
    <cellStyle name="40% - Accent4 2 3 5 3" xfId="6236" xr:uid="{00000000-0005-0000-0000-0000DB050000}"/>
    <cellStyle name="40% - Accent4 2 3 5 4" xfId="10900" xr:uid="{99D292CE-4EFC-495F-942D-1CF2613ADEE8}"/>
    <cellStyle name="40% - Accent4 2 3 6" xfId="2341" xr:uid="{00000000-0005-0000-0000-0000DC050000}"/>
    <cellStyle name="40% - Accent4 2 3 6 2" xfId="6649" xr:uid="{00000000-0005-0000-0000-0000DD050000}"/>
    <cellStyle name="40% - Accent4 2 3 6 3" xfId="11313" xr:uid="{FE21693A-8CD8-4736-9EE9-37094466F58D}"/>
    <cellStyle name="40% - Accent4 2 3 7" xfId="4583" xr:uid="{00000000-0005-0000-0000-0000DE050000}"/>
    <cellStyle name="40% - Accent4 2 3 7 2" xfId="9207" xr:uid="{60E3A72A-70DD-461C-8276-FCB65FF1FE9F}"/>
    <cellStyle name="40% - Accent4 2 3 8" xfId="8794" xr:uid="{61DDC0E9-F2B3-441E-8EDE-050440C8D774}"/>
    <cellStyle name="40% - Accent4 2 4" xfId="644" xr:uid="{00000000-0005-0000-0000-0000DF050000}"/>
    <cellStyle name="40% - Accent4 2 4 2" xfId="2915" xr:uid="{00000000-0005-0000-0000-0000E0050000}"/>
    <cellStyle name="40% - Accent4 2 4 2 2" xfId="7139" xr:uid="{00000000-0005-0000-0000-0000E1050000}"/>
    <cellStyle name="40% - Accent4 2 4 2 3" xfId="11803" xr:uid="{DED0E6DA-579E-43E2-91BF-E6BB85348B65}"/>
    <cellStyle name="40% - Accent4 2 4 3" xfId="4994" xr:uid="{00000000-0005-0000-0000-0000E2050000}"/>
    <cellStyle name="40% - Accent4 2 4 4" xfId="9657" xr:uid="{737FA403-8A8E-4B75-9286-45384009EE75}"/>
    <cellStyle name="40% - Accent4 2 5" xfId="1097" xr:uid="{00000000-0005-0000-0000-0000E3050000}"/>
    <cellStyle name="40% - Accent4 2 5 2" xfId="3328" xr:uid="{00000000-0005-0000-0000-0000E4050000}"/>
    <cellStyle name="40% - Accent4 2 5 2 2" xfId="7552" xr:uid="{00000000-0005-0000-0000-0000E5050000}"/>
    <cellStyle name="40% - Accent4 2 5 2 3" xfId="12216" xr:uid="{E4B1D48F-6CEF-4E32-933F-3FF54D3CB307}"/>
    <cellStyle name="40% - Accent4 2 5 3" xfId="5407" xr:uid="{00000000-0005-0000-0000-0000E6050000}"/>
    <cellStyle name="40% - Accent4 2 5 4" xfId="10070" xr:uid="{D3296B80-54CE-4592-881D-82C4684E5FA6}"/>
    <cellStyle name="40% - Accent4 2 6" xfId="1511" xr:uid="{00000000-0005-0000-0000-0000E7050000}"/>
    <cellStyle name="40% - Accent4 2 6 2" xfId="3741" xr:uid="{00000000-0005-0000-0000-0000E8050000}"/>
    <cellStyle name="40% - Accent4 2 6 2 2" xfId="7965" xr:uid="{00000000-0005-0000-0000-0000E9050000}"/>
    <cellStyle name="40% - Accent4 2 6 2 3" xfId="12629" xr:uid="{1F711F40-58D5-4B4C-9776-3762CBCAFFF1}"/>
    <cellStyle name="40% - Accent4 2 6 3" xfId="5820" xr:uid="{00000000-0005-0000-0000-0000EA050000}"/>
    <cellStyle name="40% - Accent4 2 6 4" xfId="10484" xr:uid="{045B7E7E-ABDD-4138-ADEE-FD631BC7F17F}"/>
    <cellStyle name="40% - Accent4 2 7" xfId="1925" xr:uid="{00000000-0005-0000-0000-0000EB050000}"/>
    <cellStyle name="40% - Accent4 2 7 2" xfId="4154" xr:uid="{00000000-0005-0000-0000-0000EC050000}"/>
    <cellStyle name="40% - Accent4 2 7 2 2" xfId="8378" xr:uid="{00000000-0005-0000-0000-0000ED050000}"/>
    <cellStyle name="40% - Accent4 2 7 2 3" xfId="13042" xr:uid="{5D855C57-3AFF-406B-94B1-1D6B05581E23}"/>
    <cellStyle name="40% - Accent4 2 7 3" xfId="6233" xr:uid="{00000000-0005-0000-0000-0000EE050000}"/>
    <cellStyle name="40% - Accent4 2 7 4" xfId="10897" xr:uid="{8D0DA237-68C2-4D96-8A72-4A075B46A785}"/>
    <cellStyle name="40% - Accent4 2 8" xfId="2338" xr:uid="{00000000-0005-0000-0000-0000EF050000}"/>
    <cellStyle name="40% - Accent4 2 8 2" xfId="6646" xr:uid="{00000000-0005-0000-0000-0000F0050000}"/>
    <cellStyle name="40% - Accent4 2 8 3" xfId="11310" xr:uid="{888B34DD-098C-4EBB-B0C9-7AA7D80B1FF0}"/>
    <cellStyle name="40% - Accent4 2 9" xfId="4580" xr:uid="{00000000-0005-0000-0000-0000F1050000}"/>
    <cellStyle name="40% - Accent4 2 9 2" xfId="9204" xr:uid="{E73ABDD3-70C9-43E9-AEFE-5ADC6CE07391}"/>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3" xfId="11808" xr:uid="{25E3EE95-CEB1-4A00-9B31-160D36E50BEC}"/>
    <cellStyle name="40% - Accent4 3 2 2 3" xfId="4999" xr:uid="{00000000-0005-0000-0000-0000F7050000}"/>
    <cellStyle name="40% - Accent4 3 2 2 4" xfId="9662" xr:uid="{183CB6D9-73C0-48A8-AC5E-E040E0DA2E6F}"/>
    <cellStyle name="40% - Accent4 3 2 3" xfId="1102" xr:uid="{00000000-0005-0000-0000-0000F8050000}"/>
    <cellStyle name="40% - Accent4 3 2 3 2" xfId="3333" xr:uid="{00000000-0005-0000-0000-0000F9050000}"/>
    <cellStyle name="40% - Accent4 3 2 3 2 2" xfId="7557" xr:uid="{00000000-0005-0000-0000-0000FA050000}"/>
    <cellStyle name="40% - Accent4 3 2 3 2 3" xfId="12221" xr:uid="{E96E1852-1941-4B92-90A5-620D22E02DF1}"/>
    <cellStyle name="40% - Accent4 3 2 3 3" xfId="5412" xr:uid="{00000000-0005-0000-0000-0000FB050000}"/>
    <cellStyle name="40% - Accent4 3 2 3 4" xfId="10075" xr:uid="{2683B346-EB66-42FA-95C3-BA1E6DA1CEA0}"/>
    <cellStyle name="40% - Accent4 3 2 4" xfId="1516" xr:uid="{00000000-0005-0000-0000-0000FC050000}"/>
    <cellStyle name="40% - Accent4 3 2 4 2" xfId="3746" xr:uid="{00000000-0005-0000-0000-0000FD050000}"/>
    <cellStyle name="40% - Accent4 3 2 4 2 2" xfId="7970" xr:uid="{00000000-0005-0000-0000-0000FE050000}"/>
    <cellStyle name="40% - Accent4 3 2 4 2 3" xfId="12634" xr:uid="{A5565813-914F-49FA-A1F2-F57FA4CF3E89}"/>
    <cellStyle name="40% - Accent4 3 2 4 3" xfId="5825" xr:uid="{00000000-0005-0000-0000-0000FF050000}"/>
    <cellStyle name="40% - Accent4 3 2 4 4" xfId="10489" xr:uid="{C3BAEC6B-98DC-4E97-ACDB-6BDF1B319BE1}"/>
    <cellStyle name="40% - Accent4 3 2 5" xfId="1930" xr:uid="{00000000-0005-0000-0000-000000060000}"/>
    <cellStyle name="40% - Accent4 3 2 5 2" xfId="4159" xr:uid="{00000000-0005-0000-0000-000001060000}"/>
    <cellStyle name="40% - Accent4 3 2 5 2 2" xfId="8383" xr:uid="{00000000-0005-0000-0000-000002060000}"/>
    <cellStyle name="40% - Accent4 3 2 5 2 3" xfId="13047" xr:uid="{76BE7F2C-B33A-4244-B8AD-E0F9CD76E4B4}"/>
    <cellStyle name="40% - Accent4 3 2 5 3" xfId="6238" xr:uid="{00000000-0005-0000-0000-000003060000}"/>
    <cellStyle name="40% - Accent4 3 2 5 4" xfId="10902" xr:uid="{ECAC8E2D-C0A7-44A5-B30C-9941AF409E56}"/>
    <cellStyle name="40% - Accent4 3 2 6" xfId="2343" xr:uid="{00000000-0005-0000-0000-000004060000}"/>
    <cellStyle name="40% - Accent4 3 2 6 2" xfId="6651" xr:uid="{00000000-0005-0000-0000-000005060000}"/>
    <cellStyle name="40% - Accent4 3 2 6 3" xfId="11315" xr:uid="{8909D557-158C-4F6F-A162-6892C8F9A55B}"/>
    <cellStyle name="40% - Accent4 3 2 7" xfId="4585" xr:uid="{00000000-0005-0000-0000-000006060000}"/>
    <cellStyle name="40% - Accent4 3 2 7 2" xfId="9209" xr:uid="{35852D1A-89E9-453F-A10B-415BD57102FE}"/>
    <cellStyle name="40% - Accent4 3 2 8" xfId="8796" xr:uid="{417F1B2A-A600-40B7-B0BA-40694C0E04B7}"/>
    <cellStyle name="40% - Accent4 3 3" xfId="648" xr:uid="{00000000-0005-0000-0000-000007060000}"/>
    <cellStyle name="40% - Accent4 3 3 2" xfId="2919" xr:uid="{00000000-0005-0000-0000-000008060000}"/>
    <cellStyle name="40% - Accent4 3 3 2 2" xfId="7143" xr:uid="{00000000-0005-0000-0000-000009060000}"/>
    <cellStyle name="40% - Accent4 3 3 2 3" xfId="11807" xr:uid="{6A70498A-C656-4129-9E31-B4B269D0B3DB}"/>
    <cellStyle name="40% - Accent4 3 3 3" xfId="4998" xr:uid="{00000000-0005-0000-0000-00000A060000}"/>
    <cellStyle name="40% - Accent4 3 3 4" xfId="9661" xr:uid="{097A28D0-DE7E-4599-83C5-C9697792C089}"/>
    <cellStyle name="40% - Accent4 3 4" xfId="1101" xr:uid="{00000000-0005-0000-0000-00000B060000}"/>
    <cellStyle name="40% - Accent4 3 4 2" xfId="3332" xr:uid="{00000000-0005-0000-0000-00000C060000}"/>
    <cellStyle name="40% - Accent4 3 4 2 2" xfId="7556" xr:uid="{00000000-0005-0000-0000-00000D060000}"/>
    <cellStyle name="40% - Accent4 3 4 2 3" xfId="12220" xr:uid="{1D66F0FC-96E3-4EC0-A6ED-E97483EF5709}"/>
    <cellStyle name="40% - Accent4 3 4 3" xfId="5411" xr:uid="{00000000-0005-0000-0000-00000E060000}"/>
    <cellStyle name="40% - Accent4 3 4 4" xfId="10074" xr:uid="{6AE90786-1BA3-49D4-AE29-AA5FA0ABBF3D}"/>
    <cellStyle name="40% - Accent4 3 5" xfId="1515" xr:uid="{00000000-0005-0000-0000-00000F060000}"/>
    <cellStyle name="40% - Accent4 3 5 2" xfId="3745" xr:uid="{00000000-0005-0000-0000-000010060000}"/>
    <cellStyle name="40% - Accent4 3 5 2 2" xfId="7969" xr:uid="{00000000-0005-0000-0000-000011060000}"/>
    <cellStyle name="40% - Accent4 3 5 2 3" xfId="12633" xr:uid="{6E397646-D8E3-4C76-ACFC-050BBFFA9AD6}"/>
    <cellStyle name="40% - Accent4 3 5 3" xfId="5824" xr:uid="{00000000-0005-0000-0000-000012060000}"/>
    <cellStyle name="40% - Accent4 3 5 4" xfId="10488" xr:uid="{D31E2286-ED0B-4DC4-98E4-42CAC97E8083}"/>
    <cellStyle name="40% - Accent4 3 6" xfId="1929" xr:uid="{00000000-0005-0000-0000-000013060000}"/>
    <cellStyle name="40% - Accent4 3 6 2" xfId="4158" xr:uid="{00000000-0005-0000-0000-000014060000}"/>
    <cellStyle name="40% - Accent4 3 6 2 2" xfId="8382" xr:uid="{00000000-0005-0000-0000-000015060000}"/>
    <cellStyle name="40% - Accent4 3 6 2 3" xfId="13046" xr:uid="{C85A11E1-DE74-47D6-A2AC-181CA2339524}"/>
    <cellStyle name="40% - Accent4 3 6 3" xfId="6237" xr:uid="{00000000-0005-0000-0000-000016060000}"/>
    <cellStyle name="40% - Accent4 3 6 4" xfId="10901" xr:uid="{EC690D61-8520-4C18-B92C-84A5071DB431}"/>
    <cellStyle name="40% - Accent4 3 7" xfId="2342" xr:uid="{00000000-0005-0000-0000-000017060000}"/>
    <cellStyle name="40% - Accent4 3 7 2" xfId="6650" xr:uid="{00000000-0005-0000-0000-000018060000}"/>
    <cellStyle name="40% - Accent4 3 7 3" xfId="11314" xr:uid="{FEE1D012-BBB8-4393-BBDB-ACFB81A9292A}"/>
    <cellStyle name="40% - Accent4 3 8" xfId="4584" xr:uid="{00000000-0005-0000-0000-000019060000}"/>
    <cellStyle name="40% - Accent4 3 8 2" xfId="9208" xr:uid="{F1182A7F-F168-4527-8A1C-55C5DBB4A76D}"/>
    <cellStyle name="40% - Accent4 3 9" xfId="8795" xr:uid="{885D2427-8522-4B74-84AA-EC21EE666834}"/>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3" xfId="11809" xr:uid="{9EF3DEEA-0ADE-4C15-8CDD-76A1A6F8D544}"/>
    <cellStyle name="40% - Accent4 4 2 3" xfId="5000" xr:uid="{00000000-0005-0000-0000-00001E060000}"/>
    <cellStyle name="40% - Accent4 4 2 4" xfId="9663" xr:uid="{DA2E0755-C0A3-4259-8E11-2256277D63E3}"/>
    <cellStyle name="40% - Accent4 4 3" xfId="1103" xr:uid="{00000000-0005-0000-0000-00001F060000}"/>
    <cellStyle name="40% - Accent4 4 3 2" xfId="3334" xr:uid="{00000000-0005-0000-0000-000020060000}"/>
    <cellStyle name="40% - Accent4 4 3 2 2" xfId="7558" xr:uid="{00000000-0005-0000-0000-000021060000}"/>
    <cellStyle name="40% - Accent4 4 3 2 3" xfId="12222" xr:uid="{E17EF58D-2D52-4133-82D7-EB13A2192857}"/>
    <cellStyle name="40% - Accent4 4 3 3" xfId="5413" xr:uid="{00000000-0005-0000-0000-000022060000}"/>
    <cellStyle name="40% - Accent4 4 3 4" xfId="10076" xr:uid="{5957F74F-973A-48CD-B2A9-5C8DB2ED4161}"/>
    <cellStyle name="40% - Accent4 4 4" xfId="1517" xr:uid="{00000000-0005-0000-0000-000023060000}"/>
    <cellStyle name="40% - Accent4 4 4 2" xfId="3747" xr:uid="{00000000-0005-0000-0000-000024060000}"/>
    <cellStyle name="40% - Accent4 4 4 2 2" xfId="7971" xr:uid="{00000000-0005-0000-0000-000025060000}"/>
    <cellStyle name="40% - Accent4 4 4 2 3" xfId="12635" xr:uid="{66C4F48C-E14C-4B62-9101-3375A7E56F90}"/>
    <cellStyle name="40% - Accent4 4 4 3" xfId="5826" xr:uid="{00000000-0005-0000-0000-000026060000}"/>
    <cellStyle name="40% - Accent4 4 4 4" xfId="10490" xr:uid="{644D31C9-C8AE-4A26-AAD4-45E614823F70}"/>
    <cellStyle name="40% - Accent4 4 5" xfId="1931" xr:uid="{00000000-0005-0000-0000-000027060000}"/>
    <cellStyle name="40% - Accent4 4 5 2" xfId="4160" xr:uid="{00000000-0005-0000-0000-000028060000}"/>
    <cellStyle name="40% - Accent4 4 5 2 2" xfId="8384" xr:uid="{00000000-0005-0000-0000-000029060000}"/>
    <cellStyle name="40% - Accent4 4 5 2 3" xfId="13048" xr:uid="{6825A334-F995-4483-9C3B-2CB8BE088238}"/>
    <cellStyle name="40% - Accent4 4 5 3" xfId="6239" xr:uid="{00000000-0005-0000-0000-00002A060000}"/>
    <cellStyle name="40% - Accent4 4 5 4" xfId="10903" xr:uid="{572A248D-946F-466E-A9C8-77C819DF5DE8}"/>
    <cellStyle name="40% - Accent4 4 6" xfId="2344" xr:uid="{00000000-0005-0000-0000-00002B060000}"/>
    <cellStyle name="40% - Accent4 4 6 2" xfId="6652" xr:uid="{00000000-0005-0000-0000-00002C060000}"/>
    <cellStyle name="40% - Accent4 4 6 3" xfId="11316" xr:uid="{C0FAFF12-06B5-44CF-BF53-FE98656E1837}"/>
    <cellStyle name="40% - Accent4 4 7" xfId="4586" xr:uid="{00000000-0005-0000-0000-00002D060000}"/>
    <cellStyle name="40% - Accent4 4 7 2" xfId="9210" xr:uid="{3D3CAEB4-66F2-402C-AD9E-1FFFD61419BA}"/>
    <cellStyle name="40% - Accent4 4 8" xfId="8797" xr:uid="{432FBE7B-C97C-417B-9D31-7DAB12848B0E}"/>
    <cellStyle name="40% - Accent4 5" xfId="643" xr:uid="{00000000-0005-0000-0000-00002E060000}"/>
    <cellStyle name="40% - Accent4 5 2" xfId="2914" xr:uid="{00000000-0005-0000-0000-00002F060000}"/>
    <cellStyle name="40% - Accent4 5 2 2" xfId="7138" xr:uid="{00000000-0005-0000-0000-000030060000}"/>
    <cellStyle name="40% - Accent4 5 2 3" xfId="11802" xr:uid="{3F8ABB88-24F5-4DC8-823C-1EB8D37F68EF}"/>
    <cellStyle name="40% - Accent4 5 3" xfId="4993" xr:uid="{00000000-0005-0000-0000-000031060000}"/>
    <cellStyle name="40% - Accent4 5 4" xfId="9656" xr:uid="{1EDF0397-FD16-45C5-B40C-3FDB75B797A2}"/>
    <cellStyle name="40% - Accent4 6" xfId="1096" xr:uid="{00000000-0005-0000-0000-000032060000}"/>
    <cellStyle name="40% - Accent4 6 2" xfId="3327" xr:uid="{00000000-0005-0000-0000-000033060000}"/>
    <cellStyle name="40% - Accent4 6 2 2" xfId="7551" xr:uid="{00000000-0005-0000-0000-000034060000}"/>
    <cellStyle name="40% - Accent4 6 2 3" xfId="12215" xr:uid="{D525EABA-0DD6-4CDA-AA2B-65B8C483F420}"/>
    <cellStyle name="40% - Accent4 6 3" xfId="5406" xr:uid="{00000000-0005-0000-0000-000035060000}"/>
    <cellStyle name="40% - Accent4 6 4" xfId="10069" xr:uid="{4BB055D9-1300-4F3A-A4AE-2A95E9602285}"/>
    <cellStyle name="40% - Accent4 7" xfId="1510" xr:uid="{00000000-0005-0000-0000-000036060000}"/>
    <cellStyle name="40% - Accent4 7 2" xfId="3740" xr:uid="{00000000-0005-0000-0000-000037060000}"/>
    <cellStyle name="40% - Accent4 7 2 2" xfId="7964" xr:uid="{00000000-0005-0000-0000-000038060000}"/>
    <cellStyle name="40% - Accent4 7 2 3" xfId="12628" xr:uid="{EB47AF57-C09A-4F7D-BA9C-C69D451B62A0}"/>
    <cellStyle name="40% - Accent4 7 3" xfId="5819" xr:uid="{00000000-0005-0000-0000-000039060000}"/>
    <cellStyle name="40% - Accent4 7 4" xfId="10483" xr:uid="{2F201E33-4410-4BAD-8360-DB2FDE0851C5}"/>
    <cellStyle name="40% - Accent4 8" xfId="1924" xr:uid="{00000000-0005-0000-0000-00003A060000}"/>
    <cellStyle name="40% - Accent4 8 2" xfId="4153" xr:uid="{00000000-0005-0000-0000-00003B060000}"/>
    <cellStyle name="40% - Accent4 8 2 2" xfId="8377" xr:uid="{00000000-0005-0000-0000-00003C060000}"/>
    <cellStyle name="40% - Accent4 8 2 3" xfId="13041" xr:uid="{BC056B58-F11C-427D-8115-12DF28EB8587}"/>
    <cellStyle name="40% - Accent4 8 3" xfId="6232" xr:uid="{00000000-0005-0000-0000-00003D060000}"/>
    <cellStyle name="40% - Accent4 8 4" xfId="10896" xr:uid="{39A58B67-E97A-437B-B748-E4ED9C508918}"/>
    <cellStyle name="40% - Accent4 9" xfId="2337" xr:uid="{00000000-0005-0000-0000-00003E060000}"/>
    <cellStyle name="40% - Accent4 9 2" xfId="6645" xr:uid="{00000000-0005-0000-0000-00003F060000}"/>
    <cellStyle name="40% - Accent4 9 3" xfId="11309" xr:uid="{2C9C92AC-93CE-4D30-A010-4D5E23AAE55E}"/>
    <cellStyle name="40% - Accent5" xfId="81" builtinId="47" customBuiltin="1"/>
    <cellStyle name="40% - Accent5 10" xfId="4587" xr:uid="{00000000-0005-0000-0000-000041060000}"/>
    <cellStyle name="40% - Accent5 10 2" xfId="9211" xr:uid="{8B24C990-394C-4C39-8650-BC1E7AA77722}"/>
    <cellStyle name="40% - Accent5 11" xfId="8798" xr:uid="{85166FA8-16D9-4139-BE9D-ADB9FEDBDB3D}"/>
    <cellStyle name="40% - Accent5 2" xfId="82" xr:uid="{00000000-0005-0000-0000-000042060000}"/>
    <cellStyle name="40% - Accent5 2 10" xfId="8799" xr:uid="{E5F8FF91-B5FD-4893-9B7B-F4DE2F6F6DDA}"/>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3" xfId="11813" xr:uid="{D415EE73-5215-45B3-A09C-A6C965FE3BAE}"/>
    <cellStyle name="40% - Accent5 2 2 2 2 3" xfId="5004" xr:uid="{00000000-0005-0000-0000-000048060000}"/>
    <cellStyle name="40% - Accent5 2 2 2 2 4" xfId="9667" xr:uid="{309F6C48-CAAA-4722-817F-C3861DFAAE24}"/>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3" xfId="12226" xr:uid="{1DC5E544-EF72-4231-A6F0-3516B7C702C5}"/>
    <cellStyle name="40% - Accent5 2 2 2 3 3" xfId="5417" xr:uid="{00000000-0005-0000-0000-00004C060000}"/>
    <cellStyle name="40% - Accent5 2 2 2 3 4" xfId="10080" xr:uid="{D634CF13-C10F-44A2-BCA7-4FFC39092438}"/>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3" xfId="12639" xr:uid="{73C2813D-3FAE-4447-8036-F94E82EF2F7F}"/>
    <cellStyle name="40% - Accent5 2 2 2 4 3" xfId="5830" xr:uid="{00000000-0005-0000-0000-000050060000}"/>
    <cellStyle name="40% - Accent5 2 2 2 4 4" xfId="10494" xr:uid="{871D1EF7-C811-40A2-A5E6-0CAA17F54D59}"/>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3" xfId="13052" xr:uid="{4B2171FD-3CBC-4B06-A38B-8315EAB913C7}"/>
    <cellStyle name="40% - Accent5 2 2 2 5 3" xfId="6243" xr:uid="{00000000-0005-0000-0000-000054060000}"/>
    <cellStyle name="40% - Accent5 2 2 2 5 4" xfId="10907" xr:uid="{8ECDCC2A-7001-43A4-962E-A382C0F9BDEA}"/>
    <cellStyle name="40% - Accent5 2 2 2 6" xfId="2348" xr:uid="{00000000-0005-0000-0000-000055060000}"/>
    <cellStyle name="40% - Accent5 2 2 2 6 2" xfId="6656" xr:uid="{00000000-0005-0000-0000-000056060000}"/>
    <cellStyle name="40% - Accent5 2 2 2 6 3" xfId="11320" xr:uid="{60BD3B86-353B-4116-BF8A-F5FB16B2CC9A}"/>
    <cellStyle name="40% - Accent5 2 2 2 7" xfId="4590" xr:uid="{00000000-0005-0000-0000-000057060000}"/>
    <cellStyle name="40% - Accent5 2 2 2 7 2" xfId="9214" xr:uid="{221A7688-751A-4BB3-9659-5EB0017CA5F8}"/>
    <cellStyle name="40% - Accent5 2 2 2 8" xfId="8801" xr:uid="{7AAF9292-2F8B-4CD2-BC04-BF87A7B8F09D}"/>
    <cellStyle name="40% - Accent5 2 2 3" xfId="653" xr:uid="{00000000-0005-0000-0000-000058060000}"/>
    <cellStyle name="40% - Accent5 2 2 3 2" xfId="2924" xr:uid="{00000000-0005-0000-0000-000059060000}"/>
    <cellStyle name="40% - Accent5 2 2 3 2 2" xfId="7148" xr:uid="{00000000-0005-0000-0000-00005A060000}"/>
    <cellStyle name="40% - Accent5 2 2 3 2 3" xfId="11812" xr:uid="{CDCED48C-A01D-4D5D-8246-AE0192FC84BA}"/>
    <cellStyle name="40% - Accent5 2 2 3 3" xfId="5003" xr:uid="{00000000-0005-0000-0000-00005B060000}"/>
    <cellStyle name="40% - Accent5 2 2 3 4" xfId="9666" xr:uid="{4AFFD17A-0BF4-466A-B45E-B9DDD4470F81}"/>
    <cellStyle name="40% - Accent5 2 2 4" xfId="1106" xr:uid="{00000000-0005-0000-0000-00005C060000}"/>
    <cellStyle name="40% - Accent5 2 2 4 2" xfId="3337" xr:uid="{00000000-0005-0000-0000-00005D060000}"/>
    <cellStyle name="40% - Accent5 2 2 4 2 2" xfId="7561" xr:uid="{00000000-0005-0000-0000-00005E060000}"/>
    <cellStyle name="40% - Accent5 2 2 4 2 3" xfId="12225" xr:uid="{E6E33F8D-607C-4E1E-82C7-4A3B6838D458}"/>
    <cellStyle name="40% - Accent5 2 2 4 3" xfId="5416" xr:uid="{00000000-0005-0000-0000-00005F060000}"/>
    <cellStyle name="40% - Accent5 2 2 4 4" xfId="10079" xr:uid="{E88410DD-59BB-4AD0-93C7-7ED60736E30E}"/>
    <cellStyle name="40% - Accent5 2 2 5" xfId="1520" xr:uid="{00000000-0005-0000-0000-000060060000}"/>
    <cellStyle name="40% - Accent5 2 2 5 2" xfId="3750" xr:uid="{00000000-0005-0000-0000-000061060000}"/>
    <cellStyle name="40% - Accent5 2 2 5 2 2" xfId="7974" xr:uid="{00000000-0005-0000-0000-000062060000}"/>
    <cellStyle name="40% - Accent5 2 2 5 2 3" xfId="12638" xr:uid="{F80BC60C-41A6-48EF-A806-FC94F02D4FD5}"/>
    <cellStyle name="40% - Accent5 2 2 5 3" xfId="5829" xr:uid="{00000000-0005-0000-0000-000063060000}"/>
    <cellStyle name="40% - Accent5 2 2 5 4" xfId="10493" xr:uid="{F8F3F4F6-7952-44A1-A170-1F23E9BFBDF0}"/>
    <cellStyle name="40% - Accent5 2 2 6" xfId="1934" xr:uid="{00000000-0005-0000-0000-000064060000}"/>
    <cellStyle name="40% - Accent5 2 2 6 2" xfId="4163" xr:uid="{00000000-0005-0000-0000-000065060000}"/>
    <cellStyle name="40% - Accent5 2 2 6 2 2" xfId="8387" xr:uid="{00000000-0005-0000-0000-000066060000}"/>
    <cellStyle name="40% - Accent5 2 2 6 2 3" xfId="13051" xr:uid="{1A9275A7-F4CD-4BF0-93C4-6E7CADAE922A}"/>
    <cellStyle name="40% - Accent5 2 2 6 3" xfId="6242" xr:uid="{00000000-0005-0000-0000-000067060000}"/>
    <cellStyle name="40% - Accent5 2 2 6 4" xfId="10906" xr:uid="{3BC0BD9C-CA29-415F-AAC5-E0B26720E65B}"/>
    <cellStyle name="40% - Accent5 2 2 7" xfId="2347" xr:uid="{00000000-0005-0000-0000-000068060000}"/>
    <cellStyle name="40% - Accent5 2 2 7 2" xfId="6655" xr:uid="{00000000-0005-0000-0000-000069060000}"/>
    <cellStyle name="40% - Accent5 2 2 7 3" xfId="11319" xr:uid="{7C63BE12-F49E-4CB6-A4C5-77588393A3A3}"/>
    <cellStyle name="40% - Accent5 2 2 8" xfId="4589" xr:uid="{00000000-0005-0000-0000-00006A060000}"/>
    <cellStyle name="40% - Accent5 2 2 8 2" xfId="9213" xr:uid="{47DB5D6D-F35F-45D2-885F-0654FF068786}"/>
    <cellStyle name="40% - Accent5 2 2 9" xfId="8800" xr:uid="{27E9CB59-D455-4D9A-AF74-C7D9E721E0EA}"/>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3" xfId="11814" xr:uid="{266E4AF9-2491-4511-96A3-41D5CFFD3A92}"/>
    <cellStyle name="40% - Accent5 2 3 2 3" xfId="5005" xr:uid="{00000000-0005-0000-0000-00006F060000}"/>
    <cellStyle name="40% - Accent5 2 3 2 4" xfId="9668" xr:uid="{7A441233-C31E-49FB-9B58-26F853478E39}"/>
    <cellStyle name="40% - Accent5 2 3 3" xfId="1108" xr:uid="{00000000-0005-0000-0000-000070060000}"/>
    <cellStyle name="40% - Accent5 2 3 3 2" xfId="3339" xr:uid="{00000000-0005-0000-0000-000071060000}"/>
    <cellStyle name="40% - Accent5 2 3 3 2 2" xfId="7563" xr:uid="{00000000-0005-0000-0000-000072060000}"/>
    <cellStyle name="40% - Accent5 2 3 3 2 3" xfId="12227" xr:uid="{2276772A-549D-4302-89DA-935F0F7227FE}"/>
    <cellStyle name="40% - Accent5 2 3 3 3" xfId="5418" xr:uid="{00000000-0005-0000-0000-000073060000}"/>
    <cellStyle name="40% - Accent5 2 3 3 4" xfId="10081" xr:uid="{4BBD9C77-F039-47DF-ACE3-057160E8709B}"/>
    <cellStyle name="40% - Accent5 2 3 4" xfId="1522" xr:uid="{00000000-0005-0000-0000-000074060000}"/>
    <cellStyle name="40% - Accent5 2 3 4 2" xfId="3752" xr:uid="{00000000-0005-0000-0000-000075060000}"/>
    <cellStyle name="40% - Accent5 2 3 4 2 2" xfId="7976" xr:uid="{00000000-0005-0000-0000-000076060000}"/>
    <cellStyle name="40% - Accent5 2 3 4 2 3" xfId="12640" xr:uid="{C1F473AF-5433-4616-8BF3-7D097CB65F6F}"/>
    <cellStyle name="40% - Accent5 2 3 4 3" xfId="5831" xr:uid="{00000000-0005-0000-0000-000077060000}"/>
    <cellStyle name="40% - Accent5 2 3 4 4" xfId="10495" xr:uid="{872ACDFF-1C71-4AB7-97EB-10C4CDC60BD1}"/>
    <cellStyle name="40% - Accent5 2 3 5" xfId="1936" xr:uid="{00000000-0005-0000-0000-000078060000}"/>
    <cellStyle name="40% - Accent5 2 3 5 2" xfId="4165" xr:uid="{00000000-0005-0000-0000-000079060000}"/>
    <cellStyle name="40% - Accent5 2 3 5 2 2" xfId="8389" xr:uid="{00000000-0005-0000-0000-00007A060000}"/>
    <cellStyle name="40% - Accent5 2 3 5 2 3" xfId="13053" xr:uid="{0B0ED1AA-7BD0-4E3B-B870-257750C5F4E8}"/>
    <cellStyle name="40% - Accent5 2 3 5 3" xfId="6244" xr:uid="{00000000-0005-0000-0000-00007B060000}"/>
    <cellStyle name="40% - Accent5 2 3 5 4" xfId="10908" xr:uid="{E1411398-C16F-425C-8951-84385F814769}"/>
    <cellStyle name="40% - Accent5 2 3 6" xfId="2349" xr:uid="{00000000-0005-0000-0000-00007C060000}"/>
    <cellStyle name="40% - Accent5 2 3 6 2" xfId="6657" xr:uid="{00000000-0005-0000-0000-00007D060000}"/>
    <cellStyle name="40% - Accent5 2 3 6 3" xfId="11321" xr:uid="{959FE64E-29CC-4DF7-9D62-030C19B914D8}"/>
    <cellStyle name="40% - Accent5 2 3 7" xfId="4591" xr:uid="{00000000-0005-0000-0000-00007E060000}"/>
    <cellStyle name="40% - Accent5 2 3 7 2" xfId="9215" xr:uid="{7D6992B2-05BB-488C-9CF3-62A216CA0E63}"/>
    <cellStyle name="40% - Accent5 2 3 8" xfId="8802" xr:uid="{8E413B18-B089-4FB8-A3A2-6ACC264F39E4}"/>
    <cellStyle name="40% - Accent5 2 4" xfId="652" xr:uid="{00000000-0005-0000-0000-00007F060000}"/>
    <cellStyle name="40% - Accent5 2 4 2" xfId="2923" xr:uid="{00000000-0005-0000-0000-000080060000}"/>
    <cellStyle name="40% - Accent5 2 4 2 2" xfId="7147" xr:uid="{00000000-0005-0000-0000-000081060000}"/>
    <cellStyle name="40% - Accent5 2 4 2 3" xfId="11811" xr:uid="{2CD59FEB-3793-446A-B112-D18E16F389DE}"/>
    <cellStyle name="40% - Accent5 2 4 3" xfId="5002" xr:uid="{00000000-0005-0000-0000-000082060000}"/>
    <cellStyle name="40% - Accent5 2 4 4" xfId="9665" xr:uid="{DCCB126B-C82C-4177-BF24-D57184BB6487}"/>
    <cellStyle name="40% - Accent5 2 5" xfId="1105" xr:uid="{00000000-0005-0000-0000-000083060000}"/>
    <cellStyle name="40% - Accent5 2 5 2" xfId="3336" xr:uid="{00000000-0005-0000-0000-000084060000}"/>
    <cellStyle name="40% - Accent5 2 5 2 2" xfId="7560" xr:uid="{00000000-0005-0000-0000-000085060000}"/>
    <cellStyle name="40% - Accent5 2 5 2 3" xfId="12224" xr:uid="{696731AE-8BFC-4334-A716-24C29A5422EB}"/>
    <cellStyle name="40% - Accent5 2 5 3" xfId="5415" xr:uid="{00000000-0005-0000-0000-000086060000}"/>
    <cellStyle name="40% - Accent5 2 5 4" xfId="10078" xr:uid="{E014EA1C-9133-4260-B718-B5F5D8DD3244}"/>
    <cellStyle name="40% - Accent5 2 6" xfId="1519" xr:uid="{00000000-0005-0000-0000-000087060000}"/>
    <cellStyle name="40% - Accent5 2 6 2" xfId="3749" xr:uid="{00000000-0005-0000-0000-000088060000}"/>
    <cellStyle name="40% - Accent5 2 6 2 2" xfId="7973" xr:uid="{00000000-0005-0000-0000-000089060000}"/>
    <cellStyle name="40% - Accent5 2 6 2 3" xfId="12637" xr:uid="{09A5BA7A-84A3-483B-8186-F6D7D36A1D01}"/>
    <cellStyle name="40% - Accent5 2 6 3" xfId="5828" xr:uid="{00000000-0005-0000-0000-00008A060000}"/>
    <cellStyle name="40% - Accent5 2 6 4" xfId="10492" xr:uid="{D27D383A-DBAB-4B18-981C-0E6068F7BAA8}"/>
    <cellStyle name="40% - Accent5 2 7" xfId="1933" xr:uid="{00000000-0005-0000-0000-00008B060000}"/>
    <cellStyle name="40% - Accent5 2 7 2" xfId="4162" xr:uid="{00000000-0005-0000-0000-00008C060000}"/>
    <cellStyle name="40% - Accent5 2 7 2 2" xfId="8386" xr:uid="{00000000-0005-0000-0000-00008D060000}"/>
    <cellStyle name="40% - Accent5 2 7 2 3" xfId="13050" xr:uid="{8B03BF12-1C7D-4B07-96D3-A41E8B0F1F9C}"/>
    <cellStyle name="40% - Accent5 2 7 3" xfId="6241" xr:uid="{00000000-0005-0000-0000-00008E060000}"/>
    <cellStyle name="40% - Accent5 2 7 4" xfId="10905" xr:uid="{04B29B75-C710-445D-B108-18A2C25D9B2E}"/>
    <cellStyle name="40% - Accent5 2 8" xfId="2346" xr:uid="{00000000-0005-0000-0000-00008F060000}"/>
    <cellStyle name="40% - Accent5 2 8 2" xfId="6654" xr:uid="{00000000-0005-0000-0000-000090060000}"/>
    <cellStyle name="40% - Accent5 2 8 3" xfId="11318" xr:uid="{4CF1AB78-9305-45B6-B77A-E7A8054CA95D}"/>
    <cellStyle name="40% - Accent5 2 9" xfId="4588" xr:uid="{00000000-0005-0000-0000-000091060000}"/>
    <cellStyle name="40% - Accent5 2 9 2" xfId="9212" xr:uid="{3A3CE4E1-BF63-44C6-9052-83304D7387B6}"/>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3" xfId="11816" xr:uid="{D22BDEA5-891B-43D3-8F17-28078F35DDC1}"/>
    <cellStyle name="40% - Accent5 3 2 2 3" xfId="5007" xr:uid="{00000000-0005-0000-0000-000097060000}"/>
    <cellStyle name="40% - Accent5 3 2 2 4" xfId="9670" xr:uid="{B802FE57-BC7C-4838-A2B9-1C818A217BAA}"/>
    <cellStyle name="40% - Accent5 3 2 3" xfId="1110" xr:uid="{00000000-0005-0000-0000-000098060000}"/>
    <cellStyle name="40% - Accent5 3 2 3 2" xfId="3341" xr:uid="{00000000-0005-0000-0000-000099060000}"/>
    <cellStyle name="40% - Accent5 3 2 3 2 2" xfId="7565" xr:uid="{00000000-0005-0000-0000-00009A060000}"/>
    <cellStyle name="40% - Accent5 3 2 3 2 3" xfId="12229" xr:uid="{CE6E6BB6-B5C0-4291-A94E-3D170A2437DA}"/>
    <cellStyle name="40% - Accent5 3 2 3 3" xfId="5420" xr:uid="{00000000-0005-0000-0000-00009B060000}"/>
    <cellStyle name="40% - Accent5 3 2 3 4" xfId="10083" xr:uid="{37907BC8-BC3F-4801-8BF2-601D343926EC}"/>
    <cellStyle name="40% - Accent5 3 2 4" xfId="1524" xr:uid="{00000000-0005-0000-0000-00009C060000}"/>
    <cellStyle name="40% - Accent5 3 2 4 2" xfId="3754" xr:uid="{00000000-0005-0000-0000-00009D060000}"/>
    <cellStyle name="40% - Accent5 3 2 4 2 2" xfId="7978" xr:uid="{00000000-0005-0000-0000-00009E060000}"/>
    <cellStyle name="40% - Accent5 3 2 4 2 3" xfId="12642" xr:uid="{DAAFBF62-D95B-4FD8-8433-C8E8F4F65914}"/>
    <cellStyle name="40% - Accent5 3 2 4 3" xfId="5833" xr:uid="{00000000-0005-0000-0000-00009F060000}"/>
    <cellStyle name="40% - Accent5 3 2 4 4" xfId="10497" xr:uid="{2E1617D7-E8BB-40FE-AD1E-57F65030A2AE}"/>
    <cellStyle name="40% - Accent5 3 2 5" xfId="1938" xr:uid="{00000000-0005-0000-0000-0000A0060000}"/>
    <cellStyle name="40% - Accent5 3 2 5 2" xfId="4167" xr:uid="{00000000-0005-0000-0000-0000A1060000}"/>
    <cellStyle name="40% - Accent5 3 2 5 2 2" xfId="8391" xr:uid="{00000000-0005-0000-0000-0000A2060000}"/>
    <cellStyle name="40% - Accent5 3 2 5 2 3" xfId="13055" xr:uid="{C8988406-70DB-460F-A4A4-1A41BD509155}"/>
    <cellStyle name="40% - Accent5 3 2 5 3" xfId="6246" xr:uid="{00000000-0005-0000-0000-0000A3060000}"/>
    <cellStyle name="40% - Accent5 3 2 5 4" xfId="10910" xr:uid="{705465E9-9099-4B8E-B962-4FB0564D38F0}"/>
    <cellStyle name="40% - Accent5 3 2 6" xfId="2351" xr:uid="{00000000-0005-0000-0000-0000A4060000}"/>
    <cellStyle name="40% - Accent5 3 2 6 2" xfId="6659" xr:uid="{00000000-0005-0000-0000-0000A5060000}"/>
    <cellStyle name="40% - Accent5 3 2 6 3" xfId="11323" xr:uid="{BE524B20-FF5E-41DD-AE5F-9D155DF22124}"/>
    <cellStyle name="40% - Accent5 3 2 7" xfId="4593" xr:uid="{00000000-0005-0000-0000-0000A6060000}"/>
    <cellStyle name="40% - Accent5 3 2 7 2" xfId="9217" xr:uid="{773BA3E9-383D-4AEF-96C7-E83DB3D8BB5E}"/>
    <cellStyle name="40% - Accent5 3 2 8" xfId="8804" xr:uid="{EEBE6575-2C49-4766-BAA9-83AD13E6CA25}"/>
    <cellStyle name="40% - Accent5 3 3" xfId="656" xr:uid="{00000000-0005-0000-0000-0000A7060000}"/>
    <cellStyle name="40% - Accent5 3 3 2" xfId="2927" xr:uid="{00000000-0005-0000-0000-0000A8060000}"/>
    <cellStyle name="40% - Accent5 3 3 2 2" xfId="7151" xr:uid="{00000000-0005-0000-0000-0000A9060000}"/>
    <cellStyle name="40% - Accent5 3 3 2 3" xfId="11815" xr:uid="{94A3D02D-9827-449E-8C5F-073ABB1160B5}"/>
    <cellStyle name="40% - Accent5 3 3 3" xfId="5006" xr:uid="{00000000-0005-0000-0000-0000AA060000}"/>
    <cellStyle name="40% - Accent5 3 3 4" xfId="9669" xr:uid="{1058C642-7A5F-40E7-9788-3864F13869FF}"/>
    <cellStyle name="40% - Accent5 3 4" xfId="1109" xr:uid="{00000000-0005-0000-0000-0000AB060000}"/>
    <cellStyle name="40% - Accent5 3 4 2" xfId="3340" xr:uid="{00000000-0005-0000-0000-0000AC060000}"/>
    <cellStyle name="40% - Accent5 3 4 2 2" xfId="7564" xr:uid="{00000000-0005-0000-0000-0000AD060000}"/>
    <cellStyle name="40% - Accent5 3 4 2 3" xfId="12228" xr:uid="{6B058256-C80D-4736-99FB-49EF1CF76A4E}"/>
    <cellStyle name="40% - Accent5 3 4 3" xfId="5419" xr:uid="{00000000-0005-0000-0000-0000AE060000}"/>
    <cellStyle name="40% - Accent5 3 4 4" xfId="10082" xr:uid="{97B0E5EB-8BEF-4C9F-8A86-05623E446803}"/>
    <cellStyle name="40% - Accent5 3 5" xfId="1523" xr:uid="{00000000-0005-0000-0000-0000AF060000}"/>
    <cellStyle name="40% - Accent5 3 5 2" xfId="3753" xr:uid="{00000000-0005-0000-0000-0000B0060000}"/>
    <cellStyle name="40% - Accent5 3 5 2 2" xfId="7977" xr:uid="{00000000-0005-0000-0000-0000B1060000}"/>
    <cellStyle name="40% - Accent5 3 5 2 3" xfId="12641" xr:uid="{F7AFCBDF-13A9-4196-8576-8E37B8249735}"/>
    <cellStyle name="40% - Accent5 3 5 3" xfId="5832" xr:uid="{00000000-0005-0000-0000-0000B2060000}"/>
    <cellStyle name="40% - Accent5 3 5 4" xfId="10496" xr:uid="{F673A147-AE80-4AB1-90BD-0EB5247C09D0}"/>
    <cellStyle name="40% - Accent5 3 6" xfId="1937" xr:uid="{00000000-0005-0000-0000-0000B3060000}"/>
    <cellStyle name="40% - Accent5 3 6 2" xfId="4166" xr:uid="{00000000-0005-0000-0000-0000B4060000}"/>
    <cellStyle name="40% - Accent5 3 6 2 2" xfId="8390" xr:uid="{00000000-0005-0000-0000-0000B5060000}"/>
    <cellStyle name="40% - Accent5 3 6 2 3" xfId="13054" xr:uid="{2C7FBD7B-5C11-4A26-BA49-362E23FC552C}"/>
    <cellStyle name="40% - Accent5 3 6 3" xfId="6245" xr:uid="{00000000-0005-0000-0000-0000B6060000}"/>
    <cellStyle name="40% - Accent5 3 6 4" xfId="10909" xr:uid="{4F690FD3-334B-4C90-A69E-B8323A6F6551}"/>
    <cellStyle name="40% - Accent5 3 7" xfId="2350" xr:uid="{00000000-0005-0000-0000-0000B7060000}"/>
    <cellStyle name="40% - Accent5 3 7 2" xfId="6658" xr:uid="{00000000-0005-0000-0000-0000B8060000}"/>
    <cellStyle name="40% - Accent5 3 7 3" xfId="11322" xr:uid="{AB410D01-A754-4670-B6B4-8A6C9A2687E5}"/>
    <cellStyle name="40% - Accent5 3 8" xfId="4592" xr:uid="{00000000-0005-0000-0000-0000B9060000}"/>
    <cellStyle name="40% - Accent5 3 8 2" xfId="9216" xr:uid="{512D5786-B314-4936-88B4-B7E1F07B0147}"/>
    <cellStyle name="40% - Accent5 3 9" xfId="8803" xr:uid="{6198261A-4A4E-417E-BA73-D6A3CF0C772C}"/>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3" xfId="11817" xr:uid="{C97D5292-20F4-4E7E-8AC1-F7A55CFF52A8}"/>
    <cellStyle name="40% - Accent5 4 2 3" xfId="5008" xr:uid="{00000000-0005-0000-0000-0000BE060000}"/>
    <cellStyle name="40% - Accent5 4 2 4" xfId="9671" xr:uid="{38875B4C-96E6-40B0-90E4-821976B28A4A}"/>
    <cellStyle name="40% - Accent5 4 3" xfId="1111" xr:uid="{00000000-0005-0000-0000-0000BF060000}"/>
    <cellStyle name="40% - Accent5 4 3 2" xfId="3342" xr:uid="{00000000-0005-0000-0000-0000C0060000}"/>
    <cellStyle name="40% - Accent5 4 3 2 2" xfId="7566" xr:uid="{00000000-0005-0000-0000-0000C1060000}"/>
    <cellStyle name="40% - Accent5 4 3 2 3" xfId="12230" xr:uid="{6CE9F54F-E8BD-4956-BA55-ED0BCF5B91ED}"/>
    <cellStyle name="40% - Accent5 4 3 3" xfId="5421" xr:uid="{00000000-0005-0000-0000-0000C2060000}"/>
    <cellStyle name="40% - Accent5 4 3 4" xfId="10084" xr:uid="{1D150E94-197B-40C9-9633-D8093C8550C7}"/>
    <cellStyle name="40% - Accent5 4 4" xfId="1525" xr:uid="{00000000-0005-0000-0000-0000C3060000}"/>
    <cellStyle name="40% - Accent5 4 4 2" xfId="3755" xr:uid="{00000000-0005-0000-0000-0000C4060000}"/>
    <cellStyle name="40% - Accent5 4 4 2 2" xfId="7979" xr:uid="{00000000-0005-0000-0000-0000C5060000}"/>
    <cellStyle name="40% - Accent5 4 4 2 3" xfId="12643" xr:uid="{7761BE06-C1DF-4E7F-BC32-687EFB643ECD}"/>
    <cellStyle name="40% - Accent5 4 4 3" xfId="5834" xr:uid="{00000000-0005-0000-0000-0000C6060000}"/>
    <cellStyle name="40% - Accent5 4 4 4" xfId="10498" xr:uid="{CACB131B-2D99-42BF-83B4-144138A31527}"/>
    <cellStyle name="40% - Accent5 4 5" xfId="1939" xr:uid="{00000000-0005-0000-0000-0000C7060000}"/>
    <cellStyle name="40% - Accent5 4 5 2" xfId="4168" xr:uid="{00000000-0005-0000-0000-0000C8060000}"/>
    <cellStyle name="40% - Accent5 4 5 2 2" xfId="8392" xr:uid="{00000000-0005-0000-0000-0000C9060000}"/>
    <cellStyle name="40% - Accent5 4 5 2 3" xfId="13056" xr:uid="{2E892195-4CF8-42AD-9E53-7D1B0CBA596C}"/>
    <cellStyle name="40% - Accent5 4 5 3" xfId="6247" xr:uid="{00000000-0005-0000-0000-0000CA060000}"/>
    <cellStyle name="40% - Accent5 4 5 4" xfId="10911" xr:uid="{EBE6A628-D534-4447-9A46-3409D25EA90B}"/>
    <cellStyle name="40% - Accent5 4 6" xfId="2352" xr:uid="{00000000-0005-0000-0000-0000CB060000}"/>
    <cellStyle name="40% - Accent5 4 6 2" xfId="6660" xr:uid="{00000000-0005-0000-0000-0000CC060000}"/>
    <cellStyle name="40% - Accent5 4 6 3" xfId="11324" xr:uid="{906851F7-46BF-47F2-B5EE-E532E412EA59}"/>
    <cellStyle name="40% - Accent5 4 7" xfId="4594" xr:uid="{00000000-0005-0000-0000-0000CD060000}"/>
    <cellStyle name="40% - Accent5 4 7 2" xfId="9218" xr:uid="{2BBBB628-6A9E-45AE-8AC5-B062F5CBB5E6}"/>
    <cellStyle name="40% - Accent5 4 8" xfId="8805" xr:uid="{7C1A6F10-A4A9-4668-BC84-2E2ECD1F7858}"/>
    <cellStyle name="40% - Accent5 5" xfId="651" xr:uid="{00000000-0005-0000-0000-0000CE060000}"/>
    <cellStyle name="40% - Accent5 5 2" xfId="2922" xr:uid="{00000000-0005-0000-0000-0000CF060000}"/>
    <cellStyle name="40% - Accent5 5 2 2" xfId="7146" xr:uid="{00000000-0005-0000-0000-0000D0060000}"/>
    <cellStyle name="40% - Accent5 5 2 3" xfId="11810" xr:uid="{7441C86F-66CE-4AF0-B46C-3DEE8449F656}"/>
    <cellStyle name="40% - Accent5 5 3" xfId="5001" xr:uid="{00000000-0005-0000-0000-0000D1060000}"/>
    <cellStyle name="40% - Accent5 5 4" xfId="9664" xr:uid="{BAEA094D-8E06-44C5-AC87-8D049964346F}"/>
    <cellStyle name="40% - Accent5 6" xfId="1104" xr:uid="{00000000-0005-0000-0000-0000D2060000}"/>
    <cellStyle name="40% - Accent5 6 2" xfId="3335" xr:uid="{00000000-0005-0000-0000-0000D3060000}"/>
    <cellStyle name="40% - Accent5 6 2 2" xfId="7559" xr:uid="{00000000-0005-0000-0000-0000D4060000}"/>
    <cellStyle name="40% - Accent5 6 2 3" xfId="12223" xr:uid="{A551EB9B-5917-431B-9766-25D296B93272}"/>
    <cellStyle name="40% - Accent5 6 3" xfId="5414" xr:uid="{00000000-0005-0000-0000-0000D5060000}"/>
    <cellStyle name="40% - Accent5 6 4" xfId="10077" xr:uid="{136D27DE-1C84-4F44-8D8E-46EFA0081FFA}"/>
    <cellStyle name="40% - Accent5 7" xfId="1518" xr:uid="{00000000-0005-0000-0000-0000D6060000}"/>
    <cellStyle name="40% - Accent5 7 2" xfId="3748" xr:uid="{00000000-0005-0000-0000-0000D7060000}"/>
    <cellStyle name="40% - Accent5 7 2 2" xfId="7972" xr:uid="{00000000-0005-0000-0000-0000D8060000}"/>
    <cellStyle name="40% - Accent5 7 2 3" xfId="12636" xr:uid="{50285812-1167-413F-AB4A-B8A0113EAF9B}"/>
    <cellStyle name="40% - Accent5 7 3" xfId="5827" xr:uid="{00000000-0005-0000-0000-0000D9060000}"/>
    <cellStyle name="40% - Accent5 7 4" xfId="10491" xr:uid="{B9E26F0F-1B87-4BC3-9ADA-E9E5B494ED7B}"/>
    <cellStyle name="40% - Accent5 8" xfId="1932" xr:uid="{00000000-0005-0000-0000-0000DA060000}"/>
    <cellStyle name="40% - Accent5 8 2" xfId="4161" xr:uid="{00000000-0005-0000-0000-0000DB060000}"/>
    <cellStyle name="40% - Accent5 8 2 2" xfId="8385" xr:uid="{00000000-0005-0000-0000-0000DC060000}"/>
    <cellStyle name="40% - Accent5 8 2 3" xfId="13049" xr:uid="{A4A0AE6C-6D2A-4564-BDE8-03923F5CB583}"/>
    <cellStyle name="40% - Accent5 8 3" xfId="6240" xr:uid="{00000000-0005-0000-0000-0000DD060000}"/>
    <cellStyle name="40% - Accent5 8 4" xfId="10904" xr:uid="{5C6F8F88-4E97-4DDF-905B-76FD218BA2E2}"/>
    <cellStyle name="40% - Accent5 9" xfId="2345" xr:uid="{00000000-0005-0000-0000-0000DE060000}"/>
    <cellStyle name="40% - Accent5 9 2" xfId="6653" xr:uid="{00000000-0005-0000-0000-0000DF060000}"/>
    <cellStyle name="40% - Accent5 9 3" xfId="11317" xr:uid="{EBC18E5A-923F-4D02-9F4B-56B8D95E2222}"/>
    <cellStyle name="40% - Accent6" xfId="89" builtinId="51" customBuiltin="1"/>
    <cellStyle name="40% - Accent6 10" xfId="4595" xr:uid="{00000000-0005-0000-0000-0000E1060000}"/>
    <cellStyle name="40% - Accent6 10 2" xfId="9219" xr:uid="{BF95A440-052D-4425-BFEB-FF61A80EE7F1}"/>
    <cellStyle name="40% - Accent6 11" xfId="8806" xr:uid="{C3D0F86F-B65D-4283-8693-F25DF5580F75}"/>
    <cellStyle name="40% - Accent6 2" xfId="90" xr:uid="{00000000-0005-0000-0000-0000E2060000}"/>
    <cellStyle name="40% - Accent6 2 10" xfId="8807" xr:uid="{EF83B8DE-8B02-426D-895A-E94E60B641BA}"/>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3" xfId="11821" xr:uid="{BF330C20-5667-4863-A7BF-DC8DDE3A8D5B}"/>
    <cellStyle name="40% - Accent6 2 2 2 2 3" xfId="5012" xr:uid="{00000000-0005-0000-0000-0000E8060000}"/>
    <cellStyle name="40% - Accent6 2 2 2 2 4" xfId="9675" xr:uid="{38FCB023-7426-4D24-9439-357E19D6276E}"/>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3" xfId="12234" xr:uid="{7B14790F-D072-474A-B67C-DAE38F453593}"/>
    <cellStyle name="40% - Accent6 2 2 2 3 3" xfId="5425" xr:uid="{00000000-0005-0000-0000-0000EC060000}"/>
    <cellStyle name="40% - Accent6 2 2 2 3 4" xfId="10088" xr:uid="{EA69ADB1-CB9D-4069-8DBE-D7233E36514A}"/>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3" xfId="12647" xr:uid="{5013BE82-E097-43F4-9172-7E5037C57575}"/>
    <cellStyle name="40% - Accent6 2 2 2 4 3" xfId="5838" xr:uid="{00000000-0005-0000-0000-0000F0060000}"/>
    <cellStyle name="40% - Accent6 2 2 2 4 4" xfId="10502" xr:uid="{4D249AE4-34C4-4ED3-A5F4-86D5FDCB801D}"/>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3" xfId="13060" xr:uid="{3279212E-B09E-4F7C-92FB-458A89BF0382}"/>
    <cellStyle name="40% - Accent6 2 2 2 5 3" xfId="6251" xr:uid="{00000000-0005-0000-0000-0000F4060000}"/>
    <cellStyle name="40% - Accent6 2 2 2 5 4" xfId="10915" xr:uid="{2553319C-47A2-411A-9D7E-1CADDC227574}"/>
    <cellStyle name="40% - Accent6 2 2 2 6" xfId="2356" xr:uid="{00000000-0005-0000-0000-0000F5060000}"/>
    <cellStyle name="40% - Accent6 2 2 2 6 2" xfId="6664" xr:uid="{00000000-0005-0000-0000-0000F6060000}"/>
    <cellStyle name="40% - Accent6 2 2 2 6 3" xfId="11328" xr:uid="{5D08610E-29E8-4B16-B3B0-CEE4A6DB067A}"/>
    <cellStyle name="40% - Accent6 2 2 2 7" xfId="4598" xr:uid="{00000000-0005-0000-0000-0000F7060000}"/>
    <cellStyle name="40% - Accent6 2 2 2 7 2" xfId="9222" xr:uid="{3271954C-C6D6-4D87-A5F5-5C318ACE8F40}"/>
    <cellStyle name="40% - Accent6 2 2 2 8" xfId="8809" xr:uid="{0BB2C1C7-C10C-4E05-9236-3CEC62595344}"/>
    <cellStyle name="40% - Accent6 2 2 3" xfId="661" xr:uid="{00000000-0005-0000-0000-0000F8060000}"/>
    <cellStyle name="40% - Accent6 2 2 3 2" xfId="2932" xr:uid="{00000000-0005-0000-0000-0000F9060000}"/>
    <cellStyle name="40% - Accent6 2 2 3 2 2" xfId="7156" xr:uid="{00000000-0005-0000-0000-0000FA060000}"/>
    <cellStyle name="40% - Accent6 2 2 3 2 3" xfId="11820" xr:uid="{BEF2D14E-0AD7-4A5F-B01D-A4FBA1A035C9}"/>
    <cellStyle name="40% - Accent6 2 2 3 3" xfId="5011" xr:uid="{00000000-0005-0000-0000-0000FB060000}"/>
    <cellStyle name="40% - Accent6 2 2 3 4" xfId="9674" xr:uid="{87941755-4A57-4679-B5DE-3B3DE5034285}"/>
    <cellStyle name="40% - Accent6 2 2 4" xfId="1114" xr:uid="{00000000-0005-0000-0000-0000FC060000}"/>
    <cellStyle name="40% - Accent6 2 2 4 2" xfId="3345" xr:uid="{00000000-0005-0000-0000-0000FD060000}"/>
    <cellStyle name="40% - Accent6 2 2 4 2 2" xfId="7569" xr:uid="{00000000-0005-0000-0000-0000FE060000}"/>
    <cellStyle name="40% - Accent6 2 2 4 2 3" xfId="12233" xr:uid="{A6D2C80D-4012-4641-AAB7-3C9A4434DF74}"/>
    <cellStyle name="40% - Accent6 2 2 4 3" xfId="5424" xr:uid="{00000000-0005-0000-0000-0000FF060000}"/>
    <cellStyle name="40% - Accent6 2 2 4 4" xfId="10087" xr:uid="{F99E0246-B36C-4472-8A83-F1EAAF546216}"/>
    <cellStyle name="40% - Accent6 2 2 5" xfId="1528" xr:uid="{00000000-0005-0000-0000-000000070000}"/>
    <cellStyle name="40% - Accent6 2 2 5 2" xfId="3758" xr:uid="{00000000-0005-0000-0000-000001070000}"/>
    <cellStyle name="40% - Accent6 2 2 5 2 2" xfId="7982" xr:uid="{00000000-0005-0000-0000-000002070000}"/>
    <cellStyle name="40% - Accent6 2 2 5 2 3" xfId="12646" xr:uid="{32D587FE-080D-4243-A87C-6BDB8E945270}"/>
    <cellStyle name="40% - Accent6 2 2 5 3" xfId="5837" xr:uid="{00000000-0005-0000-0000-000003070000}"/>
    <cellStyle name="40% - Accent6 2 2 5 4" xfId="10501" xr:uid="{DCA6724F-561D-4923-8405-7A1DAD2DC072}"/>
    <cellStyle name="40% - Accent6 2 2 6" xfId="1942" xr:uid="{00000000-0005-0000-0000-000004070000}"/>
    <cellStyle name="40% - Accent6 2 2 6 2" xfId="4171" xr:uid="{00000000-0005-0000-0000-000005070000}"/>
    <cellStyle name="40% - Accent6 2 2 6 2 2" xfId="8395" xr:uid="{00000000-0005-0000-0000-000006070000}"/>
    <cellStyle name="40% - Accent6 2 2 6 2 3" xfId="13059" xr:uid="{1962BA0C-D57F-4545-A836-73F72CFE88CE}"/>
    <cellStyle name="40% - Accent6 2 2 6 3" xfId="6250" xr:uid="{00000000-0005-0000-0000-000007070000}"/>
    <cellStyle name="40% - Accent6 2 2 6 4" xfId="10914" xr:uid="{EAECE703-518C-4864-8B54-67F54F9CDFB8}"/>
    <cellStyle name="40% - Accent6 2 2 7" xfId="2355" xr:uid="{00000000-0005-0000-0000-000008070000}"/>
    <cellStyle name="40% - Accent6 2 2 7 2" xfId="6663" xr:uid="{00000000-0005-0000-0000-000009070000}"/>
    <cellStyle name="40% - Accent6 2 2 7 3" xfId="11327" xr:uid="{69AA0B26-9B57-495E-BCCD-0ABC4A421243}"/>
    <cellStyle name="40% - Accent6 2 2 8" xfId="4597" xr:uid="{00000000-0005-0000-0000-00000A070000}"/>
    <cellStyle name="40% - Accent6 2 2 8 2" xfId="9221" xr:uid="{3DEA999A-1419-47D0-898D-858772C05242}"/>
    <cellStyle name="40% - Accent6 2 2 9" xfId="8808" xr:uid="{CC9E70A7-A81F-410C-912A-B9595264914B}"/>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3" xfId="11822" xr:uid="{8AC57373-3473-4758-B223-7CF22CFC2558}"/>
    <cellStyle name="40% - Accent6 2 3 2 3" xfId="5013" xr:uid="{00000000-0005-0000-0000-00000F070000}"/>
    <cellStyle name="40% - Accent6 2 3 2 4" xfId="9676" xr:uid="{5800642A-DCEF-43F8-AC52-C93E02669DB8}"/>
    <cellStyle name="40% - Accent6 2 3 3" xfId="1116" xr:uid="{00000000-0005-0000-0000-000010070000}"/>
    <cellStyle name="40% - Accent6 2 3 3 2" xfId="3347" xr:uid="{00000000-0005-0000-0000-000011070000}"/>
    <cellStyle name="40% - Accent6 2 3 3 2 2" xfId="7571" xr:uid="{00000000-0005-0000-0000-000012070000}"/>
    <cellStyle name="40% - Accent6 2 3 3 2 3" xfId="12235" xr:uid="{E6A52A08-7DF8-44B0-82C5-749A607B1B71}"/>
    <cellStyle name="40% - Accent6 2 3 3 3" xfId="5426" xr:uid="{00000000-0005-0000-0000-000013070000}"/>
    <cellStyle name="40% - Accent6 2 3 3 4" xfId="10089" xr:uid="{DD7CC073-C708-4115-AE5B-872B034728FD}"/>
    <cellStyle name="40% - Accent6 2 3 4" xfId="1530" xr:uid="{00000000-0005-0000-0000-000014070000}"/>
    <cellStyle name="40% - Accent6 2 3 4 2" xfId="3760" xr:uid="{00000000-0005-0000-0000-000015070000}"/>
    <cellStyle name="40% - Accent6 2 3 4 2 2" xfId="7984" xr:uid="{00000000-0005-0000-0000-000016070000}"/>
    <cellStyle name="40% - Accent6 2 3 4 2 3" xfId="12648" xr:uid="{664B3248-7079-4B3D-80A6-7EC3E5956C64}"/>
    <cellStyle name="40% - Accent6 2 3 4 3" xfId="5839" xr:uid="{00000000-0005-0000-0000-000017070000}"/>
    <cellStyle name="40% - Accent6 2 3 4 4" xfId="10503" xr:uid="{022BFCBC-C28E-465A-ABFF-84898B162158}"/>
    <cellStyle name="40% - Accent6 2 3 5" xfId="1944" xr:uid="{00000000-0005-0000-0000-000018070000}"/>
    <cellStyle name="40% - Accent6 2 3 5 2" xfId="4173" xr:uid="{00000000-0005-0000-0000-000019070000}"/>
    <cellStyle name="40% - Accent6 2 3 5 2 2" xfId="8397" xr:uid="{00000000-0005-0000-0000-00001A070000}"/>
    <cellStyle name="40% - Accent6 2 3 5 2 3" xfId="13061" xr:uid="{DE109051-7C6D-49E1-ACE2-8990015630A8}"/>
    <cellStyle name="40% - Accent6 2 3 5 3" xfId="6252" xr:uid="{00000000-0005-0000-0000-00001B070000}"/>
    <cellStyle name="40% - Accent6 2 3 5 4" xfId="10916" xr:uid="{4EC97AAE-CCE8-4F8C-A2A8-B5F7DB985A91}"/>
    <cellStyle name="40% - Accent6 2 3 6" xfId="2357" xr:uid="{00000000-0005-0000-0000-00001C070000}"/>
    <cellStyle name="40% - Accent6 2 3 6 2" xfId="6665" xr:uid="{00000000-0005-0000-0000-00001D070000}"/>
    <cellStyle name="40% - Accent6 2 3 6 3" xfId="11329" xr:uid="{E1235335-6CD6-4DF7-B54F-D50B2E0DE097}"/>
    <cellStyle name="40% - Accent6 2 3 7" xfId="4599" xr:uid="{00000000-0005-0000-0000-00001E070000}"/>
    <cellStyle name="40% - Accent6 2 3 7 2" xfId="9223" xr:uid="{E0A8591A-C6C8-4000-9009-EF3BA384FDFD}"/>
    <cellStyle name="40% - Accent6 2 3 8" xfId="8810" xr:uid="{74F6D488-16EB-4AC1-886F-8DC0512F1BE7}"/>
    <cellStyle name="40% - Accent6 2 4" xfId="660" xr:uid="{00000000-0005-0000-0000-00001F070000}"/>
    <cellStyle name="40% - Accent6 2 4 2" xfId="2931" xr:uid="{00000000-0005-0000-0000-000020070000}"/>
    <cellStyle name="40% - Accent6 2 4 2 2" xfId="7155" xr:uid="{00000000-0005-0000-0000-000021070000}"/>
    <cellStyle name="40% - Accent6 2 4 2 3" xfId="11819" xr:uid="{3888D932-CF3A-46BE-9E17-35D4723D5127}"/>
    <cellStyle name="40% - Accent6 2 4 3" xfId="5010" xr:uid="{00000000-0005-0000-0000-000022070000}"/>
    <cellStyle name="40% - Accent6 2 4 4" xfId="9673" xr:uid="{A63337B6-826B-432F-98FF-41962D6A4AE4}"/>
    <cellStyle name="40% - Accent6 2 5" xfId="1113" xr:uid="{00000000-0005-0000-0000-000023070000}"/>
    <cellStyle name="40% - Accent6 2 5 2" xfId="3344" xr:uid="{00000000-0005-0000-0000-000024070000}"/>
    <cellStyle name="40% - Accent6 2 5 2 2" xfId="7568" xr:uid="{00000000-0005-0000-0000-000025070000}"/>
    <cellStyle name="40% - Accent6 2 5 2 3" xfId="12232" xr:uid="{B5FB7AE2-5C9B-4DF6-B043-0B581A834B2B}"/>
    <cellStyle name="40% - Accent6 2 5 3" xfId="5423" xr:uid="{00000000-0005-0000-0000-000026070000}"/>
    <cellStyle name="40% - Accent6 2 5 4" xfId="10086" xr:uid="{491FBDCE-EB71-4416-8871-85260B226F09}"/>
    <cellStyle name="40% - Accent6 2 6" xfId="1527" xr:uid="{00000000-0005-0000-0000-000027070000}"/>
    <cellStyle name="40% - Accent6 2 6 2" xfId="3757" xr:uid="{00000000-0005-0000-0000-000028070000}"/>
    <cellStyle name="40% - Accent6 2 6 2 2" xfId="7981" xr:uid="{00000000-0005-0000-0000-000029070000}"/>
    <cellStyle name="40% - Accent6 2 6 2 3" xfId="12645" xr:uid="{48F6A7D4-1C69-4C51-B3FB-3556C644BCF3}"/>
    <cellStyle name="40% - Accent6 2 6 3" xfId="5836" xr:uid="{00000000-0005-0000-0000-00002A070000}"/>
    <cellStyle name="40% - Accent6 2 6 4" xfId="10500" xr:uid="{35E215D8-65FC-4D60-B1CD-B086AE4C86EE}"/>
    <cellStyle name="40% - Accent6 2 7" xfId="1941" xr:uid="{00000000-0005-0000-0000-00002B070000}"/>
    <cellStyle name="40% - Accent6 2 7 2" xfId="4170" xr:uid="{00000000-0005-0000-0000-00002C070000}"/>
    <cellStyle name="40% - Accent6 2 7 2 2" xfId="8394" xr:uid="{00000000-0005-0000-0000-00002D070000}"/>
    <cellStyle name="40% - Accent6 2 7 2 3" xfId="13058" xr:uid="{BE3C278F-3D7E-4ABC-A7E8-E822974683A3}"/>
    <cellStyle name="40% - Accent6 2 7 3" xfId="6249" xr:uid="{00000000-0005-0000-0000-00002E070000}"/>
    <cellStyle name="40% - Accent6 2 7 4" xfId="10913" xr:uid="{205C3518-2A86-44D4-A47E-E6C47DE318EA}"/>
    <cellStyle name="40% - Accent6 2 8" xfId="2354" xr:uid="{00000000-0005-0000-0000-00002F070000}"/>
    <cellStyle name="40% - Accent6 2 8 2" xfId="6662" xr:uid="{00000000-0005-0000-0000-000030070000}"/>
    <cellStyle name="40% - Accent6 2 8 3" xfId="11326" xr:uid="{620EF437-38D1-4B59-BC78-45D435645624}"/>
    <cellStyle name="40% - Accent6 2 9" xfId="4596" xr:uid="{00000000-0005-0000-0000-000031070000}"/>
    <cellStyle name="40% - Accent6 2 9 2" xfId="9220" xr:uid="{2849B142-A3A7-4C87-ACCE-51C1A88B0641}"/>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3" xfId="11824" xr:uid="{3D9C8A7D-807E-4A18-B54E-851C15F6CF68}"/>
    <cellStyle name="40% - Accent6 3 2 2 3" xfId="5015" xr:uid="{00000000-0005-0000-0000-000037070000}"/>
    <cellStyle name="40% - Accent6 3 2 2 4" xfId="9678" xr:uid="{155506E1-9D16-46B9-A5C2-142A980D1A5F}"/>
    <cellStyle name="40% - Accent6 3 2 3" xfId="1118" xr:uid="{00000000-0005-0000-0000-000038070000}"/>
    <cellStyle name="40% - Accent6 3 2 3 2" xfId="3349" xr:uid="{00000000-0005-0000-0000-000039070000}"/>
    <cellStyle name="40% - Accent6 3 2 3 2 2" xfId="7573" xr:uid="{00000000-0005-0000-0000-00003A070000}"/>
    <cellStyle name="40% - Accent6 3 2 3 2 3" xfId="12237" xr:uid="{5798B576-CCD4-425E-9F03-22B45429EBEF}"/>
    <cellStyle name="40% - Accent6 3 2 3 3" xfId="5428" xr:uid="{00000000-0005-0000-0000-00003B070000}"/>
    <cellStyle name="40% - Accent6 3 2 3 4" xfId="10091" xr:uid="{6E675FD8-CC7B-4633-98F9-0A98BCEB8015}"/>
    <cellStyle name="40% - Accent6 3 2 4" xfId="1532" xr:uid="{00000000-0005-0000-0000-00003C070000}"/>
    <cellStyle name="40% - Accent6 3 2 4 2" xfId="3762" xr:uid="{00000000-0005-0000-0000-00003D070000}"/>
    <cellStyle name="40% - Accent6 3 2 4 2 2" xfId="7986" xr:uid="{00000000-0005-0000-0000-00003E070000}"/>
    <cellStyle name="40% - Accent6 3 2 4 2 3" xfId="12650" xr:uid="{DFEF2211-F47F-4542-88BC-AA6E40FF3682}"/>
    <cellStyle name="40% - Accent6 3 2 4 3" xfId="5841" xr:uid="{00000000-0005-0000-0000-00003F070000}"/>
    <cellStyle name="40% - Accent6 3 2 4 4" xfId="10505" xr:uid="{DEC2F1A7-A51C-4A7C-9F11-2CE20DA7331C}"/>
    <cellStyle name="40% - Accent6 3 2 5" xfId="1946" xr:uid="{00000000-0005-0000-0000-000040070000}"/>
    <cellStyle name="40% - Accent6 3 2 5 2" xfId="4175" xr:uid="{00000000-0005-0000-0000-000041070000}"/>
    <cellStyle name="40% - Accent6 3 2 5 2 2" xfId="8399" xr:uid="{00000000-0005-0000-0000-000042070000}"/>
    <cellStyle name="40% - Accent6 3 2 5 2 3" xfId="13063" xr:uid="{78D6D163-1BA5-4A20-AA27-D4BFB20A9657}"/>
    <cellStyle name="40% - Accent6 3 2 5 3" xfId="6254" xr:uid="{00000000-0005-0000-0000-000043070000}"/>
    <cellStyle name="40% - Accent6 3 2 5 4" xfId="10918" xr:uid="{4C9B5843-1CB7-4997-9835-61AC8357515E}"/>
    <cellStyle name="40% - Accent6 3 2 6" xfId="2359" xr:uid="{00000000-0005-0000-0000-000044070000}"/>
    <cellStyle name="40% - Accent6 3 2 6 2" xfId="6667" xr:uid="{00000000-0005-0000-0000-000045070000}"/>
    <cellStyle name="40% - Accent6 3 2 6 3" xfId="11331" xr:uid="{4EFCE9D1-691F-4A10-A486-42772B3F1299}"/>
    <cellStyle name="40% - Accent6 3 2 7" xfId="4601" xr:uid="{00000000-0005-0000-0000-000046070000}"/>
    <cellStyle name="40% - Accent6 3 2 7 2" xfId="9225" xr:uid="{8DDE5D9E-1CAA-4B37-B56D-C75DBF40BBC3}"/>
    <cellStyle name="40% - Accent6 3 2 8" xfId="8812" xr:uid="{4A35AEDC-09C2-4987-A97D-F2F1FBFFF24A}"/>
    <cellStyle name="40% - Accent6 3 3" xfId="664" xr:uid="{00000000-0005-0000-0000-000047070000}"/>
    <cellStyle name="40% - Accent6 3 3 2" xfId="2935" xr:uid="{00000000-0005-0000-0000-000048070000}"/>
    <cellStyle name="40% - Accent6 3 3 2 2" xfId="7159" xr:uid="{00000000-0005-0000-0000-000049070000}"/>
    <cellStyle name="40% - Accent6 3 3 2 3" xfId="11823" xr:uid="{B3BE5B02-8CA6-4375-A36E-2B05B0453394}"/>
    <cellStyle name="40% - Accent6 3 3 3" xfId="5014" xr:uid="{00000000-0005-0000-0000-00004A070000}"/>
    <cellStyle name="40% - Accent6 3 3 4" xfId="9677" xr:uid="{C194D286-BB63-4770-A614-E38EE64F3A25}"/>
    <cellStyle name="40% - Accent6 3 4" xfId="1117" xr:uid="{00000000-0005-0000-0000-00004B070000}"/>
    <cellStyle name="40% - Accent6 3 4 2" xfId="3348" xr:uid="{00000000-0005-0000-0000-00004C070000}"/>
    <cellStyle name="40% - Accent6 3 4 2 2" xfId="7572" xr:uid="{00000000-0005-0000-0000-00004D070000}"/>
    <cellStyle name="40% - Accent6 3 4 2 3" xfId="12236" xr:uid="{6DD059BD-FB10-48AF-A43D-B9ACB2629342}"/>
    <cellStyle name="40% - Accent6 3 4 3" xfId="5427" xr:uid="{00000000-0005-0000-0000-00004E070000}"/>
    <cellStyle name="40% - Accent6 3 4 4" xfId="10090" xr:uid="{6CE709F8-716D-48ED-B111-6BDA812B3683}"/>
    <cellStyle name="40% - Accent6 3 5" xfId="1531" xr:uid="{00000000-0005-0000-0000-00004F070000}"/>
    <cellStyle name="40% - Accent6 3 5 2" xfId="3761" xr:uid="{00000000-0005-0000-0000-000050070000}"/>
    <cellStyle name="40% - Accent6 3 5 2 2" xfId="7985" xr:uid="{00000000-0005-0000-0000-000051070000}"/>
    <cellStyle name="40% - Accent6 3 5 2 3" xfId="12649" xr:uid="{1B8350CC-EADF-4C0D-BB3F-7193491F22DA}"/>
    <cellStyle name="40% - Accent6 3 5 3" xfId="5840" xr:uid="{00000000-0005-0000-0000-000052070000}"/>
    <cellStyle name="40% - Accent6 3 5 4" xfId="10504" xr:uid="{9A634629-BB65-4B30-A92F-0B2792DF7F59}"/>
    <cellStyle name="40% - Accent6 3 6" xfId="1945" xr:uid="{00000000-0005-0000-0000-000053070000}"/>
    <cellStyle name="40% - Accent6 3 6 2" xfId="4174" xr:uid="{00000000-0005-0000-0000-000054070000}"/>
    <cellStyle name="40% - Accent6 3 6 2 2" xfId="8398" xr:uid="{00000000-0005-0000-0000-000055070000}"/>
    <cellStyle name="40% - Accent6 3 6 2 3" xfId="13062" xr:uid="{2FD6DBD0-BBB7-4D90-86F9-BA43CDB90B0A}"/>
    <cellStyle name="40% - Accent6 3 6 3" xfId="6253" xr:uid="{00000000-0005-0000-0000-000056070000}"/>
    <cellStyle name="40% - Accent6 3 6 4" xfId="10917" xr:uid="{0D6234ED-4108-4C9B-9922-F072CD8655CC}"/>
    <cellStyle name="40% - Accent6 3 7" xfId="2358" xr:uid="{00000000-0005-0000-0000-000057070000}"/>
    <cellStyle name="40% - Accent6 3 7 2" xfId="6666" xr:uid="{00000000-0005-0000-0000-000058070000}"/>
    <cellStyle name="40% - Accent6 3 7 3" xfId="11330" xr:uid="{CFE0B821-6DAC-4914-AAA8-EAEA0C93322C}"/>
    <cellStyle name="40% - Accent6 3 8" xfId="4600" xr:uid="{00000000-0005-0000-0000-000059070000}"/>
    <cellStyle name="40% - Accent6 3 8 2" xfId="9224" xr:uid="{DA03BD23-7DA9-4D97-B47C-8B28EA63D9F7}"/>
    <cellStyle name="40% - Accent6 3 9" xfId="8811" xr:uid="{910383B8-F5F0-42D7-994F-D1A510C156E4}"/>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3" xfId="11825" xr:uid="{1AAE3169-AAF6-4A90-82B6-B0EABFB80F0D}"/>
    <cellStyle name="40% - Accent6 4 2 3" xfId="5016" xr:uid="{00000000-0005-0000-0000-00005E070000}"/>
    <cellStyle name="40% - Accent6 4 2 4" xfId="9679" xr:uid="{0FB78724-BAA1-40BD-B8F6-5D97AAF23250}"/>
    <cellStyle name="40% - Accent6 4 3" xfId="1119" xr:uid="{00000000-0005-0000-0000-00005F070000}"/>
    <cellStyle name="40% - Accent6 4 3 2" xfId="3350" xr:uid="{00000000-0005-0000-0000-000060070000}"/>
    <cellStyle name="40% - Accent6 4 3 2 2" xfId="7574" xr:uid="{00000000-0005-0000-0000-000061070000}"/>
    <cellStyle name="40% - Accent6 4 3 2 3" xfId="12238" xr:uid="{D43D19EA-A95C-4EBF-9BF7-4726A0B8D641}"/>
    <cellStyle name="40% - Accent6 4 3 3" xfId="5429" xr:uid="{00000000-0005-0000-0000-000062070000}"/>
    <cellStyle name="40% - Accent6 4 3 4" xfId="10092" xr:uid="{D3E1721F-24CF-491D-A585-9EB3073B61F9}"/>
    <cellStyle name="40% - Accent6 4 4" xfId="1533" xr:uid="{00000000-0005-0000-0000-000063070000}"/>
    <cellStyle name="40% - Accent6 4 4 2" xfId="3763" xr:uid="{00000000-0005-0000-0000-000064070000}"/>
    <cellStyle name="40% - Accent6 4 4 2 2" xfId="7987" xr:uid="{00000000-0005-0000-0000-000065070000}"/>
    <cellStyle name="40% - Accent6 4 4 2 3" xfId="12651" xr:uid="{D1278431-BA6F-4E66-B909-6D48B5414C0B}"/>
    <cellStyle name="40% - Accent6 4 4 3" xfId="5842" xr:uid="{00000000-0005-0000-0000-000066070000}"/>
    <cellStyle name="40% - Accent6 4 4 4" xfId="10506" xr:uid="{BC82D6C1-FBDA-4DDD-A03E-FE2BFFA511FE}"/>
    <cellStyle name="40% - Accent6 4 5" xfId="1947" xr:uid="{00000000-0005-0000-0000-000067070000}"/>
    <cellStyle name="40% - Accent6 4 5 2" xfId="4176" xr:uid="{00000000-0005-0000-0000-000068070000}"/>
    <cellStyle name="40% - Accent6 4 5 2 2" xfId="8400" xr:uid="{00000000-0005-0000-0000-000069070000}"/>
    <cellStyle name="40% - Accent6 4 5 2 3" xfId="13064" xr:uid="{6E7AD5CA-4915-4D13-A646-742B7D2FC1D4}"/>
    <cellStyle name="40% - Accent6 4 5 3" xfId="6255" xr:uid="{00000000-0005-0000-0000-00006A070000}"/>
    <cellStyle name="40% - Accent6 4 5 4" xfId="10919" xr:uid="{31BA417B-FD0B-44D4-8138-53488AC853E7}"/>
    <cellStyle name="40% - Accent6 4 6" xfId="2360" xr:uid="{00000000-0005-0000-0000-00006B070000}"/>
    <cellStyle name="40% - Accent6 4 6 2" xfId="6668" xr:uid="{00000000-0005-0000-0000-00006C070000}"/>
    <cellStyle name="40% - Accent6 4 6 3" xfId="11332" xr:uid="{E85280D9-1E42-4017-83ED-E2383A12ABAE}"/>
    <cellStyle name="40% - Accent6 4 7" xfId="4602" xr:uid="{00000000-0005-0000-0000-00006D070000}"/>
    <cellStyle name="40% - Accent6 4 7 2" xfId="9226" xr:uid="{9F592ECC-9965-435E-8D37-8187B3225B91}"/>
    <cellStyle name="40% - Accent6 4 8" xfId="8813" xr:uid="{131C0A0B-25D6-4D9D-8845-7AFBA2A0B3E0}"/>
    <cellStyle name="40% - Accent6 5" xfId="659" xr:uid="{00000000-0005-0000-0000-00006E070000}"/>
    <cellStyle name="40% - Accent6 5 2" xfId="2930" xr:uid="{00000000-0005-0000-0000-00006F070000}"/>
    <cellStyle name="40% - Accent6 5 2 2" xfId="7154" xr:uid="{00000000-0005-0000-0000-000070070000}"/>
    <cellStyle name="40% - Accent6 5 2 3" xfId="11818" xr:uid="{0FDC8311-C52E-497B-9A05-4D622A456BED}"/>
    <cellStyle name="40% - Accent6 5 3" xfId="5009" xr:uid="{00000000-0005-0000-0000-000071070000}"/>
    <cellStyle name="40% - Accent6 5 4" xfId="9672" xr:uid="{9C5265FD-775F-489C-9975-9AC608942698}"/>
    <cellStyle name="40% - Accent6 6" xfId="1112" xr:uid="{00000000-0005-0000-0000-000072070000}"/>
    <cellStyle name="40% - Accent6 6 2" xfId="3343" xr:uid="{00000000-0005-0000-0000-000073070000}"/>
    <cellStyle name="40% - Accent6 6 2 2" xfId="7567" xr:uid="{00000000-0005-0000-0000-000074070000}"/>
    <cellStyle name="40% - Accent6 6 2 3" xfId="12231" xr:uid="{1840FFC1-B133-4969-8BE0-84826D58B9B6}"/>
    <cellStyle name="40% - Accent6 6 3" xfId="5422" xr:uid="{00000000-0005-0000-0000-000075070000}"/>
    <cellStyle name="40% - Accent6 6 4" xfId="10085" xr:uid="{BBDA873D-DF70-44E8-95B0-ED3E23E63D5A}"/>
    <cellStyle name="40% - Accent6 7" xfId="1526" xr:uid="{00000000-0005-0000-0000-000076070000}"/>
    <cellStyle name="40% - Accent6 7 2" xfId="3756" xr:uid="{00000000-0005-0000-0000-000077070000}"/>
    <cellStyle name="40% - Accent6 7 2 2" xfId="7980" xr:uid="{00000000-0005-0000-0000-000078070000}"/>
    <cellStyle name="40% - Accent6 7 2 3" xfId="12644" xr:uid="{A43F9003-75AD-4A19-B025-F69A9CD40D1A}"/>
    <cellStyle name="40% - Accent6 7 3" xfId="5835" xr:uid="{00000000-0005-0000-0000-000079070000}"/>
    <cellStyle name="40% - Accent6 7 4" xfId="10499" xr:uid="{F3A8DA75-6CD3-4CA4-A174-17240EF8544C}"/>
    <cellStyle name="40% - Accent6 8" xfId="1940" xr:uid="{00000000-0005-0000-0000-00007A070000}"/>
    <cellStyle name="40% - Accent6 8 2" xfId="4169" xr:uid="{00000000-0005-0000-0000-00007B070000}"/>
    <cellStyle name="40% - Accent6 8 2 2" xfId="8393" xr:uid="{00000000-0005-0000-0000-00007C070000}"/>
    <cellStyle name="40% - Accent6 8 2 3" xfId="13057" xr:uid="{A2FDEFB5-A129-4082-B295-D353FA4A183E}"/>
    <cellStyle name="40% - Accent6 8 3" xfId="6248" xr:uid="{00000000-0005-0000-0000-00007D070000}"/>
    <cellStyle name="40% - Accent6 8 4" xfId="10912" xr:uid="{04AF495C-AF4C-4024-ACAD-FD56D7ED47FA}"/>
    <cellStyle name="40% - Accent6 9" xfId="2353" xr:uid="{00000000-0005-0000-0000-00007E070000}"/>
    <cellStyle name="40% - Accent6 9 2" xfId="6661" xr:uid="{00000000-0005-0000-0000-00007F070000}"/>
    <cellStyle name="40% - Accent6 9 3" xfId="11325" xr:uid="{294FA04A-237A-4257-A686-C1500ADAF80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3" xfId="11650" xr:uid="{0B790C6A-1183-409D-8AB7-1A9A50CA39B7}"/>
    <cellStyle name="Comma 4 2 2 2 11" xfId="4603" xr:uid="{00000000-0005-0000-0000-0000A3070000}"/>
    <cellStyle name="Comma 4 2 2 2 11 2" xfId="9227" xr:uid="{4C17E2C0-2AB8-4CA3-8618-09FAD5198164}"/>
    <cellStyle name="Comma 4 2 2 2 12" xfId="8814" xr:uid="{78081F45-3533-4C26-8E5C-7018C87D04D3}"/>
    <cellStyle name="Comma 4 2 2 2 2" xfId="129" xr:uid="{00000000-0005-0000-0000-0000A4070000}"/>
    <cellStyle name="Comma 4 2 2 2 2 10" xfId="4604" xr:uid="{00000000-0005-0000-0000-0000A5070000}"/>
    <cellStyle name="Comma 4 2 2 2 2 10 2" xfId="9228" xr:uid="{5B3E41C0-8F68-473D-9A51-96C2D3B6EE5A}"/>
    <cellStyle name="Comma 4 2 2 2 2 11" xfId="8815" xr:uid="{BBEB19D7-370B-4A28-ADAA-38DC61433CAA}"/>
    <cellStyle name="Comma 4 2 2 2 2 2" xfId="130" xr:uid="{00000000-0005-0000-0000-0000A6070000}"/>
    <cellStyle name="Comma 4 2 2 2 2 2 10" xfId="8816" xr:uid="{932C3C33-1B55-4EAA-8245-B5E1BB33D1A9}"/>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3" xfId="11828" xr:uid="{6CCE8BA7-1A1E-49FE-94F4-B2AF02CC33E3}"/>
    <cellStyle name="Comma 4 2 2 2 2 2 2 3" xfId="5019" xr:uid="{00000000-0005-0000-0000-0000AA070000}"/>
    <cellStyle name="Comma 4 2 2 2 2 2 2 4" xfId="9682" xr:uid="{26539351-5521-407C-9E6D-F7D25952949C}"/>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3" xfId="12241" xr:uid="{3C97354B-5382-4029-81BF-1764ED5123F3}"/>
    <cellStyle name="Comma 4 2 2 2 2 2 3 3" xfId="5432" xr:uid="{00000000-0005-0000-0000-0000AE070000}"/>
    <cellStyle name="Comma 4 2 2 2 2 2 3 4" xfId="10095" xr:uid="{F76E60F1-9E1E-4435-8B46-566861B4105C}"/>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3" xfId="12654" xr:uid="{923586A4-EB7C-40FE-8386-CE2F4F941570}"/>
    <cellStyle name="Comma 4 2 2 2 2 2 4 3" xfId="5845" xr:uid="{00000000-0005-0000-0000-0000B2070000}"/>
    <cellStyle name="Comma 4 2 2 2 2 2 4 4" xfId="10509" xr:uid="{7BA67CBE-A514-4245-88CB-75051722E5BF}"/>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3" xfId="13067" xr:uid="{3B292E41-CDCB-4D49-9BB7-1F854B853241}"/>
    <cellStyle name="Comma 4 2 2 2 2 2 5 3" xfId="6258" xr:uid="{00000000-0005-0000-0000-0000B6070000}"/>
    <cellStyle name="Comma 4 2 2 2 2 2 5 4" xfId="10922" xr:uid="{92BEC136-86CA-452A-ADA2-09F2A1043CEB}"/>
    <cellStyle name="Comma 4 2 2 2 2 2 6" xfId="2385" xr:uid="{00000000-0005-0000-0000-0000B7070000}"/>
    <cellStyle name="Comma 4 2 2 2 2 2 6 2" xfId="6671" xr:uid="{00000000-0005-0000-0000-0000B8070000}"/>
    <cellStyle name="Comma 4 2 2 2 2 2 6 3" xfId="11335" xr:uid="{0EA1A582-1E5D-4D9C-B7E8-0ACDFBB15447}"/>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3" xfId="11652" xr:uid="{F83A0A97-2334-4A33-8ACE-FA001ED01E90}"/>
    <cellStyle name="Comma 4 2 2 2 2 2 9" xfId="4605" xr:uid="{00000000-0005-0000-0000-0000BC070000}"/>
    <cellStyle name="Comma 4 2 2 2 2 2 9 2" xfId="9229" xr:uid="{E523C3BA-5481-430A-B1BB-593B2F9ED21E}"/>
    <cellStyle name="Comma 4 2 2 2 2 3" xfId="668" xr:uid="{00000000-0005-0000-0000-0000BD070000}"/>
    <cellStyle name="Comma 4 2 2 2 2 3 2" xfId="2939" xr:uid="{00000000-0005-0000-0000-0000BE070000}"/>
    <cellStyle name="Comma 4 2 2 2 2 3 2 2" xfId="7163" xr:uid="{00000000-0005-0000-0000-0000BF070000}"/>
    <cellStyle name="Comma 4 2 2 2 2 3 2 3" xfId="11827" xr:uid="{50CEF3FD-7EB3-4C4D-AE80-AEDEF19A709C}"/>
    <cellStyle name="Comma 4 2 2 2 2 3 3" xfId="5018" xr:uid="{00000000-0005-0000-0000-0000C0070000}"/>
    <cellStyle name="Comma 4 2 2 2 2 3 4" xfId="9681" xr:uid="{17A70233-4A36-4D64-A6C4-9A92CEE87D2E}"/>
    <cellStyle name="Comma 4 2 2 2 2 4" xfId="1121" xr:uid="{00000000-0005-0000-0000-0000C1070000}"/>
    <cellStyle name="Comma 4 2 2 2 2 4 2" xfId="3352" xr:uid="{00000000-0005-0000-0000-0000C2070000}"/>
    <cellStyle name="Comma 4 2 2 2 2 4 2 2" xfId="7576" xr:uid="{00000000-0005-0000-0000-0000C3070000}"/>
    <cellStyle name="Comma 4 2 2 2 2 4 2 3" xfId="12240" xr:uid="{A2C2CE53-6648-43C9-A419-6178593EBE1D}"/>
    <cellStyle name="Comma 4 2 2 2 2 4 3" xfId="5431" xr:uid="{00000000-0005-0000-0000-0000C4070000}"/>
    <cellStyle name="Comma 4 2 2 2 2 4 4" xfId="10094" xr:uid="{CAFF5189-8E96-4C1F-BAFE-142E9FBDB395}"/>
    <cellStyle name="Comma 4 2 2 2 2 5" xfId="1535" xr:uid="{00000000-0005-0000-0000-0000C5070000}"/>
    <cellStyle name="Comma 4 2 2 2 2 5 2" xfId="3765" xr:uid="{00000000-0005-0000-0000-0000C6070000}"/>
    <cellStyle name="Comma 4 2 2 2 2 5 2 2" xfId="7989" xr:uid="{00000000-0005-0000-0000-0000C7070000}"/>
    <cellStyle name="Comma 4 2 2 2 2 5 2 3" xfId="12653" xr:uid="{AA246AEE-DAA0-4746-AE5C-80F1CC8C7B76}"/>
    <cellStyle name="Comma 4 2 2 2 2 5 3" xfId="5844" xr:uid="{00000000-0005-0000-0000-0000C8070000}"/>
    <cellStyle name="Comma 4 2 2 2 2 5 4" xfId="10508" xr:uid="{C4829A15-5DD0-4EA3-A5E1-D0BEC96C74F7}"/>
    <cellStyle name="Comma 4 2 2 2 2 6" xfId="1949" xr:uid="{00000000-0005-0000-0000-0000C9070000}"/>
    <cellStyle name="Comma 4 2 2 2 2 6 2" xfId="4178" xr:uid="{00000000-0005-0000-0000-0000CA070000}"/>
    <cellStyle name="Comma 4 2 2 2 2 6 2 2" xfId="8402" xr:uid="{00000000-0005-0000-0000-0000CB070000}"/>
    <cellStyle name="Comma 4 2 2 2 2 6 2 3" xfId="13066" xr:uid="{42138172-2039-4055-89A4-2281CF232A91}"/>
    <cellStyle name="Comma 4 2 2 2 2 6 3" xfId="6257" xr:uid="{00000000-0005-0000-0000-0000CC070000}"/>
    <cellStyle name="Comma 4 2 2 2 2 6 4" xfId="10921" xr:uid="{8FDBF2AF-D41C-4203-AB85-B429439723CB}"/>
    <cellStyle name="Comma 4 2 2 2 2 7" xfId="2384" xr:uid="{00000000-0005-0000-0000-0000CD070000}"/>
    <cellStyle name="Comma 4 2 2 2 2 7 2" xfId="6670" xr:uid="{00000000-0005-0000-0000-0000CE070000}"/>
    <cellStyle name="Comma 4 2 2 2 2 7 3" xfId="11334" xr:uid="{76A34F84-12CD-4D52-AFA6-6BEBA8F0B4A6}"/>
    <cellStyle name="Comma 4 2 2 2 2 8" xfId="2381" xr:uid="{00000000-0005-0000-0000-0000CF070000}"/>
    <cellStyle name="Comma 4 2 2 2 2 9" xfId="2762" xr:uid="{00000000-0005-0000-0000-0000D0070000}"/>
    <cellStyle name="Comma 4 2 2 2 2 9 2" xfId="6987" xr:uid="{00000000-0005-0000-0000-0000D1070000}"/>
    <cellStyle name="Comma 4 2 2 2 2 9 3" xfId="11651" xr:uid="{130CDE4C-9EAF-4758-A4EF-849A87398916}"/>
    <cellStyle name="Comma 4 2 2 2 3" xfId="131" xr:uid="{00000000-0005-0000-0000-0000D2070000}"/>
    <cellStyle name="Comma 4 2 2 2 3 10" xfId="8817" xr:uid="{12354689-DF43-4AFC-891F-27523019B3E4}"/>
    <cellStyle name="Comma 4 2 2 2 3 2" xfId="670" xr:uid="{00000000-0005-0000-0000-0000D3070000}"/>
    <cellStyle name="Comma 4 2 2 2 3 2 2" xfId="2941" xr:uid="{00000000-0005-0000-0000-0000D4070000}"/>
    <cellStyle name="Comma 4 2 2 2 3 2 2 2" xfId="7165" xr:uid="{00000000-0005-0000-0000-0000D5070000}"/>
    <cellStyle name="Comma 4 2 2 2 3 2 2 3" xfId="11829" xr:uid="{354C62ED-272A-4F36-98B0-364E096F5721}"/>
    <cellStyle name="Comma 4 2 2 2 3 2 3" xfId="5020" xr:uid="{00000000-0005-0000-0000-0000D6070000}"/>
    <cellStyle name="Comma 4 2 2 2 3 2 4" xfId="9683" xr:uid="{3219A9F2-FEDF-44E3-B621-0C79894B127A}"/>
    <cellStyle name="Comma 4 2 2 2 3 3" xfId="1123" xr:uid="{00000000-0005-0000-0000-0000D7070000}"/>
    <cellStyle name="Comma 4 2 2 2 3 3 2" xfId="3354" xr:uid="{00000000-0005-0000-0000-0000D8070000}"/>
    <cellStyle name="Comma 4 2 2 2 3 3 2 2" xfId="7578" xr:uid="{00000000-0005-0000-0000-0000D9070000}"/>
    <cellStyle name="Comma 4 2 2 2 3 3 2 3" xfId="12242" xr:uid="{CA610B1F-4632-47D1-B736-8CA627469D27}"/>
    <cellStyle name="Comma 4 2 2 2 3 3 3" xfId="5433" xr:uid="{00000000-0005-0000-0000-0000DA070000}"/>
    <cellStyle name="Comma 4 2 2 2 3 3 4" xfId="10096" xr:uid="{C345471C-9E67-44D1-86F8-639D0BC15C15}"/>
    <cellStyle name="Comma 4 2 2 2 3 4" xfId="1537" xr:uid="{00000000-0005-0000-0000-0000DB070000}"/>
    <cellStyle name="Comma 4 2 2 2 3 4 2" xfId="3767" xr:uid="{00000000-0005-0000-0000-0000DC070000}"/>
    <cellStyle name="Comma 4 2 2 2 3 4 2 2" xfId="7991" xr:uid="{00000000-0005-0000-0000-0000DD070000}"/>
    <cellStyle name="Comma 4 2 2 2 3 4 2 3" xfId="12655" xr:uid="{7DDD134E-AE55-4E94-A769-750E6DEF2411}"/>
    <cellStyle name="Comma 4 2 2 2 3 4 3" xfId="5846" xr:uid="{00000000-0005-0000-0000-0000DE070000}"/>
    <cellStyle name="Comma 4 2 2 2 3 4 4" xfId="10510" xr:uid="{6C00EC1E-34D0-43C4-B92F-57C0D7661B67}"/>
    <cellStyle name="Comma 4 2 2 2 3 5" xfId="1951" xr:uid="{00000000-0005-0000-0000-0000DF070000}"/>
    <cellStyle name="Comma 4 2 2 2 3 5 2" xfId="4180" xr:uid="{00000000-0005-0000-0000-0000E0070000}"/>
    <cellStyle name="Comma 4 2 2 2 3 5 2 2" xfId="8404" xr:uid="{00000000-0005-0000-0000-0000E1070000}"/>
    <cellStyle name="Comma 4 2 2 2 3 5 2 3" xfId="13068" xr:uid="{18B2683B-9C59-4C10-AC85-D47AB10A1C95}"/>
    <cellStyle name="Comma 4 2 2 2 3 5 3" xfId="6259" xr:uid="{00000000-0005-0000-0000-0000E2070000}"/>
    <cellStyle name="Comma 4 2 2 2 3 5 4" xfId="10923" xr:uid="{82E98CA9-11A0-4F4F-88C4-439CF1E63399}"/>
    <cellStyle name="Comma 4 2 2 2 3 6" xfId="2386" xr:uid="{00000000-0005-0000-0000-0000E3070000}"/>
    <cellStyle name="Comma 4 2 2 2 3 6 2" xfId="6672" xr:uid="{00000000-0005-0000-0000-0000E4070000}"/>
    <cellStyle name="Comma 4 2 2 2 3 6 3" xfId="11336" xr:uid="{82F61D5A-9DF9-4326-B95B-872A94302101}"/>
    <cellStyle name="Comma 4 2 2 2 3 7" xfId="2379" xr:uid="{00000000-0005-0000-0000-0000E5070000}"/>
    <cellStyle name="Comma 4 2 2 2 3 8" xfId="2764" xr:uid="{00000000-0005-0000-0000-0000E6070000}"/>
    <cellStyle name="Comma 4 2 2 2 3 8 2" xfId="6989" xr:uid="{00000000-0005-0000-0000-0000E7070000}"/>
    <cellStyle name="Comma 4 2 2 2 3 8 3" xfId="11653" xr:uid="{4C195F7E-D21C-4806-AD39-0B893FF65F66}"/>
    <cellStyle name="Comma 4 2 2 2 3 9" xfId="4606" xr:uid="{00000000-0005-0000-0000-0000E8070000}"/>
    <cellStyle name="Comma 4 2 2 2 3 9 2" xfId="9230" xr:uid="{A4C8A738-9EEC-40E4-A02D-D8D696147715}"/>
    <cellStyle name="Comma 4 2 2 2 4" xfId="667" xr:uid="{00000000-0005-0000-0000-0000E9070000}"/>
    <cellStyle name="Comma 4 2 2 2 4 2" xfId="2938" xr:uid="{00000000-0005-0000-0000-0000EA070000}"/>
    <cellStyle name="Comma 4 2 2 2 4 2 2" xfId="7162" xr:uid="{00000000-0005-0000-0000-0000EB070000}"/>
    <cellStyle name="Comma 4 2 2 2 4 2 3" xfId="11826" xr:uid="{0E932B65-716C-40E5-97A7-4063FC5B5B93}"/>
    <cellStyle name="Comma 4 2 2 2 4 3" xfId="5017" xr:uid="{00000000-0005-0000-0000-0000EC070000}"/>
    <cellStyle name="Comma 4 2 2 2 4 4" xfId="9680" xr:uid="{A5BD3B24-4438-4E44-82AE-39133DB4B79C}"/>
    <cellStyle name="Comma 4 2 2 2 5" xfId="1120" xr:uid="{00000000-0005-0000-0000-0000ED070000}"/>
    <cellStyle name="Comma 4 2 2 2 5 2" xfId="3351" xr:uid="{00000000-0005-0000-0000-0000EE070000}"/>
    <cellStyle name="Comma 4 2 2 2 5 2 2" xfId="7575" xr:uid="{00000000-0005-0000-0000-0000EF070000}"/>
    <cellStyle name="Comma 4 2 2 2 5 2 3" xfId="12239" xr:uid="{652B252E-B224-4185-ACF2-8ACA57BAD729}"/>
    <cellStyle name="Comma 4 2 2 2 5 3" xfId="5430" xr:uid="{00000000-0005-0000-0000-0000F0070000}"/>
    <cellStyle name="Comma 4 2 2 2 5 4" xfId="10093" xr:uid="{0766CF02-4CDA-4284-8B19-7E34E72094FE}"/>
    <cellStyle name="Comma 4 2 2 2 6" xfId="1534" xr:uid="{00000000-0005-0000-0000-0000F1070000}"/>
    <cellStyle name="Comma 4 2 2 2 6 2" xfId="3764" xr:uid="{00000000-0005-0000-0000-0000F2070000}"/>
    <cellStyle name="Comma 4 2 2 2 6 2 2" xfId="7988" xr:uid="{00000000-0005-0000-0000-0000F3070000}"/>
    <cellStyle name="Comma 4 2 2 2 6 2 3" xfId="12652" xr:uid="{60A8982B-E834-48E1-BBFC-CCCF0393D387}"/>
    <cellStyle name="Comma 4 2 2 2 6 3" xfId="5843" xr:uid="{00000000-0005-0000-0000-0000F4070000}"/>
    <cellStyle name="Comma 4 2 2 2 6 4" xfId="10507" xr:uid="{142917B6-F4AF-44E7-BB66-C94963AC07CD}"/>
    <cellStyle name="Comma 4 2 2 2 7" xfId="1948" xr:uid="{00000000-0005-0000-0000-0000F5070000}"/>
    <cellStyle name="Comma 4 2 2 2 7 2" xfId="4177" xr:uid="{00000000-0005-0000-0000-0000F6070000}"/>
    <cellStyle name="Comma 4 2 2 2 7 2 2" xfId="8401" xr:uid="{00000000-0005-0000-0000-0000F7070000}"/>
    <cellStyle name="Comma 4 2 2 2 7 2 3" xfId="13065" xr:uid="{8F5B66FA-C5CF-40C1-AE95-8DD22BAF2034}"/>
    <cellStyle name="Comma 4 2 2 2 7 3" xfId="6256" xr:uid="{00000000-0005-0000-0000-0000F8070000}"/>
    <cellStyle name="Comma 4 2 2 2 7 4" xfId="10920" xr:uid="{33D14423-82A7-413F-B4EF-1E41C4687FFA}"/>
    <cellStyle name="Comma 4 2 2 2 8" xfId="2383" xr:uid="{00000000-0005-0000-0000-0000F9070000}"/>
    <cellStyle name="Comma 4 2 2 2 8 2" xfId="6669" xr:uid="{00000000-0005-0000-0000-0000FA070000}"/>
    <cellStyle name="Comma 4 2 2 2 8 3" xfId="11333" xr:uid="{46C09995-E301-409A-A3FA-EF778F5D2D82}"/>
    <cellStyle name="Comma 4 2 2 2 9" xfId="2382" xr:uid="{00000000-0005-0000-0000-0000FB070000}"/>
    <cellStyle name="Comma 4 2 2 3" xfId="132" xr:uid="{00000000-0005-0000-0000-0000FC070000}"/>
    <cellStyle name="Comma 4 2 2 3 10" xfId="4607" xr:uid="{00000000-0005-0000-0000-0000FD070000}"/>
    <cellStyle name="Comma 4 2 2 3 10 2" xfId="9231" xr:uid="{A9CCFEED-8F77-4C57-8B91-23F0C02CA074}"/>
    <cellStyle name="Comma 4 2 2 3 11" xfId="8818" xr:uid="{3F4A8FF7-580E-40DD-936C-1442DE4419BA}"/>
    <cellStyle name="Comma 4 2 2 3 2" xfId="133" xr:uid="{00000000-0005-0000-0000-0000FE070000}"/>
    <cellStyle name="Comma 4 2 2 3 2 10" xfId="8819" xr:uid="{D721F41D-135B-4CA9-88EB-6A41CB0478C5}"/>
    <cellStyle name="Comma 4 2 2 3 2 2" xfId="672" xr:uid="{00000000-0005-0000-0000-0000FF070000}"/>
    <cellStyle name="Comma 4 2 2 3 2 2 2" xfId="2943" xr:uid="{00000000-0005-0000-0000-000000080000}"/>
    <cellStyle name="Comma 4 2 2 3 2 2 2 2" xfId="7167" xr:uid="{00000000-0005-0000-0000-000001080000}"/>
    <cellStyle name="Comma 4 2 2 3 2 2 2 3" xfId="11831" xr:uid="{6D41F714-3DCB-43DB-8D57-55F24449964F}"/>
    <cellStyle name="Comma 4 2 2 3 2 2 3" xfId="5022" xr:uid="{00000000-0005-0000-0000-000002080000}"/>
    <cellStyle name="Comma 4 2 2 3 2 2 4" xfId="9685" xr:uid="{F8CD5104-CF78-4FAD-A1CB-B445E9147EA7}"/>
    <cellStyle name="Comma 4 2 2 3 2 3" xfId="1125" xr:uid="{00000000-0005-0000-0000-000003080000}"/>
    <cellStyle name="Comma 4 2 2 3 2 3 2" xfId="3356" xr:uid="{00000000-0005-0000-0000-000004080000}"/>
    <cellStyle name="Comma 4 2 2 3 2 3 2 2" xfId="7580" xr:uid="{00000000-0005-0000-0000-000005080000}"/>
    <cellStyle name="Comma 4 2 2 3 2 3 2 3" xfId="12244" xr:uid="{2E5828BD-CF79-43D1-81F6-D8220D9A5317}"/>
    <cellStyle name="Comma 4 2 2 3 2 3 3" xfId="5435" xr:uid="{00000000-0005-0000-0000-000006080000}"/>
    <cellStyle name="Comma 4 2 2 3 2 3 4" xfId="10098" xr:uid="{522D8455-6221-4AC4-83B3-CA3443C1212B}"/>
    <cellStyle name="Comma 4 2 2 3 2 4" xfId="1539" xr:uid="{00000000-0005-0000-0000-000007080000}"/>
    <cellStyle name="Comma 4 2 2 3 2 4 2" xfId="3769" xr:uid="{00000000-0005-0000-0000-000008080000}"/>
    <cellStyle name="Comma 4 2 2 3 2 4 2 2" xfId="7993" xr:uid="{00000000-0005-0000-0000-000009080000}"/>
    <cellStyle name="Comma 4 2 2 3 2 4 2 3" xfId="12657" xr:uid="{F5500C13-4BCE-4501-A82D-599A6B2AF790}"/>
    <cellStyle name="Comma 4 2 2 3 2 4 3" xfId="5848" xr:uid="{00000000-0005-0000-0000-00000A080000}"/>
    <cellStyle name="Comma 4 2 2 3 2 4 4" xfId="10512" xr:uid="{0073CC9A-65F7-4651-8F86-ECE5CBADEF6B}"/>
    <cellStyle name="Comma 4 2 2 3 2 5" xfId="1953" xr:uid="{00000000-0005-0000-0000-00000B080000}"/>
    <cellStyle name="Comma 4 2 2 3 2 5 2" xfId="4182" xr:uid="{00000000-0005-0000-0000-00000C080000}"/>
    <cellStyle name="Comma 4 2 2 3 2 5 2 2" xfId="8406" xr:uid="{00000000-0005-0000-0000-00000D080000}"/>
    <cellStyle name="Comma 4 2 2 3 2 5 2 3" xfId="13070" xr:uid="{A1438A4D-B6CE-4B0C-9416-CA3AE98678A1}"/>
    <cellStyle name="Comma 4 2 2 3 2 5 3" xfId="6261" xr:uid="{00000000-0005-0000-0000-00000E080000}"/>
    <cellStyle name="Comma 4 2 2 3 2 5 4" xfId="10925" xr:uid="{0E00A067-C6A9-421E-8248-974F6A692205}"/>
    <cellStyle name="Comma 4 2 2 3 2 6" xfId="2388" xr:uid="{00000000-0005-0000-0000-00000F080000}"/>
    <cellStyle name="Comma 4 2 2 3 2 6 2" xfId="6674" xr:uid="{00000000-0005-0000-0000-000010080000}"/>
    <cellStyle name="Comma 4 2 2 3 2 6 3" xfId="11338" xr:uid="{66D0A476-C2E7-4EAD-B23A-C02AEA468A01}"/>
    <cellStyle name="Comma 4 2 2 3 2 7" xfId="2377" xr:uid="{00000000-0005-0000-0000-000011080000}"/>
    <cellStyle name="Comma 4 2 2 3 2 8" xfId="2766" xr:uid="{00000000-0005-0000-0000-000012080000}"/>
    <cellStyle name="Comma 4 2 2 3 2 8 2" xfId="6991" xr:uid="{00000000-0005-0000-0000-000013080000}"/>
    <cellStyle name="Comma 4 2 2 3 2 8 3" xfId="11655" xr:uid="{70DF9E61-B5C5-4726-A93E-F919926944EE}"/>
    <cellStyle name="Comma 4 2 2 3 2 9" xfId="4608" xr:uid="{00000000-0005-0000-0000-000014080000}"/>
    <cellStyle name="Comma 4 2 2 3 2 9 2" xfId="9232" xr:uid="{FF6B8A80-925A-495F-89A8-F4655EB169A8}"/>
    <cellStyle name="Comma 4 2 2 3 3" xfId="671" xr:uid="{00000000-0005-0000-0000-000015080000}"/>
    <cellStyle name="Comma 4 2 2 3 3 2" xfId="2942" xr:uid="{00000000-0005-0000-0000-000016080000}"/>
    <cellStyle name="Comma 4 2 2 3 3 2 2" xfId="7166" xr:uid="{00000000-0005-0000-0000-000017080000}"/>
    <cellStyle name="Comma 4 2 2 3 3 2 3" xfId="11830" xr:uid="{1B72D178-7ADD-4BA1-B2A0-13C19A3A461A}"/>
    <cellStyle name="Comma 4 2 2 3 3 3" xfId="5021" xr:uid="{00000000-0005-0000-0000-000018080000}"/>
    <cellStyle name="Comma 4 2 2 3 3 4" xfId="9684" xr:uid="{8C0FDF09-5CF3-4277-9002-4FC362B1FC51}"/>
    <cellStyle name="Comma 4 2 2 3 4" xfId="1124" xr:uid="{00000000-0005-0000-0000-000019080000}"/>
    <cellStyle name="Comma 4 2 2 3 4 2" xfId="3355" xr:uid="{00000000-0005-0000-0000-00001A080000}"/>
    <cellStyle name="Comma 4 2 2 3 4 2 2" xfId="7579" xr:uid="{00000000-0005-0000-0000-00001B080000}"/>
    <cellStyle name="Comma 4 2 2 3 4 2 3" xfId="12243" xr:uid="{D4C2C682-2F88-4BF0-9F7B-03E189F19F0A}"/>
    <cellStyle name="Comma 4 2 2 3 4 3" xfId="5434" xr:uid="{00000000-0005-0000-0000-00001C080000}"/>
    <cellStyle name="Comma 4 2 2 3 4 4" xfId="10097" xr:uid="{D5EC42A7-E7E3-4702-85FF-790A2C28AC3C}"/>
    <cellStyle name="Comma 4 2 2 3 5" xfId="1538" xr:uid="{00000000-0005-0000-0000-00001D080000}"/>
    <cellStyle name="Comma 4 2 2 3 5 2" xfId="3768" xr:uid="{00000000-0005-0000-0000-00001E080000}"/>
    <cellStyle name="Comma 4 2 2 3 5 2 2" xfId="7992" xr:uid="{00000000-0005-0000-0000-00001F080000}"/>
    <cellStyle name="Comma 4 2 2 3 5 2 3" xfId="12656" xr:uid="{AD6DD80F-7F89-429E-B2E6-AC64AD28A427}"/>
    <cellStyle name="Comma 4 2 2 3 5 3" xfId="5847" xr:uid="{00000000-0005-0000-0000-000020080000}"/>
    <cellStyle name="Comma 4 2 2 3 5 4" xfId="10511" xr:uid="{9EC45DDA-D08E-4951-8030-CCF9C1EF3482}"/>
    <cellStyle name="Comma 4 2 2 3 6" xfId="1952" xr:uid="{00000000-0005-0000-0000-000021080000}"/>
    <cellStyle name="Comma 4 2 2 3 6 2" xfId="4181" xr:uid="{00000000-0005-0000-0000-000022080000}"/>
    <cellStyle name="Comma 4 2 2 3 6 2 2" xfId="8405" xr:uid="{00000000-0005-0000-0000-000023080000}"/>
    <cellStyle name="Comma 4 2 2 3 6 2 3" xfId="13069" xr:uid="{45C2FF34-A477-4263-B452-4B0C1684528F}"/>
    <cellStyle name="Comma 4 2 2 3 6 3" xfId="6260" xr:uid="{00000000-0005-0000-0000-000024080000}"/>
    <cellStyle name="Comma 4 2 2 3 6 4" xfId="10924" xr:uid="{CAEA84E3-CAF0-46D8-A05B-EA64DA0F9D12}"/>
    <cellStyle name="Comma 4 2 2 3 7" xfId="2387" xr:uid="{00000000-0005-0000-0000-000025080000}"/>
    <cellStyle name="Comma 4 2 2 3 7 2" xfId="6673" xr:uid="{00000000-0005-0000-0000-000026080000}"/>
    <cellStyle name="Comma 4 2 2 3 7 3" xfId="11337" xr:uid="{0CD5BF84-F90F-4B04-96EF-664220B5EF85}"/>
    <cellStyle name="Comma 4 2 2 3 8" xfId="2378" xr:uid="{00000000-0005-0000-0000-000027080000}"/>
    <cellStyle name="Comma 4 2 2 3 9" xfId="2765" xr:uid="{00000000-0005-0000-0000-000028080000}"/>
    <cellStyle name="Comma 4 2 2 3 9 2" xfId="6990" xr:uid="{00000000-0005-0000-0000-000029080000}"/>
    <cellStyle name="Comma 4 2 2 3 9 3" xfId="11654" xr:uid="{2B4D907A-B569-4538-89BA-1351D194DFE9}"/>
    <cellStyle name="Comma 4 2 2 4" xfId="134" xr:uid="{00000000-0005-0000-0000-00002A080000}"/>
    <cellStyle name="Comma 4 2 2 4 10" xfId="8820" xr:uid="{F7687CAA-B012-4648-9473-ECE81C0BF2DF}"/>
    <cellStyle name="Comma 4 2 2 4 2" xfId="673" xr:uid="{00000000-0005-0000-0000-00002B080000}"/>
    <cellStyle name="Comma 4 2 2 4 2 2" xfId="2944" xr:uid="{00000000-0005-0000-0000-00002C080000}"/>
    <cellStyle name="Comma 4 2 2 4 2 2 2" xfId="7168" xr:uid="{00000000-0005-0000-0000-00002D080000}"/>
    <cellStyle name="Comma 4 2 2 4 2 2 3" xfId="11832" xr:uid="{F3A2E472-E2E6-4251-90FF-4C37B54B0A2D}"/>
    <cellStyle name="Comma 4 2 2 4 2 3" xfId="5023" xr:uid="{00000000-0005-0000-0000-00002E080000}"/>
    <cellStyle name="Comma 4 2 2 4 2 4" xfId="9686" xr:uid="{F4A1A0EB-9A59-4644-811F-1D6D0A5BC25B}"/>
    <cellStyle name="Comma 4 2 2 4 3" xfId="1126" xr:uid="{00000000-0005-0000-0000-00002F080000}"/>
    <cellStyle name="Comma 4 2 2 4 3 2" xfId="3357" xr:uid="{00000000-0005-0000-0000-000030080000}"/>
    <cellStyle name="Comma 4 2 2 4 3 2 2" xfId="7581" xr:uid="{00000000-0005-0000-0000-000031080000}"/>
    <cellStyle name="Comma 4 2 2 4 3 2 3" xfId="12245" xr:uid="{984FAB89-DE00-4856-817A-5BA9E2239A87}"/>
    <cellStyle name="Comma 4 2 2 4 3 3" xfId="5436" xr:uid="{00000000-0005-0000-0000-000032080000}"/>
    <cellStyle name="Comma 4 2 2 4 3 4" xfId="10099" xr:uid="{238B4DC4-7FC2-4332-A65B-82CACD30E5CC}"/>
    <cellStyle name="Comma 4 2 2 4 4" xfId="1540" xr:uid="{00000000-0005-0000-0000-000033080000}"/>
    <cellStyle name="Comma 4 2 2 4 4 2" xfId="3770" xr:uid="{00000000-0005-0000-0000-000034080000}"/>
    <cellStyle name="Comma 4 2 2 4 4 2 2" xfId="7994" xr:uid="{00000000-0005-0000-0000-000035080000}"/>
    <cellStyle name="Comma 4 2 2 4 4 2 3" xfId="12658" xr:uid="{094B6749-A8BF-4E7B-939B-82F2A8CFE0D7}"/>
    <cellStyle name="Comma 4 2 2 4 4 3" xfId="5849" xr:uid="{00000000-0005-0000-0000-000036080000}"/>
    <cellStyle name="Comma 4 2 2 4 4 4" xfId="10513" xr:uid="{12CC67D6-278C-4EBB-8D46-5F1474516A4C}"/>
    <cellStyle name="Comma 4 2 2 4 5" xfId="1954" xr:uid="{00000000-0005-0000-0000-000037080000}"/>
    <cellStyle name="Comma 4 2 2 4 5 2" xfId="4183" xr:uid="{00000000-0005-0000-0000-000038080000}"/>
    <cellStyle name="Comma 4 2 2 4 5 2 2" xfId="8407" xr:uid="{00000000-0005-0000-0000-000039080000}"/>
    <cellStyle name="Comma 4 2 2 4 5 2 3" xfId="13071" xr:uid="{C6B0C9DE-1CF1-4212-8997-D96F6ABD5083}"/>
    <cellStyle name="Comma 4 2 2 4 5 3" xfId="6262" xr:uid="{00000000-0005-0000-0000-00003A080000}"/>
    <cellStyle name="Comma 4 2 2 4 5 4" xfId="10926" xr:uid="{775A575E-788C-49E7-ADCD-5B9F69F0332D}"/>
    <cellStyle name="Comma 4 2 2 4 6" xfId="2389" xr:uid="{00000000-0005-0000-0000-00003B080000}"/>
    <cellStyle name="Comma 4 2 2 4 6 2" xfId="6675" xr:uid="{00000000-0005-0000-0000-00003C080000}"/>
    <cellStyle name="Comma 4 2 2 4 6 3" xfId="11339" xr:uid="{BB1ACA7D-08F0-4935-97A0-057F45978305}"/>
    <cellStyle name="Comma 4 2 2 4 7" xfId="2376" xr:uid="{00000000-0005-0000-0000-00003D080000}"/>
    <cellStyle name="Comma 4 2 2 4 8" xfId="2767" xr:uid="{00000000-0005-0000-0000-00003E080000}"/>
    <cellStyle name="Comma 4 2 2 4 8 2" xfId="6992" xr:uid="{00000000-0005-0000-0000-00003F080000}"/>
    <cellStyle name="Comma 4 2 2 4 8 3" xfId="11656" xr:uid="{B73BACCD-C992-4247-9C10-EE7B1336600C}"/>
    <cellStyle name="Comma 4 2 2 4 9" xfId="4609" xr:uid="{00000000-0005-0000-0000-000040080000}"/>
    <cellStyle name="Comma 4 2 2 4 9 2" xfId="9233" xr:uid="{EDF78C3E-3664-4AD7-84C4-4F82F7EA85A1}"/>
    <cellStyle name="Comma 4 2 2 5" xfId="135" xr:uid="{00000000-0005-0000-0000-000041080000}"/>
    <cellStyle name="Comma 4 2 2 5 10" xfId="8821" xr:uid="{35AE8C4E-4A81-4B03-8199-E80882DEAB83}"/>
    <cellStyle name="Comma 4 2 2 5 2" xfId="674" xr:uid="{00000000-0005-0000-0000-000042080000}"/>
    <cellStyle name="Comma 4 2 2 5 2 2" xfId="2945" xr:uid="{00000000-0005-0000-0000-000043080000}"/>
    <cellStyle name="Comma 4 2 2 5 2 2 2" xfId="7169" xr:uid="{00000000-0005-0000-0000-000044080000}"/>
    <cellStyle name="Comma 4 2 2 5 2 2 3" xfId="11833" xr:uid="{250343B3-96EB-45FA-B5FF-D3EA277FC5E1}"/>
    <cellStyle name="Comma 4 2 2 5 2 3" xfId="5024" xr:uid="{00000000-0005-0000-0000-000045080000}"/>
    <cellStyle name="Comma 4 2 2 5 2 4" xfId="9687" xr:uid="{88D7859D-0BBE-42B2-A3C6-721983B14619}"/>
    <cellStyle name="Comma 4 2 2 5 3" xfId="1127" xr:uid="{00000000-0005-0000-0000-000046080000}"/>
    <cellStyle name="Comma 4 2 2 5 3 2" xfId="3358" xr:uid="{00000000-0005-0000-0000-000047080000}"/>
    <cellStyle name="Comma 4 2 2 5 3 2 2" xfId="7582" xr:uid="{00000000-0005-0000-0000-000048080000}"/>
    <cellStyle name="Comma 4 2 2 5 3 2 3" xfId="12246" xr:uid="{AA399AEC-C934-4706-AE38-CB55CD929E2E}"/>
    <cellStyle name="Comma 4 2 2 5 3 3" xfId="5437" xr:uid="{00000000-0005-0000-0000-000049080000}"/>
    <cellStyle name="Comma 4 2 2 5 3 4" xfId="10100" xr:uid="{96B2A716-C742-41E0-9BB1-631862F69163}"/>
    <cellStyle name="Comma 4 2 2 5 4" xfId="1541" xr:uid="{00000000-0005-0000-0000-00004A080000}"/>
    <cellStyle name="Comma 4 2 2 5 4 2" xfId="3771" xr:uid="{00000000-0005-0000-0000-00004B080000}"/>
    <cellStyle name="Comma 4 2 2 5 4 2 2" xfId="7995" xr:uid="{00000000-0005-0000-0000-00004C080000}"/>
    <cellStyle name="Comma 4 2 2 5 4 2 3" xfId="12659" xr:uid="{ACC7767D-E0B8-47F6-BB84-CCEFF1C438DE}"/>
    <cellStyle name="Comma 4 2 2 5 4 3" xfId="5850" xr:uid="{00000000-0005-0000-0000-00004D080000}"/>
    <cellStyle name="Comma 4 2 2 5 4 4" xfId="10514" xr:uid="{19E0DE31-0094-4590-BB0A-59C5D99E1E74}"/>
    <cellStyle name="Comma 4 2 2 5 5" xfId="1955" xr:uid="{00000000-0005-0000-0000-00004E080000}"/>
    <cellStyle name="Comma 4 2 2 5 5 2" xfId="4184" xr:uid="{00000000-0005-0000-0000-00004F080000}"/>
    <cellStyle name="Comma 4 2 2 5 5 2 2" xfId="8408" xr:uid="{00000000-0005-0000-0000-000050080000}"/>
    <cellStyle name="Comma 4 2 2 5 5 2 3" xfId="13072" xr:uid="{1D4B7BF7-1210-439F-9382-62058BAF94EB}"/>
    <cellStyle name="Comma 4 2 2 5 5 3" xfId="6263" xr:uid="{00000000-0005-0000-0000-000051080000}"/>
    <cellStyle name="Comma 4 2 2 5 5 4" xfId="10927" xr:uid="{637E7F59-9D03-4BF6-8816-5E5E9FAD10AF}"/>
    <cellStyle name="Comma 4 2 2 5 6" xfId="2390" xr:uid="{00000000-0005-0000-0000-000052080000}"/>
    <cellStyle name="Comma 4 2 2 5 6 2" xfId="6676" xr:uid="{00000000-0005-0000-0000-000053080000}"/>
    <cellStyle name="Comma 4 2 2 5 6 3" xfId="11340" xr:uid="{5424E2EC-A802-498F-BFD9-4554030F68B2}"/>
    <cellStyle name="Comma 4 2 2 5 7" xfId="2375" xr:uid="{00000000-0005-0000-0000-000054080000}"/>
    <cellStyle name="Comma 4 2 2 5 8" xfId="2768" xr:uid="{00000000-0005-0000-0000-000055080000}"/>
    <cellStyle name="Comma 4 2 2 5 8 2" xfId="6993" xr:uid="{00000000-0005-0000-0000-000056080000}"/>
    <cellStyle name="Comma 4 2 2 5 8 3" xfId="11657" xr:uid="{55B036C6-5E07-4E41-A410-DE6A417C8E89}"/>
    <cellStyle name="Comma 4 2 2 5 9" xfId="4610" xr:uid="{00000000-0005-0000-0000-000057080000}"/>
    <cellStyle name="Comma 4 2 2 5 9 2" xfId="9234" xr:uid="{4389912A-C7AE-4A20-962C-5A0C1346A3D5}"/>
    <cellStyle name="Comma 4 2 3" xfId="136" xr:uid="{00000000-0005-0000-0000-000058080000}"/>
    <cellStyle name="Comma 4 2 3 10" xfId="2769" xr:uid="{00000000-0005-0000-0000-000059080000}"/>
    <cellStyle name="Comma 4 2 3 10 2" xfId="6994" xr:uid="{00000000-0005-0000-0000-00005A080000}"/>
    <cellStyle name="Comma 4 2 3 10 3" xfId="11658" xr:uid="{7A9EDB10-5A7D-48ED-A94E-A73492ECDDA0}"/>
    <cellStyle name="Comma 4 2 3 11" xfId="4611" xr:uid="{00000000-0005-0000-0000-00005B080000}"/>
    <cellStyle name="Comma 4 2 3 11 2" xfId="9235" xr:uid="{17B9B125-497B-49CF-8A8F-A60B66AD9DA2}"/>
    <cellStyle name="Comma 4 2 3 12" xfId="8822" xr:uid="{6BC458E7-073E-482D-A7D8-AD78A5DF2E10}"/>
    <cellStyle name="Comma 4 2 3 2" xfId="137" xr:uid="{00000000-0005-0000-0000-00005C080000}"/>
    <cellStyle name="Comma 4 2 3 2 10" xfId="4612" xr:uid="{00000000-0005-0000-0000-00005D080000}"/>
    <cellStyle name="Comma 4 2 3 2 10 2" xfId="9236" xr:uid="{CBA37C74-6150-4DF2-879B-CDF7FFAA8E84}"/>
    <cellStyle name="Comma 4 2 3 2 11" xfId="8823" xr:uid="{858B61E9-FAD0-4FFD-B57D-7ACAFBC978DE}"/>
    <cellStyle name="Comma 4 2 3 2 2" xfId="138" xr:uid="{00000000-0005-0000-0000-00005E080000}"/>
    <cellStyle name="Comma 4 2 3 2 2 10" xfId="8824" xr:uid="{C43AE875-C5C2-4FEC-9446-92E233C8D4B2}"/>
    <cellStyle name="Comma 4 2 3 2 2 2" xfId="677" xr:uid="{00000000-0005-0000-0000-00005F080000}"/>
    <cellStyle name="Comma 4 2 3 2 2 2 2" xfId="2948" xr:uid="{00000000-0005-0000-0000-000060080000}"/>
    <cellStyle name="Comma 4 2 3 2 2 2 2 2" xfId="7172" xr:uid="{00000000-0005-0000-0000-000061080000}"/>
    <cellStyle name="Comma 4 2 3 2 2 2 2 3" xfId="11836" xr:uid="{AD706C79-6BB8-4E59-97D0-E539B1FB8E26}"/>
    <cellStyle name="Comma 4 2 3 2 2 2 3" xfId="5027" xr:uid="{00000000-0005-0000-0000-000062080000}"/>
    <cellStyle name="Comma 4 2 3 2 2 2 4" xfId="9690" xr:uid="{580BF6D1-7A96-46AF-AA7A-B5B1AA5E8C6A}"/>
    <cellStyle name="Comma 4 2 3 2 2 3" xfId="1130" xr:uid="{00000000-0005-0000-0000-000063080000}"/>
    <cellStyle name="Comma 4 2 3 2 2 3 2" xfId="3361" xr:uid="{00000000-0005-0000-0000-000064080000}"/>
    <cellStyle name="Comma 4 2 3 2 2 3 2 2" xfId="7585" xr:uid="{00000000-0005-0000-0000-000065080000}"/>
    <cellStyle name="Comma 4 2 3 2 2 3 2 3" xfId="12249" xr:uid="{2CBCBA5C-2394-4146-9D1F-A766D77FD7A2}"/>
    <cellStyle name="Comma 4 2 3 2 2 3 3" xfId="5440" xr:uid="{00000000-0005-0000-0000-000066080000}"/>
    <cellStyle name="Comma 4 2 3 2 2 3 4" xfId="10103" xr:uid="{2570102B-A422-455C-B43A-95D85B5617FA}"/>
    <cellStyle name="Comma 4 2 3 2 2 4" xfId="1544" xr:uid="{00000000-0005-0000-0000-000067080000}"/>
    <cellStyle name="Comma 4 2 3 2 2 4 2" xfId="3774" xr:uid="{00000000-0005-0000-0000-000068080000}"/>
    <cellStyle name="Comma 4 2 3 2 2 4 2 2" xfId="7998" xr:uid="{00000000-0005-0000-0000-000069080000}"/>
    <cellStyle name="Comma 4 2 3 2 2 4 2 3" xfId="12662" xr:uid="{97B82A0B-2AF1-4CF7-9F4F-0ACDBDABE1DB}"/>
    <cellStyle name="Comma 4 2 3 2 2 4 3" xfId="5853" xr:uid="{00000000-0005-0000-0000-00006A080000}"/>
    <cellStyle name="Comma 4 2 3 2 2 4 4" xfId="10517" xr:uid="{7D0F17F6-0550-4BEA-B579-97FFE5568E1D}"/>
    <cellStyle name="Comma 4 2 3 2 2 5" xfId="1958" xr:uid="{00000000-0005-0000-0000-00006B080000}"/>
    <cellStyle name="Comma 4 2 3 2 2 5 2" xfId="4187" xr:uid="{00000000-0005-0000-0000-00006C080000}"/>
    <cellStyle name="Comma 4 2 3 2 2 5 2 2" xfId="8411" xr:uid="{00000000-0005-0000-0000-00006D080000}"/>
    <cellStyle name="Comma 4 2 3 2 2 5 2 3" xfId="13075" xr:uid="{C55925F1-CA56-4798-8099-885F82401345}"/>
    <cellStyle name="Comma 4 2 3 2 2 5 3" xfId="6266" xr:uid="{00000000-0005-0000-0000-00006E080000}"/>
    <cellStyle name="Comma 4 2 3 2 2 5 4" xfId="10930" xr:uid="{98E30DD8-9E6F-4BF4-A70D-7E5FABB62F76}"/>
    <cellStyle name="Comma 4 2 3 2 2 6" xfId="2393" xr:uid="{00000000-0005-0000-0000-00006F080000}"/>
    <cellStyle name="Comma 4 2 3 2 2 6 2" xfId="6679" xr:uid="{00000000-0005-0000-0000-000070080000}"/>
    <cellStyle name="Comma 4 2 3 2 2 6 3" xfId="11343" xr:uid="{5A98FA4A-9322-44CA-8487-CDD8A9E9638A}"/>
    <cellStyle name="Comma 4 2 3 2 2 7" xfId="2372" xr:uid="{00000000-0005-0000-0000-000071080000}"/>
    <cellStyle name="Comma 4 2 3 2 2 8" xfId="2771" xr:uid="{00000000-0005-0000-0000-000072080000}"/>
    <cellStyle name="Comma 4 2 3 2 2 8 2" xfId="6996" xr:uid="{00000000-0005-0000-0000-000073080000}"/>
    <cellStyle name="Comma 4 2 3 2 2 8 3" xfId="11660" xr:uid="{E9CBE751-ADA5-44C7-8380-E596A55D1ECE}"/>
    <cellStyle name="Comma 4 2 3 2 2 9" xfId="4613" xr:uid="{00000000-0005-0000-0000-000074080000}"/>
    <cellStyle name="Comma 4 2 3 2 2 9 2" xfId="9237" xr:uid="{48493912-F2B1-4194-AF7A-47128CE5E28A}"/>
    <cellStyle name="Comma 4 2 3 2 3" xfId="676" xr:uid="{00000000-0005-0000-0000-000075080000}"/>
    <cellStyle name="Comma 4 2 3 2 3 2" xfId="2947" xr:uid="{00000000-0005-0000-0000-000076080000}"/>
    <cellStyle name="Comma 4 2 3 2 3 2 2" xfId="7171" xr:uid="{00000000-0005-0000-0000-000077080000}"/>
    <cellStyle name="Comma 4 2 3 2 3 2 3" xfId="11835" xr:uid="{286305F1-5C44-429F-97BD-64AC36923816}"/>
    <cellStyle name="Comma 4 2 3 2 3 3" xfId="5026" xr:uid="{00000000-0005-0000-0000-000078080000}"/>
    <cellStyle name="Comma 4 2 3 2 3 4" xfId="9689" xr:uid="{2AA06382-B446-4189-A921-B9807E0B5E2B}"/>
    <cellStyle name="Comma 4 2 3 2 4" xfId="1129" xr:uid="{00000000-0005-0000-0000-000079080000}"/>
    <cellStyle name="Comma 4 2 3 2 4 2" xfId="3360" xr:uid="{00000000-0005-0000-0000-00007A080000}"/>
    <cellStyle name="Comma 4 2 3 2 4 2 2" xfId="7584" xr:uid="{00000000-0005-0000-0000-00007B080000}"/>
    <cellStyle name="Comma 4 2 3 2 4 2 3" xfId="12248" xr:uid="{E0856D98-0CA4-4D64-804C-674840CDD5FF}"/>
    <cellStyle name="Comma 4 2 3 2 4 3" xfId="5439" xr:uid="{00000000-0005-0000-0000-00007C080000}"/>
    <cellStyle name="Comma 4 2 3 2 4 4" xfId="10102" xr:uid="{BEB06B4C-688F-4FD2-9203-774F142908E3}"/>
    <cellStyle name="Comma 4 2 3 2 5" xfId="1543" xr:uid="{00000000-0005-0000-0000-00007D080000}"/>
    <cellStyle name="Comma 4 2 3 2 5 2" xfId="3773" xr:uid="{00000000-0005-0000-0000-00007E080000}"/>
    <cellStyle name="Comma 4 2 3 2 5 2 2" xfId="7997" xr:uid="{00000000-0005-0000-0000-00007F080000}"/>
    <cellStyle name="Comma 4 2 3 2 5 2 3" xfId="12661" xr:uid="{3E2FE095-E6CC-4C1F-BA37-E26D51B32E3A}"/>
    <cellStyle name="Comma 4 2 3 2 5 3" xfId="5852" xr:uid="{00000000-0005-0000-0000-000080080000}"/>
    <cellStyle name="Comma 4 2 3 2 5 4" xfId="10516" xr:uid="{2059DCDB-8696-43E5-854C-4A6BBE6F6ACE}"/>
    <cellStyle name="Comma 4 2 3 2 6" xfId="1957" xr:uid="{00000000-0005-0000-0000-000081080000}"/>
    <cellStyle name="Comma 4 2 3 2 6 2" xfId="4186" xr:uid="{00000000-0005-0000-0000-000082080000}"/>
    <cellStyle name="Comma 4 2 3 2 6 2 2" xfId="8410" xr:uid="{00000000-0005-0000-0000-000083080000}"/>
    <cellStyle name="Comma 4 2 3 2 6 2 3" xfId="13074" xr:uid="{8877BECB-1312-4CAC-B1D1-8D49F4AD6249}"/>
    <cellStyle name="Comma 4 2 3 2 6 3" xfId="6265" xr:uid="{00000000-0005-0000-0000-000084080000}"/>
    <cellStyle name="Comma 4 2 3 2 6 4" xfId="10929" xr:uid="{DA754E9C-F47F-4CC2-A8CD-2E9245BE3D94}"/>
    <cellStyle name="Comma 4 2 3 2 7" xfId="2392" xr:uid="{00000000-0005-0000-0000-000085080000}"/>
    <cellStyle name="Comma 4 2 3 2 7 2" xfId="6678" xr:uid="{00000000-0005-0000-0000-000086080000}"/>
    <cellStyle name="Comma 4 2 3 2 7 3" xfId="11342" xr:uid="{ACA20E08-0DE3-46CB-8898-E107C56698DF}"/>
    <cellStyle name="Comma 4 2 3 2 8" xfId="2373" xr:uid="{00000000-0005-0000-0000-000087080000}"/>
    <cellStyle name="Comma 4 2 3 2 9" xfId="2770" xr:uid="{00000000-0005-0000-0000-000088080000}"/>
    <cellStyle name="Comma 4 2 3 2 9 2" xfId="6995" xr:uid="{00000000-0005-0000-0000-000089080000}"/>
    <cellStyle name="Comma 4 2 3 2 9 3" xfId="11659" xr:uid="{1D88CAFC-7B44-41D9-8DA6-DD108FBBB89D}"/>
    <cellStyle name="Comma 4 2 3 3" xfId="139" xr:uid="{00000000-0005-0000-0000-00008A080000}"/>
    <cellStyle name="Comma 4 2 3 3 10" xfId="8825" xr:uid="{F101C105-DBE9-46BA-B7FE-ADEB42E6000A}"/>
    <cellStyle name="Comma 4 2 3 3 2" xfId="678" xr:uid="{00000000-0005-0000-0000-00008B080000}"/>
    <cellStyle name="Comma 4 2 3 3 2 2" xfId="2949" xr:uid="{00000000-0005-0000-0000-00008C080000}"/>
    <cellStyle name="Comma 4 2 3 3 2 2 2" xfId="7173" xr:uid="{00000000-0005-0000-0000-00008D080000}"/>
    <cellStyle name="Comma 4 2 3 3 2 2 3" xfId="11837" xr:uid="{ADCD49FF-7E2E-4F3F-AA27-E6879558461F}"/>
    <cellStyle name="Comma 4 2 3 3 2 3" xfId="5028" xr:uid="{00000000-0005-0000-0000-00008E080000}"/>
    <cellStyle name="Comma 4 2 3 3 2 4" xfId="9691" xr:uid="{E9BEE5E0-1FF5-4FA9-8A51-4D74373D7130}"/>
    <cellStyle name="Comma 4 2 3 3 3" xfId="1131" xr:uid="{00000000-0005-0000-0000-00008F080000}"/>
    <cellStyle name="Comma 4 2 3 3 3 2" xfId="3362" xr:uid="{00000000-0005-0000-0000-000090080000}"/>
    <cellStyle name="Comma 4 2 3 3 3 2 2" xfId="7586" xr:uid="{00000000-0005-0000-0000-000091080000}"/>
    <cellStyle name="Comma 4 2 3 3 3 2 3" xfId="12250" xr:uid="{10BC871C-3618-4625-A219-161FA280FBDC}"/>
    <cellStyle name="Comma 4 2 3 3 3 3" xfId="5441" xr:uid="{00000000-0005-0000-0000-000092080000}"/>
    <cellStyle name="Comma 4 2 3 3 3 4" xfId="10104" xr:uid="{24D395EA-DB71-40E7-93F6-505C03088E95}"/>
    <cellStyle name="Comma 4 2 3 3 4" xfId="1545" xr:uid="{00000000-0005-0000-0000-000093080000}"/>
    <cellStyle name="Comma 4 2 3 3 4 2" xfId="3775" xr:uid="{00000000-0005-0000-0000-000094080000}"/>
    <cellStyle name="Comma 4 2 3 3 4 2 2" xfId="7999" xr:uid="{00000000-0005-0000-0000-000095080000}"/>
    <cellStyle name="Comma 4 2 3 3 4 2 3" xfId="12663" xr:uid="{51A27FB5-CFB7-46E6-AA35-2F74F34F3F9D}"/>
    <cellStyle name="Comma 4 2 3 3 4 3" xfId="5854" xr:uid="{00000000-0005-0000-0000-000096080000}"/>
    <cellStyle name="Comma 4 2 3 3 4 4" xfId="10518" xr:uid="{AC453122-8704-4524-8A16-CE7025FF7424}"/>
    <cellStyle name="Comma 4 2 3 3 5" xfId="1959" xr:uid="{00000000-0005-0000-0000-000097080000}"/>
    <cellStyle name="Comma 4 2 3 3 5 2" xfId="4188" xr:uid="{00000000-0005-0000-0000-000098080000}"/>
    <cellStyle name="Comma 4 2 3 3 5 2 2" xfId="8412" xr:uid="{00000000-0005-0000-0000-000099080000}"/>
    <cellStyle name="Comma 4 2 3 3 5 2 3" xfId="13076" xr:uid="{8ED9E8EC-6CF7-4C4D-A93D-67222F20F250}"/>
    <cellStyle name="Comma 4 2 3 3 5 3" xfId="6267" xr:uid="{00000000-0005-0000-0000-00009A080000}"/>
    <cellStyle name="Comma 4 2 3 3 5 4" xfId="10931" xr:uid="{BB48AA4B-1ECA-40CC-B69A-E330A352EB05}"/>
    <cellStyle name="Comma 4 2 3 3 6" xfId="2394" xr:uid="{00000000-0005-0000-0000-00009B080000}"/>
    <cellStyle name="Comma 4 2 3 3 6 2" xfId="6680" xr:uid="{00000000-0005-0000-0000-00009C080000}"/>
    <cellStyle name="Comma 4 2 3 3 6 3" xfId="11344" xr:uid="{F69A889E-9086-47E4-859E-CBA5FEB513D4}"/>
    <cellStyle name="Comma 4 2 3 3 7" xfId="2371" xr:uid="{00000000-0005-0000-0000-00009D080000}"/>
    <cellStyle name="Comma 4 2 3 3 8" xfId="2772" xr:uid="{00000000-0005-0000-0000-00009E080000}"/>
    <cellStyle name="Comma 4 2 3 3 8 2" xfId="6997" xr:uid="{00000000-0005-0000-0000-00009F080000}"/>
    <cellStyle name="Comma 4 2 3 3 8 3" xfId="11661" xr:uid="{B0213593-E72C-43BE-975D-C7246D561782}"/>
    <cellStyle name="Comma 4 2 3 3 9" xfId="4614" xr:uid="{00000000-0005-0000-0000-0000A0080000}"/>
    <cellStyle name="Comma 4 2 3 3 9 2" xfId="9238" xr:uid="{36669D6B-09D0-4C7A-9906-3DBBFB2AEEAB}"/>
    <cellStyle name="Comma 4 2 3 4" xfId="675" xr:uid="{00000000-0005-0000-0000-0000A1080000}"/>
    <cellStyle name="Comma 4 2 3 4 2" xfId="2946" xr:uid="{00000000-0005-0000-0000-0000A2080000}"/>
    <cellStyle name="Comma 4 2 3 4 2 2" xfId="7170" xr:uid="{00000000-0005-0000-0000-0000A3080000}"/>
    <cellStyle name="Comma 4 2 3 4 2 3" xfId="11834" xr:uid="{15CF34FF-8226-4D39-BEED-A5F7D8D74CBA}"/>
    <cellStyle name="Comma 4 2 3 4 3" xfId="5025" xr:uid="{00000000-0005-0000-0000-0000A4080000}"/>
    <cellStyle name="Comma 4 2 3 4 4" xfId="9688" xr:uid="{B3B55333-2089-47B4-A216-B378F2A3D5B5}"/>
    <cellStyle name="Comma 4 2 3 5" xfId="1128" xr:uid="{00000000-0005-0000-0000-0000A5080000}"/>
    <cellStyle name="Comma 4 2 3 5 2" xfId="3359" xr:uid="{00000000-0005-0000-0000-0000A6080000}"/>
    <cellStyle name="Comma 4 2 3 5 2 2" xfId="7583" xr:uid="{00000000-0005-0000-0000-0000A7080000}"/>
    <cellStyle name="Comma 4 2 3 5 2 3" xfId="12247" xr:uid="{EF05065C-34B0-4EDC-916B-55403E50CAF3}"/>
    <cellStyle name="Comma 4 2 3 5 3" xfId="5438" xr:uid="{00000000-0005-0000-0000-0000A8080000}"/>
    <cellStyle name="Comma 4 2 3 5 4" xfId="10101" xr:uid="{3C1E94D5-793E-48D4-BCAC-A1FB6D0C32B2}"/>
    <cellStyle name="Comma 4 2 3 6" xfId="1542" xr:uid="{00000000-0005-0000-0000-0000A9080000}"/>
    <cellStyle name="Comma 4 2 3 6 2" xfId="3772" xr:uid="{00000000-0005-0000-0000-0000AA080000}"/>
    <cellStyle name="Comma 4 2 3 6 2 2" xfId="7996" xr:uid="{00000000-0005-0000-0000-0000AB080000}"/>
    <cellStyle name="Comma 4 2 3 6 2 3" xfId="12660" xr:uid="{340808F3-209B-4687-B4A2-C67DC0DEEFAD}"/>
    <cellStyle name="Comma 4 2 3 6 3" xfId="5851" xr:uid="{00000000-0005-0000-0000-0000AC080000}"/>
    <cellStyle name="Comma 4 2 3 6 4" xfId="10515" xr:uid="{6FCE9E91-4E70-4AB2-B31F-2790CD9F34D3}"/>
    <cellStyle name="Comma 4 2 3 7" xfId="1956" xr:uid="{00000000-0005-0000-0000-0000AD080000}"/>
    <cellStyle name="Comma 4 2 3 7 2" xfId="4185" xr:uid="{00000000-0005-0000-0000-0000AE080000}"/>
    <cellStyle name="Comma 4 2 3 7 2 2" xfId="8409" xr:uid="{00000000-0005-0000-0000-0000AF080000}"/>
    <cellStyle name="Comma 4 2 3 7 2 3" xfId="13073" xr:uid="{DA8786F5-FD2B-41AE-91B6-C5196DA4A859}"/>
    <cellStyle name="Comma 4 2 3 7 3" xfId="6264" xr:uid="{00000000-0005-0000-0000-0000B0080000}"/>
    <cellStyle name="Comma 4 2 3 7 4" xfId="10928" xr:uid="{80F6AF73-6A51-45F9-8F13-F6B1271F0FAD}"/>
    <cellStyle name="Comma 4 2 3 8" xfId="2391" xr:uid="{00000000-0005-0000-0000-0000B1080000}"/>
    <cellStyle name="Comma 4 2 3 8 2" xfId="6677" xr:uid="{00000000-0005-0000-0000-0000B2080000}"/>
    <cellStyle name="Comma 4 2 3 8 3" xfId="11341" xr:uid="{A325AB82-8D7A-437B-A72B-235928227E2F}"/>
    <cellStyle name="Comma 4 2 3 9" xfId="2374" xr:uid="{00000000-0005-0000-0000-0000B3080000}"/>
    <cellStyle name="Comma 4 2 4" xfId="140" xr:uid="{00000000-0005-0000-0000-0000B4080000}"/>
    <cellStyle name="Comma 4 2 4 10" xfId="4615" xr:uid="{00000000-0005-0000-0000-0000B5080000}"/>
    <cellStyle name="Comma 4 2 4 10 2" xfId="9239" xr:uid="{9B40C07C-8279-4E5C-9802-BC2E4DB44B83}"/>
    <cellStyle name="Comma 4 2 4 11" xfId="8826" xr:uid="{BF4B4262-28C7-416D-9903-613997B88456}"/>
    <cellStyle name="Comma 4 2 4 2" xfId="141" xr:uid="{00000000-0005-0000-0000-0000B6080000}"/>
    <cellStyle name="Comma 4 2 4 2 10" xfId="8827" xr:uid="{64760B25-2779-4C18-99F7-1BA7910B1019}"/>
    <cellStyle name="Comma 4 2 4 2 2" xfId="680" xr:uid="{00000000-0005-0000-0000-0000B7080000}"/>
    <cellStyle name="Comma 4 2 4 2 2 2" xfId="2951" xr:uid="{00000000-0005-0000-0000-0000B8080000}"/>
    <cellStyle name="Comma 4 2 4 2 2 2 2" xfId="7175" xr:uid="{00000000-0005-0000-0000-0000B9080000}"/>
    <cellStyle name="Comma 4 2 4 2 2 2 3" xfId="11839" xr:uid="{45FB459B-F08F-4D0E-845B-6234F3686AEF}"/>
    <cellStyle name="Comma 4 2 4 2 2 3" xfId="5030" xr:uid="{00000000-0005-0000-0000-0000BA080000}"/>
    <cellStyle name="Comma 4 2 4 2 2 4" xfId="9693" xr:uid="{294BAFAA-A4BA-4FCC-8CCE-0CF611363B50}"/>
    <cellStyle name="Comma 4 2 4 2 3" xfId="1133" xr:uid="{00000000-0005-0000-0000-0000BB080000}"/>
    <cellStyle name="Comma 4 2 4 2 3 2" xfId="3364" xr:uid="{00000000-0005-0000-0000-0000BC080000}"/>
    <cellStyle name="Comma 4 2 4 2 3 2 2" xfId="7588" xr:uid="{00000000-0005-0000-0000-0000BD080000}"/>
    <cellStyle name="Comma 4 2 4 2 3 2 3" xfId="12252" xr:uid="{10436BC5-9E52-412C-AF5A-B7C1C79AD7D0}"/>
    <cellStyle name="Comma 4 2 4 2 3 3" xfId="5443" xr:uid="{00000000-0005-0000-0000-0000BE080000}"/>
    <cellStyle name="Comma 4 2 4 2 3 4" xfId="10106" xr:uid="{4AABCAC9-EADA-4464-9B1B-2068DD28181C}"/>
    <cellStyle name="Comma 4 2 4 2 4" xfId="1547" xr:uid="{00000000-0005-0000-0000-0000BF080000}"/>
    <cellStyle name="Comma 4 2 4 2 4 2" xfId="3777" xr:uid="{00000000-0005-0000-0000-0000C0080000}"/>
    <cellStyle name="Comma 4 2 4 2 4 2 2" xfId="8001" xr:uid="{00000000-0005-0000-0000-0000C1080000}"/>
    <cellStyle name="Comma 4 2 4 2 4 2 3" xfId="12665" xr:uid="{1BD9C7AA-1140-42AE-BABF-92F88E3BB763}"/>
    <cellStyle name="Comma 4 2 4 2 4 3" xfId="5856" xr:uid="{00000000-0005-0000-0000-0000C2080000}"/>
    <cellStyle name="Comma 4 2 4 2 4 4" xfId="10520" xr:uid="{FC0D471D-434F-4D58-9CBE-819E3F1A1AB9}"/>
    <cellStyle name="Comma 4 2 4 2 5" xfId="1961" xr:uid="{00000000-0005-0000-0000-0000C3080000}"/>
    <cellStyle name="Comma 4 2 4 2 5 2" xfId="4190" xr:uid="{00000000-0005-0000-0000-0000C4080000}"/>
    <cellStyle name="Comma 4 2 4 2 5 2 2" xfId="8414" xr:uid="{00000000-0005-0000-0000-0000C5080000}"/>
    <cellStyle name="Comma 4 2 4 2 5 2 3" xfId="13078" xr:uid="{6FDE57B8-67FA-400B-877B-8AD311C105B9}"/>
    <cellStyle name="Comma 4 2 4 2 5 3" xfId="6269" xr:uid="{00000000-0005-0000-0000-0000C6080000}"/>
    <cellStyle name="Comma 4 2 4 2 5 4" xfId="10933" xr:uid="{9E8DA4BB-98AF-4DB0-BA55-BD66FB914BAB}"/>
    <cellStyle name="Comma 4 2 4 2 6" xfId="2396" xr:uid="{00000000-0005-0000-0000-0000C7080000}"/>
    <cellStyle name="Comma 4 2 4 2 6 2" xfId="6682" xr:uid="{00000000-0005-0000-0000-0000C8080000}"/>
    <cellStyle name="Comma 4 2 4 2 6 3" xfId="11346" xr:uid="{99DD9D18-FF38-4790-BC9F-320964ABB2B9}"/>
    <cellStyle name="Comma 4 2 4 2 7" xfId="2369" xr:uid="{00000000-0005-0000-0000-0000C9080000}"/>
    <cellStyle name="Comma 4 2 4 2 8" xfId="2774" xr:uid="{00000000-0005-0000-0000-0000CA080000}"/>
    <cellStyle name="Comma 4 2 4 2 8 2" xfId="6999" xr:uid="{00000000-0005-0000-0000-0000CB080000}"/>
    <cellStyle name="Comma 4 2 4 2 8 3" xfId="11663" xr:uid="{43CFFD5A-13CE-48F0-890E-A18D0A5F2DDC}"/>
    <cellStyle name="Comma 4 2 4 2 9" xfId="4616" xr:uid="{00000000-0005-0000-0000-0000CC080000}"/>
    <cellStyle name="Comma 4 2 4 2 9 2" xfId="9240" xr:uid="{8A9D1D59-AC01-4AD3-AFD0-39B303E297E3}"/>
    <cellStyle name="Comma 4 2 4 3" xfId="679" xr:uid="{00000000-0005-0000-0000-0000CD080000}"/>
    <cellStyle name="Comma 4 2 4 3 2" xfId="2950" xr:uid="{00000000-0005-0000-0000-0000CE080000}"/>
    <cellStyle name="Comma 4 2 4 3 2 2" xfId="7174" xr:uid="{00000000-0005-0000-0000-0000CF080000}"/>
    <cellStyle name="Comma 4 2 4 3 2 3" xfId="11838" xr:uid="{EB2C8DB5-7B5B-4918-A636-F23C4905C2FC}"/>
    <cellStyle name="Comma 4 2 4 3 3" xfId="5029" xr:uid="{00000000-0005-0000-0000-0000D0080000}"/>
    <cellStyle name="Comma 4 2 4 3 4" xfId="9692" xr:uid="{1735EAA2-6617-4095-96F5-29157E323D62}"/>
    <cellStyle name="Comma 4 2 4 4" xfId="1132" xr:uid="{00000000-0005-0000-0000-0000D1080000}"/>
    <cellStyle name="Comma 4 2 4 4 2" xfId="3363" xr:uid="{00000000-0005-0000-0000-0000D2080000}"/>
    <cellStyle name="Comma 4 2 4 4 2 2" xfId="7587" xr:uid="{00000000-0005-0000-0000-0000D3080000}"/>
    <cellStyle name="Comma 4 2 4 4 2 3" xfId="12251" xr:uid="{F1EB675E-6692-45BB-8703-928AC0488CE9}"/>
    <cellStyle name="Comma 4 2 4 4 3" xfId="5442" xr:uid="{00000000-0005-0000-0000-0000D4080000}"/>
    <cellStyle name="Comma 4 2 4 4 4" xfId="10105" xr:uid="{1E218EF5-FD43-4DD3-9CDC-01CD5C2754E1}"/>
    <cellStyle name="Comma 4 2 4 5" xfId="1546" xr:uid="{00000000-0005-0000-0000-0000D5080000}"/>
    <cellStyle name="Comma 4 2 4 5 2" xfId="3776" xr:uid="{00000000-0005-0000-0000-0000D6080000}"/>
    <cellStyle name="Comma 4 2 4 5 2 2" xfId="8000" xr:uid="{00000000-0005-0000-0000-0000D7080000}"/>
    <cellStyle name="Comma 4 2 4 5 2 3" xfId="12664" xr:uid="{408944CF-5BB8-4574-B52A-228972BB6238}"/>
    <cellStyle name="Comma 4 2 4 5 3" xfId="5855" xr:uid="{00000000-0005-0000-0000-0000D8080000}"/>
    <cellStyle name="Comma 4 2 4 5 4" xfId="10519" xr:uid="{FD05BDE5-6AFE-42C5-B63C-95C0B630F22D}"/>
    <cellStyle name="Comma 4 2 4 6" xfId="1960" xr:uid="{00000000-0005-0000-0000-0000D9080000}"/>
    <cellStyle name="Comma 4 2 4 6 2" xfId="4189" xr:uid="{00000000-0005-0000-0000-0000DA080000}"/>
    <cellStyle name="Comma 4 2 4 6 2 2" xfId="8413" xr:uid="{00000000-0005-0000-0000-0000DB080000}"/>
    <cellStyle name="Comma 4 2 4 6 2 3" xfId="13077" xr:uid="{59E295AD-4CC4-4390-BB14-C1333E1D8B98}"/>
    <cellStyle name="Comma 4 2 4 6 3" xfId="6268" xr:uid="{00000000-0005-0000-0000-0000DC080000}"/>
    <cellStyle name="Comma 4 2 4 6 4" xfId="10932" xr:uid="{9BD20489-B696-46A3-A06B-3415104DC9E5}"/>
    <cellStyle name="Comma 4 2 4 7" xfId="2395" xr:uid="{00000000-0005-0000-0000-0000DD080000}"/>
    <cellStyle name="Comma 4 2 4 7 2" xfId="6681" xr:uid="{00000000-0005-0000-0000-0000DE080000}"/>
    <cellStyle name="Comma 4 2 4 7 3" xfId="11345" xr:uid="{11645B60-C44A-452F-9682-4DD9D168CF46}"/>
    <cellStyle name="Comma 4 2 4 8" xfId="2370" xr:uid="{00000000-0005-0000-0000-0000DF080000}"/>
    <cellStyle name="Comma 4 2 4 9" xfId="2773" xr:uid="{00000000-0005-0000-0000-0000E0080000}"/>
    <cellStyle name="Comma 4 2 4 9 2" xfId="6998" xr:uid="{00000000-0005-0000-0000-0000E1080000}"/>
    <cellStyle name="Comma 4 2 4 9 3" xfId="11662" xr:uid="{87235BAE-1F68-4BF0-831C-CE2BDAE67BFE}"/>
    <cellStyle name="Comma 4 2 5" xfId="142" xr:uid="{00000000-0005-0000-0000-0000E2080000}"/>
    <cellStyle name="Comma 4 2 5 10" xfId="8828" xr:uid="{F98745D6-F04E-4E1D-B304-135BA230F21C}"/>
    <cellStyle name="Comma 4 2 5 2" xfId="681" xr:uid="{00000000-0005-0000-0000-0000E3080000}"/>
    <cellStyle name="Comma 4 2 5 2 2" xfId="2952" xr:uid="{00000000-0005-0000-0000-0000E4080000}"/>
    <cellStyle name="Comma 4 2 5 2 2 2" xfId="7176" xr:uid="{00000000-0005-0000-0000-0000E5080000}"/>
    <cellStyle name="Comma 4 2 5 2 2 3" xfId="11840" xr:uid="{26828388-9E05-4D49-97F8-6060F250C6B5}"/>
    <cellStyle name="Comma 4 2 5 2 3" xfId="5031" xr:uid="{00000000-0005-0000-0000-0000E6080000}"/>
    <cellStyle name="Comma 4 2 5 2 4" xfId="9694" xr:uid="{933155AD-E9E4-4673-8953-EFFFF968A8BD}"/>
    <cellStyle name="Comma 4 2 5 3" xfId="1134" xr:uid="{00000000-0005-0000-0000-0000E7080000}"/>
    <cellStyle name="Comma 4 2 5 3 2" xfId="3365" xr:uid="{00000000-0005-0000-0000-0000E8080000}"/>
    <cellStyle name="Comma 4 2 5 3 2 2" xfId="7589" xr:uid="{00000000-0005-0000-0000-0000E9080000}"/>
    <cellStyle name="Comma 4 2 5 3 2 3" xfId="12253" xr:uid="{3B55019F-F76F-4EBF-A671-B54DF8D1E0F7}"/>
    <cellStyle name="Comma 4 2 5 3 3" xfId="5444" xr:uid="{00000000-0005-0000-0000-0000EA080000}"/>
    <cellStyle name="Comma 4 2 5 3 4" xfId="10107" xr:uid="{EA38F47A-034E-4164-A8F4-DC0285E6B115}"/>
    <cellStyle name="Comma 4 2 5 4" xfId="1548" xr:uid="{00000000-0005-0000-0000-0000EB080000}"/>
    <cellStyle name="Comma 4 2 5 4 2" xfId="3778" xr:uid="{00000000-0005-0000-0000-0000EC080000}"/>
    <cellStyle name="Comma 4 2 5 4 2 2" xfId="8002" xr:uid="{00000000-0005-0000-0000-0000ED080000}"/>
    <cellStyle name="Comma 4 2 5 4 2 3" xfId="12666" xr:uid="{9F1228F3-9686-4639-B673-799AF432EBB0}"/>
    <cellStyle name="Comma 4 2 5 4 3" xfId="5857" xr:uid="{00000000-0005-0000-0000-0000EE080000}"/>
    <cellStyle name="Comma 4 2 5 4 4" xfId="10521" xr:uid="{ECD5DE33-C4B9-450D-ADDC-BF96AEA1E034}"/>
    <cellStyle name="Comma 4 2 5 5" xfId="1962" xr:uid="{00000000-0005-0000-0000-0000EF080000}"/>
    <cellStyle name="Comma 4 2 5 5 2" xfId="4191" xr:uid="{00000000-0005-0000-0000-0000F0080000}"/>
    <cellStyle name="Comma 4 2 5 5 2 2" xfId="8415" xr:uid="{00000000-0005-0000-0000-0000F1080000}"/>
    <cellStyle name="Comma 4 2 5 5 2 3" xfId="13079" xr:uid="{F825E789-D297-4F1F-A892-E0CEFFE0EABC}"/>
    <cellStyle name="Comma 4 2 5 5 3" xfId="6270" xr:uid="{00000000-0005-0000-0000-0000F2080000}"/>
    <cellStyle name="Comma 4 2 5 5 4" xfId="10934" xr:uid="{BF8DAE0B-598E-4264-8381-0B2AF55DDA06}"/>
    <cellStyle name="Comma 4 2 5 6" xfId="2397" xr:uid="{00000000-0005-0000-0000-0000F3080000}"/>
    <cellStyle name="Comma 4 2 5 6 2" xfId="6683" xr:uid="{00000000-0005-0000-0000-0000F4080000}"/>
    <cellStyle name="Comma 4 2 5 6 3" xfId="11347" xr:uid="{95F6D277-0C9F-44DD-B20B-57F3205690BF}"/>
    <cellStyle name="Comma 4 2 5 7" xfId="2368" xr:uid="{00000000-0005-0000-0000-0000F5080000}"/>
    <cellStyle name="Comma 4 2 5 8" xfId="2775" xr:uid="{00000000-0005-0000-0000-0000F6080000}"/>
    <cellStyle name="Comma 4 2 5 8 2" xfId="7000" xr:uid="{00000000-0005-0000-0000-0000F7080000}"/>
    <cellStyle name="Comma 4 2 5 8 3" xfId="11664" xr:uid="{7AE388B5-EDC8-43A9-BBEF-B3D379309642}"/>
    <cellStyle name="Comma 4 2 5 9" xfId="4617" xr:uid="{00000000-0005-0000-0000-0000F8080000}"/>
    <cellStyle name="Comma 4 2 5 9 2" xfId="9241" xr:uid="{652AB54F-3E14-480A-A120-3018F2C864C7}"/>
    <cellStyle name="Comma 4 2 6" xfId="143" xr:uid="{00000000-0005-0000-0000-0000F9080000}"/>
    <cellStyle name="Comma 4 2 6 10" xfId="8829" xr:uid="{DE4CED10-92CE-418C-ABD9-535F61CF46CD}"/>
    <cellStyle name="Comma 4 2 6 2" xfId="682" xr:uid="{00000000-0005-0000-0000-0000FA080000}"/>
    <cellStyle name="Comma 4 2 6 2 2" xfId="2953" xr:uid="{00000000-0005-0000-0000-0000FB080000}"/>
    <cellStyle name="Comma 4 2 6 2 2 2" xfId="7177" xr:uid="{00000000-0005-0000-0000-0000FC080000}"/>
    <cellStyle name="Comma 4 2 6 2 2 3" xfId="11841" xr:uid="{DEA1F7EE-004E-45D9-88AC-5DE23E3D4BB5}"/>
    <cellStyle name="Comma 4 2 6 2 3" xfId="5032" xr:uid="{00000000-0005-0000-0000-0000FD080000}"/>
    <cellStyle name="Comma 4 2 6 2 4" xfId="9695" xr:uid="{BFD01722-1A71-4320-AEF9-BFE510F90C59}"/>
    <cellStyle name="Comma 4 2 6 3" xfId="1135" xr:uid="{00000000-0005-0000-0000-0000FE080000}"/>
    <cellStyle name="Comma 4 2 6 3 2" xfId="3366" xr:uid="{00000000-0005-0000-0000-0000FF080000}"/>
    <cellStyle name="Comma 4 2 6 3 2 2" xfId="7590" xr:uid="{00000000-0005-0000-0000-000000090000}"/>
    <cellStyle name="Comma 4 2 6 3 2 3" xfId="12254" xr:uid="{A304B16A-5C32-4A21-94EC-8CB6E09CAC7D}"/>
    <cellStyle name="Comma 4 2 6 3 3" xfId="5445" xr:uid="{00000000-0005-0000-0000-000001090000}"/>
    <cellStyle name="Comma 4 2 6 3 4" xfId="10108" xr:uid="{8515FFDD-E354-4FCC-A2F0-DF7BB013490B}"/>
    <cellStyle name="Comma 4 2 6 4" xfId="1549" xr:uid="{00000000-0005-0000-0000-000002090000}"/>
    <cellStyle name="Comma 4 2 6 4 2" xfId="3779" xr:uid="{00000000-0005-0000-0000-000003090000}"/>
    <cellStyle name="Comma 4 2 6 4 2 2" xfId="8003" xr:uid="{00000000-0005-0000-0000-000004090000}"/>
    <cellStyle name="Comma 4 2 6 4 2 3" xfId="12667" xr:uid="{83EB0892-7DD7-4ADA-A7A4-1AF3357DD7F6}"/>
    <cellStyle name="Comma 4 2 6 4 3" xfId="5858" xr:uid="{00000000-0005-0000-0000-000005090000}"/>
    <cellStyle name="Comma 4 2 6 4 4" xfId="10522" xr:uid="{F2DF306A-8AAA-498D-9685-DF2C70448687}"/>
    <cellStyle name="Comma 4 2 6 5" xfId="1963" xr:uid="{00000000-0005-0000-0000-000006090000}"/>
    <cellStyle name="Comma 4 2 6 5 2" xfId="4192" xr:uid="{00000000-0005-0000-0000-000007090000}"/>
    <cellStyle name="Comma 4 2 6 5 2 2" xfId="8416" xr:uid="{00000000-0005-0000-0000-000008090000}"/>
    <cellStyle name="Comma 4 2 6 5 2 3" xfId="13080" xr:uid="{8771711E-22FC-4A82-958F-494C3BC19923}"/>
    <cellStyle name="Comma 4 2 6 5 3" xfId="6271" xr:uid="{00000000-0005-0000-0000-000009090000}"/>
    <cellStyle name="Comma 4 2 6 5 4" xfId="10935" xr:uid="{C00EE85D-F6FA-4A3F-B759-C855290DA6F2}"/>
    <cellStyle name="Comma 4 2 6 6" xfId="2398" xr:uid="{00000000-0005-0000-0000-00000A090000}"/>
    <cellStyle name="Comma 4 2 6 6 2" xfId="6684" xr:uid="{00000000-0005-0000-0000-00000B090000}"/>
    <cellStyle name="Comma 4 2 6 6 3" xfId="11348" xr:uid="{9AC4E13D-655A-4A3F-AB63-8FBCF7E64D71}"/>
    <cellStyle name="Comma 4 2 6 7" xfId="2367" xr:uid="{00000000-0005-0000-0000-00000C090000}"/>
    <cellStyle name="Comma 4 2 6 8" xfId="2776" xr:uid="{00000000-0005-0000-0000-00000D090000}"/>
    <cellStyle name="Comma 4 2 6 8 2" xfId="7001" xr:uid="{00000000-0005-0000-0000-00000E090000}"/>
    <cellStyle name="Comma 4 2 6 8 3" xfId="11665" xr:uid="{340BC983-B767-4FD6-90B0-06AD5E03C378}"/>
    <cellStyle name="Comma 4 2 6 9" xfId="4618" xr:uid="{00000000-0005-0000-0000-00000F090000}"/>
    <cellStyle name="Comma 4 2 6 9 2" xfId="9242" xr:uid="{DD9DB3A9-87DE-4F43-A5C2-4CC64A6E44F4}"/>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3" xfId="11666" xr:uid="{881FA125-5693-4D47-8845-2E7202C62811}"/>
    <cellStyle name="Comma 4 3 2 11" xfId="4619" xr:uid="{00000000-0005-0000-0000-000014090000}"/>
    <cellStyle name="Comma 4 3 2 11 2" xfId="9243" xr:uid="{A8822878-2943-4FF8-B90E-E8781B4C892A}"/>
    <cellStyle name="Comma 4 3 2 12" xfId="8830" xr:uid="{BF23CA9E-769D-4D72-BA94-344835582B0F}"/>
    <cellStyle name="Comma 4 3 2 2" xfId="146" xr:uid="{00000000-0005-0000-0000-000015090000}"/>
    <cellStyle name="Comma 4 3 2 2 10" xfId="4620" xr:uid="{00000000-0005-0000-0000-000016090000}"/>
    <cellStyle name="Comma 4 3 2 2 10 2" xfId="9244" xr:uid="{2AF4E6B2-66E4-4093-A5D6-CEE12C9DF6D4}"/>
    <cellStyle name="Comma 4 3 2 2 11" xfId="8831" xr:uid="{0FB09F61-98B8-4A7D-9AB0-A17BB13BFD76}"/>
    <cellStyle name="Comma 4 3 2 2 2" xfId="147" xr:uid="{00000000-0005-0000-0000-000017090000}"/>
    <cellStyle name="Comma 4 3 2 2 2 10" xfId="8832" xr:uid="{E196C099-442C-4B8C-8F19-9C47249C6191}"/>
    <cellStyle name="Comma 4 3 2 2 2 2" xfId="685" xr:uid="{00000000-0005-0000-0000-000018090000}"/>
    <cellStyle name="Comma 4 3 2 2 2 2 2" xfId="2956" xr:uid="{00000000-0005-0000-0000-000019090000}"/>
    <cellStyle name="Comma 4 3 2 2 2 2 2 2" xfId="7180" xr:uid="{00000000-0005-0000-0000-00001A090000}"/>
    <cellStyle name="Comma 4 3 2 2 2 2 2 3" xfId="11844" xr:uid="{D4E53ABA-8D94-4D6E-825F-25235EDE75BA}"/>
    <cellStyle name="Comma 4 3 2 2 2 2 3" xfId="5035" xr:uid="{00000000-0005-0000-0000-00001B090000}"/>
    <cellStyle name="Comma 4 3 2 2 2 2 4" xfId="9698" xr:uid="{4C6DAF2B-24C8-495E-91AF-0BB425AD2DE4}"/>
    <cellStyle name="Comma 4 3 2 2 2 3" xfId="1138" xr:uid="{00000000-0005-0000-0000-00001C090000}"/>
    <cellStyle name="Comma 4 3 2 2 2 3 2" xfId="3369" xr:uid="{00000000-0005-0000-0000-00001D090000}"/>
    <cellStyle name="Comma 4 3 2 2 2 3 2 2" xfId="7593" xr:uid="{00000000-0005-0000-0000-00001E090000}"/>
    <cellStyle name="Comma 4 3 2 2 2 3 2 3" xfId="12257" xr:uid="{BD14D1C6-28F2-4515-9361-29D92C76710D}"/>
    <cellStyle name="Comma 4 3 2 2 2 3 3" xfId="5448" xr:uid="{00000000-0005-0000-0000-00001F090000}"/>
    <cellStyle name="Comma 4 3 2 2 2 3 4" xfId="10111" xr:uid="{F64DA5B6-CE11-4A37-AE2C-A3984D01E1EA}"/>
    <cellStyle name="Comma 4 3 2 2 2 4" xfId="1552" xr:uid="{00000000-0005-0000-0000-000020090000}"/>
    <cellStyle name="Comma 4 3 2 2 2 4 2" xfId="3782" xr:uid="{00000000-0005-0000-0000-000021090000}"/>
    <cellStyle name="Comma 4 3 2 2 2 4 2 2" xfId="8006" xr:uid="{00000000-0005-0000-0000-000022090000}"/>
    <cellStyle name="Comma 4 3 2 2 2 4 2 3" xfId="12670" xr:uid="{B20E86D3-D2BC-4AD3-8DF5-036BA8DCB0DB}"/>
    <cellStyle name="Comma 4 3 2 2 2 4 3" xfId="5861" xr:uid="{00000000-0005-0000-0000-000023090000}"/>
    <cellStyle name="Comma 4 3 2 2 2 4 4" xfId="10525" xr:uid="{B20CD779-37B9-4F18-A58B-423D4F7B1D37}"/>
    <cellStyle name="Comma 4 3 2 2 2 5" xfId="1966" xr:uid="{00000000-0005-0000-0000-000024090000}"/>
    <cellStyle name="Comma 4 3 2 2 2 5 2" xfId="4195" xr:uid="{00000000-0005-0000-0000-000025090000}"/>
    <cellStyle name="Comma 4 3 2 2 2 5 2 2" xfId="8419" xr:uid="{00000000-0005-0000-0000-000026090000}"/>
    <cellStyle name="Comma 4 3 2 2 2 5 2 3" xfId="13083" xr:uid="{D067240A-3E03-407B-8D70-322071C6EE10}"/>
    <cellStyle name="Comma 4 3 2 2 2 5 3" xfId="6274" xr:uid="{00000000-0005-0000-0000-000027090000}"/>
    <cellStyle name="Comma 4 3 2 2 2 5 4" xfId="10938" xr:uid="{AF0523BE-036D-4B54-92F6-DAA620C0109B}"/>
    <cellStyle name="Comma 4 3 2 2 2 6" xfId="2401" xr:uid="{00000000-0005-0000-0000-000028090000}"/>
    <cellStyle name="Comma 4 3 2 2 2 6 2" xfId="6687" xr:uid="{00000000-0005-0000-0000-000029090000}"/>
    <cellStyle name="Comma 4 3 2 2 2 6 3" xfId="11351" xr:uid="{4F52CEC0-4C93-4C7A-A8F7-4F8A4D2FEE07}"/>
    <cellStyle name="Comma 4 3 2 2 2 7" xfId="2364" xr:uid="{00000000-0005-0000-0000-00002A090000}"/>
    <cellStyle name="Comma 4 3 2 2 2 8" xfId="2779" xr:uid="{00000000-0005-0000-0000-00002B090000}"/>
    <cellStyle name="Comma 4 3 2 2 2 8 2" xfId="7004" xr:uid="{00000000-0005-0000-0000-00002C090000}"/>
    <cellStyle name="Comma 4 3 2 2 2 8 3" xfId="11668" xr:uid="{B8839BF2-A220-4A74-8778-C38C0C66B70B}"/>
    <cellStyle name="Comma 4 3 2 2 2 9" xfId="4621" xr:uid="{00000000-0005-0000-0000-00002D090000}"/>
    <cellStyle name="Comma 4 3 2 2 2 9 2" xfId="9245" xr:uid="{39344E76-B1D5-429B-AB38-E82852B97B8D}"/>
    <cellStyle name="Comma 4 3 2 2 3" xfId="684" xr:uid="{00000000-0005-0000-0000-00002E090000}"/>
    <cellStyle name="Comma 4 3 2 2 3 2" xfId="2955" xr:uid="{00000000-0005-0000-0000-00002F090000}"/>
    <cellStyle name="Comma 4 3 2 2 3 2 2" xfId="7179" xr:uid="{00000000-0005-0000-0000-000030090000}"/>
    <cellStyle name="Comma 4 3 2 2 3 2 3" xfId="11843" xr:uid="{2616AF4C-45F5-4C03-B293-226889B5036E}"/>
    <cellStyle name="Comma 4 3 2 2 3 3" xfId="5034" xr:uid="{00000000-0005-0000-0000-000031090000}"/>
    <cellStyle name="Comma 4 3 2 2 3 4" xfId="9697" xr:uid="{2B1A4857-976F-40A3-90D8-A0B076E44D64}"/>
    <cellStyle name="Comma 4 3 2 2 4" xfId="1137" xr:uid="{00000000-0005-0000-0000-000032090000}"/>
    <cellStyle name="Comma 4 3 2 2 4 2" xfId="3368" xr:uid="{00000000-0005-0000-0000-000033090000}"/>
    <cellStyle name="Comma 4 3 2 2 4 2 2" xfId="7592" xr:uid="{00000000-0005-0000-0000-000034090000}"/>
    <cellStyle name="Comma 4 3 2 2 4 2 3" xfId="12256" xr:uid="{AB2749A7-953E-446F-BDA8-C08F655F8873}"/>
    <cellStyle name="Comma 4 3 2 2 4 3" xfId="5447" xr:uid="{00000000-0005-0000-0000-000035090000}"/>
    <cellStyle name="Comma 4 3 2 2 4 4" xfId="10110" xr:uid="{43046F4A-DC7F-4E7A-B038-BB1827A1E858}"/>
    <cellStyle name="Comma 4 3 2 2 5" xfId="1551" xr:uid="{00000000-0005-0000-0000-000036090000}"/>
    <cellStyle name="Comma 4 3 2 2 5 2" xfId="3781" xr:uid="{00000000-0005-0000-0000-000037090000}"/>
    <cellStyle name="Comma 4 3 2 2 5 2 2" xfId="8005" xr:uid="{00000000-0005-0000-0000-000038090000}"/>
    <cellStyle name="Comma 4 3 2 2 5 2 3" xfId="12669" xr:uid="{29CB5B17-ADEF-4403-96BD-737F450EC201}"/>
    <cellStyle name="Comma 4 3 2 2 5 3" xfId="5860" xr:uid="{00000000-0005-0000-0000-000039090000}"/>
    <cellStyle name="Comma 4 3 2 2 5 4" xfId="10524" xr:uid="{030F3B50-4C75-4133-ADBC-0D0D30C1F80A}"/>
    <cellStyle name="Comma 4 3 2 2 6" xfId="1965" xr:uid="{00000000-0005-0000-0000-00003A090000}"/>
    <cellStyle name="Comma 4 3 2 2 6 2" xfId="4194" xr:uid="{00000000-0005-0000-0000-00003B090000}"/>
    <cellStyle name="Comma 4 3 2 2 6 2 2" xfId="8418" xr:uid="{00000000-0005-0000-0000-00003C090000}"/>
    <cellStyle name="Comma 4 3 2 2 6 2 3" xfId="13082" xr:uid="{E47E8ACD-426E-47D6-9C2D-71899C34D0D0}"/>
    <cellStyle name="Comma 4 3 2 2 6 3" xfId="6273" xr:uid="{00000000-0005-0000-0000-00003D090000}"/>
    <cellStyle name="Comma 4 3 2 2 6 4" xfId="10937" xr:uid="{A87A7B87-8BAD-4328-967F-7655F8F64450}"/>
    <cellStyle name="Comma 4 3 2 2 7" xfId="2400" xr:uid="{00000000-0005-0000-0000-00003E090000}"/>
    <cellStyle name="Comma 4 3 2 2 7 2" xfId="6686" xr:uid="{00000000-0005-0000-0000-00003F090000}"/>
    <cellStyle name="Comma 4 3 2 2 7 3" xfId="11350" xr:uid="{17C0926D-6C20-473F-B6C8-DC7CBB0A43C6}"/>
    <cellStyle name="Comma 4 3 2 2 8" xfId="2365" xr:uid="{00000000-0005-0000-0000-000040090000}"/>
    <cellStyle name="Comma 4 3 2 2 9" xfId="2778" xr:uid="{00000000-0005-0000-0000-000041090000}"/>
    <cellStyle name="Comma 4 3 2 2 9 2" xfId="7003" xr:uid="{00000000-0005-0000-0000-000042090000}"/>
    <cellStyle name="Comma 4 3 2 2 9 3" xfId="11667" xr:uid="{2BEC9BF8-C686-4592-B3C7-B12F9A08CD7A}"/>
    <cellStyle name="Comma 4 3 2 3" xfId="148" xr:uid="{00000000-0005-0000-0000-000043090000}"/>
    <cellStyle name="Comma 4 3 2 3 10" xfId="8833" xr:uid="{F2027D42-0BF4-498F-B7B4-449B95A2F833}"/>
    <cellStyle name="Comma 4 3 2 3 2" xfId="686" xr:uid="{00000000-0005-0000-0000-000044090000}"/>
    <cellStyle name="Comma 4 3 2 3 2 2" xfId="2957" xr:uid="{00000000-0005-0000-0000-000045090000}"/>
    <cellStyle name="Comma 4 3 2 3 2 2 2" xfId="7181" xr:uid="{00000000-0005-0000-0000-000046090000}"/>
    <cellStyle name="Comma 4 3 2 3 2 2 3" xfId="11845" xr:uid="{CDF283C6-AAC6-4A48-B4AA-E117B4AF4054}"/>
    <cellStyle name="Comma 4 3 2 3 2 3" xfId="5036" xr:uid="{00000000-0005-0000-0000-000047090000}"/>
    <cellStyle name="Comma 4 3 2 3 2 4" xfId="9699" xr:uid="{5219FEB3-7393-459F-A0F0-00D319F3D9C6}"/>
    <cellStyle name="Comma 4 3 2 3 3" xfId="1139" xr:uid="{00000000-0005-0000-0000-000048090000}"/>
    <cellStyle name="Comma 4 3 2 3 3 2" xfId="3370" xr:uid="{00000000-0005-0000-0000-000049090000}"/>
    <cellStyle name="Comma 4 3 2 3 3 2 2" xfId="7594" xr:uid="{00000000-0005-0000-0000-00004A090000}"/>
    <cellStyle name="Comma 4 3 2 3 3 2 3" xfId="12258" xr:uid="{F933EBF9-1709-41FF-BD14-65AB0080FD62}"/>
    <cellStyle name="Comma 4 3 2 3 3 3" xfId="5449" xr:uid="{00000000-0005-0000-0000-00004B090000}"/>
    <cellStyle name="Comma 4 3 2 3 3 4" xfId="10112" xr:uid="{B2ECBD3B-02D2-403E-BA40-E52104C994CC}"/>
    <cellStyle name="Comma 4 3 2 3 4" xfId="1553" xr:uid="{00000000-0005-0000-0000-00004C090000}"/>
    <cellStyle name="Comma 4 3 2 3 4 2" xfId="3783" xr:uid="{00000000-0005-0000-0000-00004D090000}"/>
    <cellStyle name="Comma 4 3 2 3 4 2 2" xfId="8007" xr:uid="{00000000-0005-0000-0000-00004E090000}"/>
    <cellStyle name="Comma 4 3 2 3 4 2 3" xfId="12671" xr:uid="{005C130B-E9CF-4438-89EF-9C9B3C326335}"/>
    <cellStyle name="Comma 4 3 2 3 4 3" xfId="5862" xr:uid="{00000000-0005-0000-0000-00004F090000}"/>
    <cellStyle name="Comma 4 3 2 3 4 4" xfId="10526" xr:uid="{55FEBAD6-2EFE-4052-BFE3-467567F2DBD9}"/>
    <cellStyle name="Comma 4 3 2 3 5" xfId="1967" xr:uid="{00000000-0005-0000-0000-000050090000}"/>
    <cellStyle name="Comma 4 3 2 3 5 2" xfId="4196" xr:uid="{00000000-0005-0000-0000-000051090000}"/>
    <cellStyle name="Comma 4 3 2 3 5 2 2" xfId="8420" xr:uid="{00000000-0005-0000-0000-000052090000}"/>
    <cellStyle name="Comma 4 3 2 3 5 2 3" xfId="13084" xr:uid="{2BD5EB96-C9D9-485B-A716-FF3CB9B6C70C}"/>
    <cellStyle name="Comma 4 3 2 3 5 3" xfId="6275" xr:uid="{00000000-0005-0000-0000-000053090000}"/>
    <cellStyle name="Comma 4 3 2 3 5 4" xfId="10939" xr:uid="{A6EB8757-2759-46C1-AEA8-253FC4CF5A1B}"/>
    <cellStyle name="Comma 4 3 2 3 6" xfId="2402" xr:uid="{00000000-0005-0000-0000-000054090000}"/>
    <cellStyle name="Comma 4 3 2 3 6 2" xfId="6688" xr:uid="{00000000-0005-0000-0000-000055090000}"/>
    <cellStyle name="Comma 4 3 2 3 6 3" xfId="11352" xr:uid="{C4844D8F-4F98-458C-974B-957AFF6BAEFF}"/>
    <cellStyle name="Comma 4 3 2 3 7" xfId="2363" xr:uid="{00000000-0005-0000-0000-000056090000}"/>
    <cellStyle name="Comma 4 3 2 3 8" xfId="2780" xr:uid="{00000000-0005-0000-0000-000057090000}"/>
    <cellStyle name="Comma 4 3 2 3 8 2" xfId="7005" xr:uid="{00000000-0005-0000-0000-000058090000}"/>
    <cellStyle name="Comma 4 3 2 3 8 3" xfId="11669" xr:uid="{50DF43EA-6825-446F-A64E-1E0C80850449}"/>
    <cellStyle name="Comma 4 3 2 3 9" xfId="4622" xr:uid="{00000000-0005-0000-0000-000059090000}"/>
    <cellStyle name="Comma 4 3 2 3 9 2" xfId="9246" xr:uid="{821B393D-3100-45EF-8F4A-C9F75B6067FE}"/>
    <cellStyle name="Comma 4 3 2 4" xfId="683" xr:uid="{00000000-0005-0000-0000-00005A090000}"/>
    <cellStyle name="Comma 4 3 2 4 2" xfId="2954" xr:uid="{00000000-0005-0000-0000-00005B090000}"/>
    <cellStyle name="Comma 4 3 2 4 2 2" xfId="7178" xr:uid="{00000000-0005-0000-0000-00005C090000}"/>
    <cellStyle name="Comma 4 3 2 4 2 3" xfId="11842" xr:uid="{85DFFB27-0284-4072-96BC-A6E5CADB8616}"/>
    <cellStyle name="Comma 4 3 2 4 3" xfId="5033" xr:uid="{00000000-0005-0000-0000-00005D090000}"/>
    <cellStyle name="Comma 4 3 2 4 4" xfId="9696" xr:uid="{C67141F4-D72F-414F-87E8-7019ED8F8EE0}"/>
    <cellStyle name="Comma 4 3 2 5" xfId="1136" xr:uid="{00000000-0005-0000-0000-00005E090000}"/>
    <cellStyle name="Comma 4 3 2 5 2" xfId="3367" xr:uid="{00000000-0005-0000-0000-00005F090000}"/>
    <cellStyle name="Comma 4 3 2 5 2 2" xfId="7591" xr:uid="{00000000-0005-0000-0000-000060090000}"/>
    <cellStyle name="Comma 4 3 2 5 2 3" xfId="12255" xr:uid="{8242F602-A593-4627-87A5-6D22F22517CD}"/>
    <cellStyle name="Comma 4 3 2 5 3" xfId="5446" xr:uid="{00000000-0005-0000-0000-000061090000}"/>
    <cellStyle name="Comma 4 3 2 5 4" xfId="10109" xr:uid="{1EA62845-87D6-41CD-8B00-FC2D5992F655}"/>
    <cellStyle name="Comma 4 3 2 6" xfId="1550" xr:uid="{00000000-0005-0000-0000-000062090000}"/>
    <cellStyle name="Comma 4 3 2 6 2" xfId="3780" xr:uid="{00000000-0005-0000-0000-000063090000}"/>
    <cellStyle name="Comma 4 3 2 6 2 2" xfId="8004" xr:uid="{00000000-0005-0000-0000-000064090000}"/>
    <cellStyle name="Comma 4 3 2 6 2 3" xfId="12668" xr:uid="{01D39330-17E5-46B0-859F-BF6817428B12}"/>
    <cellStyle name="Comma 4 3 2 6 3" xfId="5859" xr:uid="{00000000-0005-0000-0000-000065090000}"/>
    <cellStyle name="Comma 4 3 2 6 4" xfId="10523" xr:uid="{69EAA66A-D183-4668-8D56-444784DC4BBF}"/>
    <cellStyle name="Comma 4 3 2 7" xfId="1964" xr:uid="{00000000-0005-0000-0000-000066090000}"/>
    <cellStyle name="Comma 4 3 2 7 2" xfId="4193" xr:uid="{00000000-0005-0000-0000-000067090000}"/>
    <cellStyle name="Comma 4 3 2 7 2 2" xfId="8417" xr:uid="{00000000-0005-0000-0000-000068090000}"/>
    <cellStyle name="Comma 4 3 2 7 2 3" xfId="13081" xr:uid="{DA4FD91F-97DF-4F51-8710-7CD63DDD6589}"/>
    <cellStyle name="Comma 4 3 2 7 3" xfId="6272" xr:uid="{00000000-0005-0000-0000-000069090000}"/>
    <cellStyle name="Comma 4 3 2 7 4" xfId="10936" xr:uid="{1E9B3D27-8EA6-4926-BC72-BD419DAD597F}"/>
    <cellStyle name="Comma 4 3 2 8" xfId="2399" xr:uid="{00000000-0005-0000-0000-00006A090000}"/>
    <cellStyle name="Comma 4 3 2 8 2" xfId="6685" xr:uid="{00000000-0005-0000-0000-00006B090000}"/>
    <cellStyle name="Comma 4 3 2 8 3" xfId="11349" xr:uid="{566EE558-A0D6-41BD-BCC1-DD2620F2C345}"/>
    <cellStyle name="Comma 4 3 2 9" xfId="2366" xr:uid="{00000000-0005-0000-0000-00006C090000}"/>
    <cellStyle name="Comma 4 3 3" xfId="149" xr:uid="{00000000-0005-0000-0000-00006D090000}"/>
    <cellStyle name="Comma 4 3 3 10" xfId="4623" xr:uid="{00000000-0005-0000-0000-00006E090000}"/>
    <cellStyle name="Comma 4 3 3 10 2" xfId="9247" xr:uid="{FF5B3A54-AB7C-434D-B4B2-C7084AABB44D}"/>
    <cellStyle name="Comma 4 3 3 11" xfId="8834" xr:uid="{9AA487D7-218E-4789-A05C-B1DB8A35BC8C}"/>
    <cellStyle name="Comma 4 3 3 2" xfId="150" xr:uid="{00000000-0005-0000-0000-00006F090000}"/>
    <cellStyle name="Comma 4 3 3 2 10" xfId="8835" xr:uid="{E0A33716-5DC8-44AA-B604-29FF9A40C890}"/>
    <cellStyle name="Comma 4 3 3 2 2" xfId="688" xr:uid="{00000000-0005-0000-0000-000070090000}"/>
    <cellStyle name="Comma 4 3 3 2 2 2" xfId="2959" xr:uid="{00000000-0005-0000-0000-000071090000}"/>
    <cellStyle name="Comma 4 3 3 2 2 2 2" xfId="7183" xr:uid="{00000000-0005-0000-0000-000072090000}"/>
    <cellStyle name="Comma 4 3 3 2 2 2 3" xfId="11847" xr:uid="{9F78FBE3-20A2-4DB0-BA48-B0A05EEAC95A}"/>
    <cellStyle name="Comma 4 3 3 2 2 3" xfId="5038" xr:uid="{00000000-0005-0000-0000-000073090000}"/>
    <cellStyle name="Comma 4 3 3 2 2 4" xfId="9701" xr:uid="{7EAF67AC-DFBB-4C28-94BE-D569C1474740}"/>
    <cellStyle name="Comma 4 3 3 2 3" xfId="1141" xr:uid="{00000000-0005-0000-0000-000074090000}"/>
    <cellStyle name="Comma 4 3 3 2 3 2" xfId="3372" xr:uid="{00000000-0005-0000-0000-000075090000}"/>
    <cellStyle name="Comma 4 3 3 2 3 2 2" xfId="7596" xr:uid="{00000000-0005-0000-0000-000076090000}"/>
    <cellStyle name="Comma 4 3 3 2 3 2 3" xfId="12260" xr:uid="{74C64F76-B324-43BA-97E3-4CEBFE5D04A2}"/>
    <cellStyle name="Comma 4 3 3 2 3 3" xfId="5451" xr:uid="{00000000-0005-0000-0000-000077090000}"/>
    <cellStyle name="Comma 4 3 3 2 3 4" xfId="10114" xr:uid="{F8A56272-9E8A-4F8E-98FA-1A44441E05CB}"/>
    <cellStyle name="Comma 4 3 3 2 4" xfId="1555" xr:uid="{00000000-0005-0000-0000-000078090000}"/>
    <cellStyle name="Comma 4 3 3 2 4 2" xfId="3785" xr:uid="{00000000-0005-0000-0000-000079090000}"/>
    <cellStyle name="Comma 4 3 3 2 4 2 2" xfId="8009" xr:uid="{00000000-0005-0000-0000-00007A090000}"/>
    <cellStyle name="Comma 4 3 3 2 4 2 3" xfId="12673" xr:uid="{6B50EEC5-458B-41FF-9B59-DDC377AF21C6}"/>
    <cellStyle name="Comma 4 3 3 2 4 3" xfId="5864" xr:uid="{00000000-0005-0000-0000-00007B090000}"/>
    <cellStyle name="Comma 4 3 3 2 4 4" xfId="10528" xr:uid="{0FAC8C38-2892-43BD-B3F3-0B02FB01169C}"/>
    <cellStyle name="Comma 4 3 3 2 5" xfId="1969" xr:uid="{00000000-0005-0000-0000-00007C090000}"/>
    <cellStyle name="Comma 4 3 3 2 5 2" xfId="4198" xr:uid="{00000000-0005-0000-0000-00007D090000}"/>
    <cellStyle name="Comma 4 3 3 2 5 2 2" xfId="8422" xr:uid="{00000000-0005-0000-0000-00007E090000}"/>
    <cellStyle name="Comma 4 3 3 2 5 2 3" xfId="13086" xr:uid="{DDB2F216-E2DC-48C4-91E1-B548BE992C33}"/>
    <cellStyle name="Comma 4 3 3 2 5 3" xfId="6277" xr:uid="{00000000-0005-0000-0000-00007F090000}"/>
    <cellStyle name="Comma 4 3 3 2 5 4" xfId="10941" xr:uid="{F60382C5-63C9-4FDE-88BC-02299C98B10D}"/>
    <cellStyle name="Comma 4 3 3 2 6" xfId="2404" xr:uid="{00000000-0005-0000-0000-000080090000}"/>
    <cellStyle name="Comma 4 3 3 2 6 2" xfId="6690" xr:uid="{00000000-0005-0000-0000-000081090000}"/>
    <cellStyle name="Comma 4 3 3 2 6 3" xfId="11354" xr:uid="{BA81AF25-8D29-4690-AED2-936E66B84749}"/>
    <cellStyle name="Comma 4 3 3 2 7" xfId="2361" xr:uid="{00000000-0005-0000-0000-000082090000}"/>
    <cellStyle name="Comma 4 3 3 2 8" xfId="2782" xr:uid="{00000000-0005-0000-0000-000083090000}"/>
    <cellStyle name="Comma 4 3 3 2 8 2" xfId="7007" xr:uid="{00000000-0005-0000-0000-000084090000}"/>
    <cellStyle name="Comma 4 3 3 2 8 3" xfId="11671" xr:uid="{9EF01164-46F1-40F1-A52F-A588E835CF4C}"/>
    <cellStyle name="Comma 4 3 3 2 9" xfId="4624" xr:uid="{00000000-0005-0000-0000-000085090000}"/>
    <cellStyle name="Comma 4 3 3 2 9 2" xfId="9248" xr:uid="{88BDC252-0BCF-415C-829E-4705A597F8C2}"/>
    <cellStyle name="Comma 4 3 3 3" xfId="687" xr:uid="{00000000-0005-0000-0000-000086090000}"/>
    <cellStyle name="Comma 4 3 3 3 2" xfId="2958" xr:uid="{00000000-0005-0000-0000-000087090000}"/>
    <cellStyle name="Comma 4 3 3 3 2 2" xfId="7182" xr:uid="{00000000-0005-0000-0000-000088090000}"/>
    <cellStyle name="Comma 4 3 3 3 2 3" xfId="11846" xr:uid="{9D17B2EA-72A8-45D3-8320-07B1965FD132}"/>
    <cellStyle name="Comma 4 3 3 3 3" xfId="5037" xr:uid="{00000000-0005-0000-0000-000089090000}"/>
    <cellStyle name="Comma 4 3 3 3 4" xfId="9700" xr:uid="{4EB373D7-CDC3-4AE9-86C7-A0333F0335AF}"/>
    <cellStyle name="Comma 4 3 3 4" xfId="1140" xr:uid="{00000000-0005-0000-0000-00008A090000}"/>
    <cellStyle name="Comma 4 3 3 4 2" xfId="3371" xr:uid="{00000000-0005-0000-0000-00008B090000}"/>
    <cellStyle name="Comma 4 3 3 4 2 2" xfId="7595" xr:uid="{00000000-0005-0000-0000-00008C090000}"/>
    <cellStyle name="Comma 4 3 3 4 2 3" xfId="12259" xr:uid="{0378850E-CE89-4F52-8853-F3736915BB38}"/>
    <cellStyle name="Comma 4 3 3 4 3" xfId="5450" xr:uid="{00000000-0005-0000-0000-00008D090000}"/>
    <cellStyle name="Comma 4 3 3 4 4" xfId="10113" xr:uid="{D0C9D5A9-9B67-4C7F-B5F0-ECC6F4D20770}"/>
    <cellStyle name="Comma 4 3 3 5" xfId="1554" xr:uid="{00000000-0005-0000-0000-00008E090000}"/>
    <cellStyle name="Comma 4 3 3 5 2" xfId="3784" xr:uid="{00000000-0005-0000-0000-00008F090000}"/>
    <cellStyle name="Comma 4 3 3 5 2 2" xfId="8008" xr:uid="{00000000-0005-0000-0000-000090090000}"/>
    <cellStyle name="Comma 4 3 3 5 2 3" xfId="12672" xr:uid="{93F8BCD6-6C7C-4CDC-9999-9B1A08893EE9}"/>
    <cellStyle name="Comma 4 3 3 5 3" xfId="5863" xr:uid="{00000000-0005-0000-0000-000091090000}"/>
    <cellStyle name="Comma 4 3 3 5 4" xfId="10527" xr:uid="{8B2F9385-8C17-4874-8638-8FB7D6D848FA}"/>
    <cellStyle name="Comma 4 3 3 6" xfId="1968" xr:uid="{00000000-0005-0000-0000-000092090000}"/>
    <cellStyle name="Comma 4 3 3 6 2" xfId="4197" xr:uid="{00000000-0005-0000-0000-000093090000}"/>
    <cellStyle name="Comma 4 3 3 6 2 2" xfId="8421" xr:uid="{00000000-0005-0000-0000-000094090000}"/>
    <cellStyle name="Comma 4 3 3 6 2 3" xfId="13085" xr:uid="{A1D9E103-3BE6-429D-B102-876491D9B6B6}"/>
    <cellStyle name="Comma 4 3 3 6 3" xfId="6276" xr:uid="{00000000-0005-0000-0000-000095090000}"/>
    <cellStyle name="Comma 4 3 3 6 4" xfId="10940" xr:uid="{0C3297AD-8209-4B3D-80E4-6AEF500344B5}"/>
    <cellStyle name="Comma 4 3 3 7" xfId="2403" xr:uid="{00000000-0005-0000-0000-000096090000}"/>
    <cellStyle name="Comma 4 3 3 7 2" xfId="6689" xr:uid="{00000000-0005-0000-0000-000097090000}"/>
    <cellStyle name="Comma 4 3 3 7 3" xfId="11353" xr:uid="{050B4356-019D-4879-847D-E2888E4B5F07}"/>
    <cellStyle name="Comma 4 3 3 8" xfId="2362" xr:uid="{00000000-0005-0000-0000-000098090000}"/>
    <cellStyle name="Comma 4 3 3 9" xfId="2781" xr:uid="{00000000-0005-0000-0000-000099090000}"/>
    <cellStyle name="Comma 4 3 3 9 2" xfId="7006" xr:uid="{00000000-0005-0000-0000-00009A090000}"/>
    <cellStyle name="Comma 4 3 3 9 3" xfId="11670" xr:uid="{EA42AD4A-0610-4FCB-A137-9F47C1AB3F12}"/>
    <cellStyle name="Comma 4 3 4" xfId="151" xr:uid="{00000000-0005-0000-0000-00009B090000}"/>
    <cellStyle name="Comma 4 3 4 10" xfId="8836" xr:uid="{67755637-7C29-472B-9AED-393216203FE4}"/>
    <cellStyle name="Comma 4 3 4 2" xfId="689" xr:uid="{00000000-0005-0000-0000-00009C090000}"/>
    <cellStyle name="Comma 4 3 4 2 2" xfId="2960" xr:uid="{00000000-0005-0000-0000-00009D090000}"/>
    <cellStyle name="Comma 4 3 4 2 2 2" xfId="7184" xr:uid="{00000000-0005-0000-0000-00009E090000}"/>
    <cellStyle name="Comma 4 3 4 2 2 3" xfId="11848" xr:uid="{5B061F68-4852-4B39-AF13-5F43BF1D7000}"/>
    <cellStyle name="Comma 4 3 4 2 3" xfId="5039" xr:uid="{00000000-0005-0000-0000-00009F090000}"/>
    <cellStyle name="Comma 4 3 4 2 4" xfId="9702" xr:uid="{C5BA2D3C-9B2A-4E80-B068-AFF067562D36}"/>
    <cellStyle name="Comma 4 3 4 3" xfId="1142" xr:uid="{00000000-0005-0000-0000-0000A0090000}"/>
    <cellStyle name="Comma 4 3 4 3 2" xfId="3373" xr:uid="{00000000-0005-0000-0000-0000A1090000}"/>
    <cellStyle name="Comma 4 3 4 3 2 2" xfId="7597" xr:uid="{00000000-0005-0000-0000-0000A2090000}"/>
    <cellStyle name="Comma 4 3 4 3 2 3" xfId="12261" xr:uid="{698960DC-68BC-4926-807C-FED0E33E0C20}"/>
    <cellStyle name="Comma 4 3 4 3 3" xfId="5452" xr:uid="{00000000-0005-0000-0000-0000A3090000}"/>
    <cellStyle name="Comma 4 3 4 3 4" xfId="10115" xr:uid="{3D16B2CA-90D4-4A26-834D-D83FFE872049}"/>
    <cellStyle name="Comma 4 3 4 4" xfId="1556" xr:uid="{00000000-0005-0000-0000-0000A4090000}"/>
    <cellStyle name="Comma 4 3 4 4 2" xfId="3786" xr:uid="{00000000-0005-0000-0000-0000A5090000}"/>
    <cellStyle name="Comma 4 3 4 4 2 2" xfId="8010" xr:uid="{00000000-0005-0000-0000-0000A6090000}"/>
    <cellStyle name="Comma 4 3 4 4 2 3" xfId="12674" xr:uid="{EF78671B-FC0B-4AA1-912D-5FECCD97D7B0}"/>
    <cellStyle name="Comma 4 3 4 4 3" xfId="5865" xr:uid="{00000000-0005-0000-0000-0000A7090000}"/>
    <cellStyle name="Comma 4 3 4 4 4" xfId="10529" xr:uid="{3561B97D-473A-428C-AB65-66C787B3BF39}"/>
    <cellStyle name="Comma 4 3 4 5" xfId="1970" xr:uid="{00000000-0005-0000-0000-0000A8090000}"/>
    <cellStyle name="Comma 4 3 4 5 2" xfId="4199" xr:uid="{00000000-0005-0000-0000-0000A9090000}"/>
    <cellStyle name="Comma 4 3 4 5 2 2" xfId="8423" xr:uid="{00000000-0005-0000-0000-0000AA090000}"/>
    <cellStyle name="Comma 4 3 4 5 2 3" xfId="13087" xr:uid="{6E0CD09B-3915-4B2A-9791-E52A11B7492A}"/>
    <cellStyle name="Comma 4 3 4 5 3" xfId="6278" xr:uid="{00000000-0005-0000-0000-0000AB090000}"/>
    <cellStyle name="Comma 4 3 4 5 4" xfId="10942" xr:uid="{34B826DC-8652-4213-8A88-3B2414D33F84}"/>
    <cellStyle name="Comma 4 3 4 6" xfId="2405" xr:uid="{00000000-0005-0000-0000-0000AC090000}"/>
    <cellStyle name="Comma 4 3 4 6 2" xfId="6691" xr:uid="{00000000-0005-0000-0000-0000AD090000}"/>
    <cellStyle name="Comma 4 3 4 6 3" xfId="11355" xr:uid="{14422CD1-A0D1-4E5D-B861-C6919700704B}"/>
    <cellStyle name="Comma 4 3 4 7" xfId="2701" xr:uid="{00000000-0005-0000-0000-0000AE090000}"/>
    <cellStyle name="Comma 4 3 4 8" xfId="2783" xr:uid="{00000000-0005-0000-0000-0000AF090000}"/>
    <cellStyle name="Comma 4 3 4 8 2" xfId="7008" xr:uid="{00000000-0005-0000-0000-0000B0090000}"/>
    <cellStyle name="Comma 4 3 4 8 3" xfId="11672" xr:uid="{045821C4-F39F-46A0-9378-2E0E928EB899}"/>
    <cellStyle name="Comma 4 3 4 9" xfId="4625" xr:uid="{00000000-0005-0000-0000-0000B1090000}"/>
    <cellStyle name="Comma 4 3 4 9 2" xfId="9249" xr:uid="{359B64FF-74C6-4386-BDEE-C9A73067BA62}"/>
    <cellStyle name="Comma 4 3 5" xfId="152" xr:uid="{00000000-0005-0000-0000-0000B2090000}"/>
    <cellStyle name="Comma 4 3 5 10" xfId="8837" xr:uid="{B115AFEA-CF64-4404-91CA-089979A7A3A1}"/>
    <cellStyle name="Comma 4 3 5 2" xfId="690" xr:uid="{00000000-0005-0000-0000-0000B3090000}"/>
    <cellStyle name="Comma 4 3 5 2 2" xfId="2961" xr:uid="{00000000-0005-0000-0000-0000B4090000}"/>
    <cellStyle name="Comma 4 3 5 2 2 2" xfId="7185" xr:uid="{00000000-0005-0000-0000-0000B5090000}"/>
    <cellStyle name="Comma 4 3 5 2 2 3" xfId="11849" xr:uid="{6D9F5CB4-AB8F-4CB7-A277-84F1B2BA706E}"/>
    <cellStyle name="Comma 4 3 5 2 3" xfId="5040" xr:uid="{00000000-0005-0000-0000-0000B6090000}"/>
    <cellStyle name="Comma 4 3 5 2 4" xfId="9703" xr:uid="{8A92B3E5-2EE6-40AC-889C-86D6A7AA2EE9}"/>
    <cellStyle name="Comma 4 3 5 3" xfId="1143" xr:uid="{00000000-0005-0000-0000-0000B7090000}"/>
    <cellStyle name="Comma 4 3 5 3 2" xfId="3374" xr:uid="{00000000-0005-0000-0000-0000B8090000}"/>
    <cellStyle name="Comma 4 3 5 3 2 2" xfId="7598" xr:uid="{00000000-0005-0000-0000-0000B9090000}"/>
    <cellStyle name="Comma 4 3 5 3 2 3" xfId="12262" xr:uid="{246AB9CF-3783-4BFE-81E0-D459B2B07AF9}"/>
    <cellStyle name="Comma 4 3 5 3 3" xfId="5453" xr:uid="{00000000-0005-0000-0000-0000BA090000}"/>
    <cellStyle name="Comma 4 3 5 3 4" xfId="10116" xr:uid="{D5C833A8-6669-49D8-9789-70FE6F46FBFD}"/>
    <cellStyle name="Comma 4 3 5 4" xfId="1557" xr:uid="{00000000-0005-0000-0000-0000BB090000}"/>
    <cellStyle name="Comma 4 3 5 4 2" xfId="3787" xr:uid="{00000000-0005-0000-0000-0000BC090000}"/>
    <cellStyle name="Comma 4 3 5 4 2 2" xfId="8011" xr:uid="{00000000-0005-0000-0000-0000BD090000}"/>
    <cellStyle name="Comma 4 3 5 4 2 3" xfId="12675" xr:uid="{7BE1F415-FB0D-4B3E-BA2A-C46AD1E84965}"/>
    <cellStyle name="Comma 4 3 5 4 3" xfId="5866" xr:uid="{00000000-0005-0000-0000-0000BE090000}"/>
    <cellStyle name="Comma 4 3 5 4 4" xfId="10530" xr:uid="{F8280B88-0CC8-4B39-8925-CE1FF85E72FE}"/>
    <cellStyle name="Comma 4 3 5 5" xfId="1971" xr:uid="{00000000-0005-0000-0000-0000BF090000}"/>
    <cellStyle name="Comma 4 3 5 5 2" xfId="4200" xr:uid="{00000000-0005-0000-0000-0000C0090000}"/>
    <cellStyle name="Comma 4 3 5 5 2 2" xfId="8424" xr:uid="{00000000-0005-0000-0000-0000C1090000}"/>
    <cellStyle name="Comma 4 3 5 5 2 3" xfId="13088" xr:uid="{4FF9B68C-FD22-48AB-AA6D-350AC5B9A48C}"/>
    <cellStyle name="Comma 4 3 5 5 3" xfId="6279" xr:uid="{00000000-0005-0000-0000-0000C2090000}"/>
    <cellStyle name="Comma 4 3 5 5 4" xfId="10943" xr:uid="{7A25E202-D89C-4541-9255-B8D5B80326D4}"/>
    <cellStyle name="Comma 4 3 5 6" xfId="2406" xr:uid="{00000000-0005-0000-0000-0000C3090000}"/>
    <cellStyle name="Comma 4 3 5 6 2" xfId="6692" xr:uid="{00000000-0005-0000-0000-0000C4090000}"/>
    <cellStyle name="Comma 4 3 5 6 3" xfId="11356" xr:uid="{E8A70135-7184-443A-B241-27CDB8943961}"/>
    <cellStyle name="Comma 4 3 5 7" xfId="2702" xr:uid="{00000000-0005-0000-0000-0000C5090000}"/>
    <cellStyle name="Comma 4 3 5 8" xfId="2784" xr:uid="{00000000-0005-0000-0000-0000C6090000}"/>
    <cellStyle name="Comma 4 3 5 8 2" xfId="7009" xr:uid="{00000000-0005-0000-0000-0000C7090000}"/>
    <cellStyle name="Comma 4 3 5 8 3" xfId="11673" xr:uid="{FADF245D-7123-4F65-AE68-9013263FA449}"/>
    <cellStyle name="Comma 4 3 5 9" xfId="4626" xr:uid="{00000000-0005-0000-0000-0000C8090000}"/>
    <cellStyle name="Comma 4 3 5 9 2" xfId="9250" xr:uid="{75C2FD2C-B2C9-440F-A668-00DA70A7E57E}"/>
    <cellStyle name="Comma 4 4" xfId="153" xr:uid="{00000000-0005-0000-0000-0000C9090000}"/>
    <cellStyle name="Comma 4 4 10" xfId="2785" xr:uid="{00000000-0005-0000-0000-0000CA090000}"/>
    <cellStyle name="Comma 4 4 10 2" xfId="7010" xr:uid="{00000000-0005-0000-0000-0000CB090000}"/>
    <cellStyle name="Comma 4 4 10 3" xfId="11674" xr:uid="{715F12AD-488C-4837-B596-63A1B7D0957F}"/>
    <cellStyle name="Comma 4 4 11" xfId="4627" xr:uid="{00000000-0005-0000-0000-0000CC090000}"/>
    <cellStyle name="Comma 4 4 11 2" xfId="9251" xr:uid="{E81B5FCD-2877-4A5C-8535-60322425C651}"/>
    <cellStyle name="Comma 4 4 12" xfId="8838" xr:uid="{ADA1B408-04D2-47D4-A41C-1E4955C2B144}"/>
    <cellStyle name="Comma 4 4 2" xfId="154" xr:uid="{00000000-0005-0000-0000-0000CD090000}"/>
    <cellStyle name="Comma 4 4 2 10" xfId="4628" xr:uid="{00000000-0005-0000-0000-0000CE090000}"/>
    <cellStyle name="Comma 4 4 2 10 2" xfId="9252" xr:uid="{FCBAA6F4-D18D-4F1D-AE33-254A5B5C06AE}"/>
    <cellStyle name="Comma 4 4 2 11" xfId="8839" xr:uid="{0A19067D-AB61-4E00-8B6D-DB2C6A4F2B18}"/>
    <cellStyle name="Comma 4 4 2 2" xfId="155" xr:uid="{00000000-0005-0000-0000-0000CF090000}"/>
    <cellStyle name="Comma 4 4 2 2 10" xfId="8840" xr:uid="{57A310D2-C263-46CA-8EB5-D638D8D524E0}"/>
    <cellStyle name="Comma 4 4 2 2 2" xfId="693" xr:uid="{00000000-0005-0000-0000-0000D0090000}"/>
    <cellStyle name="Comma 4 4 2 2 2 2" xfId="2964" xr:uid="{00000000-0005-0000-0000-0000D1090000}"/>
    <cellStyle name="Comma 4 4 2 2 2 2 2" xfId="7188" xr:uid="{00000000-0005-0000-0000-0000D2090000}"/>
    <cellStyle name="Comma 4 4 2 2 2 2 3" xfId="11852" xr:uid="{DF46FAF4-8123-4BF9-9B5D-83AE75870D2A}"/>
    <cellStyle name="Comma 4 4 2 2 2 3" xfId="5043" xr:uid="{00000000-0005-0000-0000-0000D3090000}"/>
    <cellStyle name="Comma 4 4 2 2 2 4" xfId="9706" xr:uid="{A5ACE078-CF2C-4E47-8180-4EAEF8343CDE}"/>
    <cellStyle name="Comma 4 4 2 2 3" xfId="1146" xr:uid="{00000000-0005-0000-0000-0000D4090000}"/>
    <cellStyle name="Comma 4 4 2 2 3 2" xfId="3377" xr:uid="{00000000-0005-0000-0000-0000D5090000}"/>
    <cellStyle name="Comma 4 4 2 2 3 2 2" xfId="7601" xr:uid="{00000000-0005-0000-0000-0000D6090000}"/>
    <cellStyle name="Comma 4 4 2 2 3 2 3" xfId="12265" xr:uid="{C926862C-9229-4DE2-8311-744424907C00}"/>
    <cellStyle name="Comma 4 4 2 2 3 3" xfId="5456" xr:uid="{00000000-0005-0000-0000-0000D7090000}"/>
    <cellStyle name="Comma 4 4 2 2 3 4" xfId="10119" xr:uid="{88B83500-851F-4F00-AF65-C17D5EA7BE2A}"/>
    <cellStyle name="Comma 4 4 2 2 4" xfId="1560" xr:uid="{00000000-0005-0000-0000-0000D8090000}"/>
    <cellStyle name="Comma 4 4 2 2 4 2" xfId="3790" xr:uid="{00000000-0005-0000-0000-0000D9090000}"/>
    <cellStyle name="Comma 4 4 2 2 4 2 2" xfId="8014" xr:uid="{00000000-0005-0000-0000-0000DA090000}"/>
    <cellStyle name="Comma 4 4 2 2 4 2 3" xfId="12678" xr:uid="{20819E88-6670-4419-B91B-D5AE4CB34598}"/>
    <cellStyle name="Comma 4 4 2 2 4 3" xfId="5869" xr:uid="{00000000-0005-0000-0000-0000DB090000}"/>
    <cellStyle name="Comma 4 4 2 2 4 4" xfId="10533" xr:uid="{E90174C2-B3B9-4F5F-A696-8E36A5D682C3}"/>
    <cellStyle name="Comma 4 4 2 2 5" xfId="1974" xr:uid="{00000000-0005-0000-0000-0000DC090000}"/>
    <cellStyle name="Comma 4 4 2 2 5 2" xfId="4203" xr:uid="{00000000-0005-0000-0000-0000DD090000}"/>
    <cellStyle name="Comma 4 4 2 2 5 2 2" xfId="8427" xr:uid="{00000000-0005-0000-0000-0000DE090000}"/>
    <cellStyle name="Comma 4 4 2 2 5 2 3" xfId="13091" xr:uid="{E13DAD42-0520-4CF8-A0A5-5DC71783C955}"/>
    <cellStyle name="Comma 4 4 2 2 5 3" xfId="6282" xr:uid="{00000000-0005-0000-0000-0000DF090000}"/>
    <cellStyle name="Comma 4 4 2 2 5 4" xfId="10946" xr:uid="{673B215D-759C-46B2-B150-AAFD7F2E4E09}"/>
    <cellStyle name="Comma 4 4 2 2 6" xfId="2409" xr:uid="{00000000-0005-0000-0000-0000E0090000}"/>
    <cellStyle name="Comma 4 4 2 2 6 2" xfId="6695" xr:uid="{00000000-0005-0000-0000-0000E1090000}"/>
    <cellStyle name="Comma 4 4 2 2 6 3" xfId="11359" xr:uid="{FF47F019-A52D-41F4-9760-EA4168BC3544}"/>
    <cellStyle name="Comma 4 4 2 2 7" xfId="2705" xr:uid="{00000000-0005-0000-0000-0000E2090000}"/>
    <cellStyle name="Comma 4 4 2 2 8" xfId="2787" xr:uid="{00000000-0005-0000-0000-0000E3090000}"/>
    <cellStyle name="Comma 4 4 2 2 8 2" xfId="7012" xr:uid="{00000000-0005-0000-0000-0000E4090000}"/>
    <cellStyle name="Comma 4 4 2 2 8 3" xfId="11676" xr:uid="{88485FBF-A453-407E-9BC9-E0911E9A7B30}"/>
    <cellStyle name="Comma 4 4 2 2 9" xfId="4629" xr:uid="{00000000-0005-0000-0000-0000E5090000}"/>
    <cellStyle name="Comma 4 4 2 2 9 2" xfId="9253" xr:uid="{C2E29323-D5F9-41B8-B77B-2324656914A4}"/>
    <cellStyle name="Comma 4 4 2 3" xfId="692" xr:uid="{00000000-0005-0000-0000-0000E6090000}"/>
    <cellStyle name="Comma 4 4 2 3 2" xfId="2963" xr:uid="{00000000-0005-0000-0000-0000E7090000}"/>
    <cellStyle name="Comma 4 4 2 3 2 2" xfId="7187" xr:uid="{00000000-0005-0000-0000-0000E8090000}"/>
    <cellStyle name="Comma 4 4 2 3 2 3" xfId="11851" xr:uid="{0A9F0323-2D28-4870-B79B-5BE6A118AB33}"/>
    <cellStyle name="Comma 4 4 2 3 3" xfId="5042" xr:uid="{00000000-0005-0000-0000-0000E9090000}"/>
    <cellStyle name="Comma 4 4 2 3 4" xfId="9705" xr:uid="{AE24FBB5-8D78-4B80-837A-D9565AA14FF6}"/>
    <cellStyle name="Comma 4 4 2 4" xfId="1145" xr:uid="{00000000-0005-0000-0000-0000EA090000}"/>
    <cellStyle name="Comma 4 4 2 4 2" xfId="3376" xr:uid="{00000000-0005-0000-0000-0000EB090000}"/>
    <cellStyle name="Comma 4 4 2 4 2 2" xfId="7600" xr:uid="{00000000-0005-0000-0000-0000EC090000}"/>
    <cellStyle name="Comma 4 4 2 4 2 3" xfId="12264" xr:uid="{7489862C-694C-4A50-B2CB-4A425CC38417}"/>
    <cellStyle name="Comma 4 4 2 4 3" xfId="5455" xr:uid="{00000000-0005-0000-0000-0000ED090000}"/>
    <cellStyle name="Comma 4 4 2 4 4" xfId="10118" xr:uid="{8D8F431F-1C72-4327-8743-28A0DF134194}"/>
    <cellStyle name="Comma 4 4 2 5" xfId="1559" xr:uid="{00000000-0005-0000-0000-0000EE090000}"/>
    <cellStyle name="Comma 4 4 2 5 2" xfId="3789" xr:uid="{00000000-0005-0000-0000-0000EF090000}"/>
    <cellStyle name="Comma 4 4 2 5 2 2" xfId="8013" xr:uid="{00000000-0005-0000-0000-0000F0090000}"/>
    <cellStyle name="Comma 4 4 2 5 2 3" xfId="12677" xr:uid="{DFA5957D-6659-4431-A566-B854AC0431C0}"/>
    <cellStyle name="Comma 4 4 2 5 3" xfId="5868" xr:uid="{00000000-0005-0000-0000-0000F1090000}"/>
    <cellStyle name="Comma 4 4 2 5 4" xfId="10532" xr:uid="{7B8654E4-26F2-4C08-993B-65CDBD66672C}"/>
    <cellStyle name="Comma 4 4 2 6" xfId="1973" xr:uid="{00000000-0005-0000-0000-0000F2090000}"/>
    <cellStyle name="Comma 4 4 2 6 2" xfId="4202" xr:uid="{00000000-0005-0000-0000-0000F3090000}"/>
    <cellStyle name="Comma 4 4 2 6 2 2" xfId="8426" xr:uid="{00000000-0005-0000-0000-0000F4090000}"/>
    <cellStyle name="Comma 4 4 2 6 2 3" xfId="13090" xr:uid="{41C3880A-3380-46C2-AD93-A2292763AE2F}"/>
    <cellStyle name="Comma 4 4 2 6 3" xfId="6281" xr:uid="{00000000-0005-0000-0000-0000F5090000}"/>
    <cellStyle name="Comma 4 4 2 6 4" xfId="10945" xr:uid="{29EFF1D1-66A6-4355-AF17-1D263D385820}"/>
    <cellStyle name="Comma 4 4 2 7" xfId="2408" xr:uid="{00000000-0005-0000-0000-0000F6090000}"/>
    <cellStyle name="Comma 4 4 2 7 2" xfId="6694" xr:uid="{00000000-0005-0000-0000-0000F7090000}"/>
    <cellStyle name="Comma 4 4 2 7 3" xfId="11358" xr:uid="{D8E4EE7B-EF4A-437F-B59C-58862745F8E3}"/>
    <cellStyle name="Comma 4 4 2 8" xfId="2704" xr:uid="{00000000-0005-0000-0000-0000F8090000}"/>
    <cellStyle name="Comma 4 4 2 9" xfId="2786" xr:uid="{00000000-0005-0000-0000-0000F9090000}"/>
    <cellStyle name="Comma 4 4 2 9 2" xfId="7011" xr:uid="{00000000-0005-0000-0000-0000FA090000}"/>
    <cellStyle name="Comma 4 4 2 9 3" xfId="11675" xr:uid="{DF0F71D7-9B27-4597-A259-2BB00E21E660}"/>
    <cellStyle name="Comma 4 4 3" xfId="156" xr:uid="{00000000-0005-0000-0000-0000FB090000}"/>
    <cellStyle name="Comma 4 4 3 10" xfId="8841" xr:uid="{B5B50736-B361-47C8-946A-AE9FAA7BA69A}"/>
    <cellStyle name="Comma 4 4 3 2" xfId="694" xr:uid="{00000000-0005-0000-0000-0000FC090000}"/>
    <cellStyle name="Comma 4 4 3 2 2" xfId="2965" xr:uid="{00000000-0005-0000-0000-0000FD090000}"/>
    <cellStyle name="Comma 4 4 3 2 2 2" xfId="7189" xr:uid="{00000000-0005-0000-0000-0000FE090000}"/>
    <cellStyle name="Comma 4 4 3 2 2 3" xfId="11853" xr:uid="{D1F0B885-0F4D-42E5-8EE3-B0A399D4A7BC}"/>
    <cellStyle name="Comma 4 4 3 2 3" xfId="5044" xr:uid="{00000000-0005-0000-0000-0000FF090000}"/>
    <cellStyle name="Comma 4 4 3 2 4" xfId="9707" xr:uid="{4D3699E6-0699-4556-A760-F762B394AF00}"/>
    <cellStyle name="Comma 4 4 3 3" xfId="1147" xr:uid="{00000000-0005-0000-0000-0000000A0000}"/>
    <cellStyle name="Comma 4 4 3 3 2" xfId="3378" xr:uid="{00000000-0005-0000-0000-0000010A0000}"/>
    <cellStyle name="Comma 4 4 3 3 2 2" xfId="7602" xr:uid="{00000000-0005-0000-0000-0000020A0000}"/>
    <cellStyle name="Comma 4 4 3 3 2 3" xfId="12266" xr:uid="{0F5436CB-2B34-4326-8037-94287601E7AC}"/>
    <cellStyle name="Comma 4 4 3 3 3" xfId="5457" xr:uid="{00000000-0005-0000-0000-0000030A0000}"/>
    <cellStyle name="Comma 4 4 3 3 4" xfId="10120" xr:uid="{CE1B50FF-67EF-46D0-A144-003035E06F10}"/>
    <cellStyle name="Comma 4 4 3 4" xfId="1561" xr:uid="{00000000-0005-0000-0000-0000040A0000}"/>
    <cellStyle name="Comma 4 4 3 4 2" xfId="3791" xr:uid="{00000000-0005-0000-0000-0000050A0000}"/>
    <cellStyle name="Comma 4 4 3 4 2 2" xfId="8015" xr:uid="{00000000-0005-0000-0000-0000060A0000}"/>
    <cellStyle name="Comma 4 4 3 4 2 3" xfId="12679" xr:uid="{097D49C9-BC48-41D3-AE31-94948E4C9747}"/>
    <cellStyle name="Comma 4 4 3 4 3" xfId="5870" xr:uid="{00000000-0005-0000-0000-0000070A0000}"/>
    <cellStyle name="Comma 4 4 3 4 4" xfId="10534" xr:uid="{1653284E-7D3B-44A4-B093-5532B2422356}"/>
    <cellStyle name="Comma 4 4 3 5" xfId="1975" xr:uid="{00000000-0005-0000-0000-0000080A0000}"/>
    <cellStyle name="Comma 4 4 3 5 2" xfId="4204" xr:uid="{00000000-0005-0000-0000-0000090A0000}"/>
    <cellStyle name="Comma 4 4 3 5 2 2" xfId="8428" xr:uid="{00000000-0005-0000-0000-00000A0A0000}"/>
    <cellStyle name="Comma 4 4 3 5 2 3" xfId="13092" xr:uid="{02F33442-0F72-482E-836C-CEFEFBC7EDD8}"/>
    <cellStyle name="Comma 4 4 3 5 3" xfId="6283" xr:uid="{00000000-0005-0000-0000-00000B0A0000}"/>
    <cellStyle name="Comma 4 4 3 5 4" xfId="10947" xr:uid="{B8B82FF8-8AFA-4AA8-89C9-111A3C166CB4}"/>
    <cellStyle name="Comma 4 4 3 6" xfId="2410" xr:uid="{00000000-0005-0000-0000-00000C0A0000}"/>
    <cellStyle name="Comma 4 4 3 6 2" xfId="6696" xr:uid="{00000000-0005-0000-0000-00000D0A0000}"/>
    <cellStyle name="Comma 4 4 3 6 3" xfId="11360" xr:uid="{2710FB6C-B9C4-4CB6-B301-F89BE3A9E5BE}"/>
    <cellStyle name="Comma 4 4 3 7" xfId="2706" xr:uid="{00000000-0005-0000-0000-00000E0A0000}"/>
    <cellStyle name="Comma 4 4 3 8" xfId="2788" xr:uid="{00000000-0005-0000-0000-00000F0A0000}"/>
    <cellStyle name="Comma 4 4 3 8 2" xfId="7013" xr:uid="{00000000-0005-0000-0000-0000100A0000}"/>
    <cellStyle name="Comma 4 4 3 8 3" xfId="11677" xr:uid="{5E417D99-2244-4A4A-B759-36B6E187F068}"/>
    <cellStyle name="Comma 4 4 3 9" xfId="4630" xr:uid="{00000000-0005-0000-0000-0000110A0000}"/>
    <cellStyle name="Comma 4 4 3 9 2" xfId="9254" xr:uid="{EA5C6DEE-FF37-45D8-AED9-8C089C360CED}"/>
    <cellStyle name="Comma 4 4 4" xfId="691" xr:uid="{00000000-0005-0000-0000-0000120A0000}"/>
    <cellStyle name="Comma 4 4 4 2" xfId="2962" xr:uid="{00000000-0005-0000-0000-0000130A0000}"/>
    <cellStyle name="Comma 4 4 4 2 2" xfId="7186" xr:uid="{00000000-0005-0000-0000-0000140A0000}"/>
    <cellStyle name="Comma 4 4 4 2 3" xfId="11850" xr:uid="{26164072-6386-4F00-8DBC-2A1546E5AB6D}"/>
    <cellStyle name="Comma 4 4 4 3" xfId="5041" xr:uid="{00000000-0005-0000-0000-0000150A0000}"/>
    <cellStyle name="Comma 4 4 4 4" xfId="9704" xr:uid="{410C6203-C0DF-446A-9F10-58641B09606D}"/>
    <cellStyle name="Comma 4 4 5" xfId="1144" xr:uid="{00000000-0005-0000-0000-0000160A0000}"/>
    <cellStyle name="Comma 4 4 5 2" xfId="3375" xr:uid="{00000000-0005-0000-0000-0000170A0000}"/>
    <cellStyle name="Comma 4 4 5 2 2" xfId="7599" xr:uid="{00000000-0005-0000-0000-0000180A0000}"/>
    <cellStyle name="Comma 4 4 5 2 3" xfId="12263" xr:uid="{76946FBC-F0DC-4E1A-A6EB-EDE5878B02CC}"/>
    <cellStyle name="Comma 4 4 5 3" xfId="5454" xr:uid="{00000000-0005-0000-0000-0000190A0000}"/>
    <cellStyle name="Comma 4 4 5 4" xfId="10117" xr:uid="{19A5D332-2023-4842-9E4F-4F84B08E775A}"/>
    <cellStyle name="Comma 4 4 6" xfId="1558" xr:uid="{00000000-0005-0000-0000-00001A0A0000}"/>
    <cellStyle name="Comma 4 4 6 2" xfId="3788" xr:uid="{00000000-0005-0000-0000-00001B0A0000}"/>
    <cellStyle name="Comma 4 4 6 2 2" xfId="8012" xr:uid="{00000000-0005-0000-0000-00001C0A0000}"/>
    <cellStyle name="Comma 4 4 6 2 3" xfId="12676" xr:uid="{B5B54B8E-6E90-4E30-BE17-FB0748A77C25}"/>
    <cellStyle name="Comma 4 4 6 3" xfId="5867" xr:uid="{00000000-0005-0000-0000-00001D0A0000}"/>
    <cellStyle name="Comma 4 4 6 4" xfId="10531" xr:uid="{296FF2F5-FE04-4F26-92A8-2D582AF09F3B}"/>
    <cellStyle name="Comma 4 4 7" xfId="1972" xr:uid="{00000000-0005-0000-0000-00001E0A0000}"/>
    <cellStyle name="Comma 4 4 7 2" xfId="4201" xr:uid="{00000000-0005-0000-0000-00001F0A0000}"/>
    <cellStyle name="Comma 4 4 7 2 2" xfId="8425" xr:uid="{00000000-0005-0000-0000-0000200A0000}"/>
    <cellStyle name="Comma 4 4 7 2 3" xfId="13089" xr:uid="{306A4853-7FF9-45DA-BA45-82E9A260FFA5}"/>
    <cellStyle name="Comma 4 4 7 3" xfId="6280" xr:uid="{00000000-0005-0000-0000-0000210A0000}"/>
    <cellStyle name="Comma 4 4 7 4" xfId="10944" xr:uid="{342A1456-AF3E-414C-B952-966A3C45B933}"/>
    <cellStyle name="Comma 4 4 8" xfId="2407" xr:uid="{00000000-0005-0000-0000-0000220A0000}"/>
    <cellStyle name="Comma 4 4 8 2" xfId="6693" xr:uid="{00000000-0005-0000-0000-0000230A0000}"/>
    <cellStyle name="Comma 4 4 8 3" xfId="11357" xr:uid="{FCD4D197-58FC-45F3-97C9-17C836310B0A}"/>
    <cellStyle name="Comma 4 4 9" xfId="2703" xr:uid="{00000000-0005-0000-0000-0000240A0000}"/>
    <cellStyle name="Comma 4 5" xfId="157" xr:uid="{00000000-0005-0000-0000-0000250A0000}"/>
    <cellStyle name="Comma 4 5 10" xfId="4631" xr:uid="{00000000-0005-0000-0000-0000260A0000}"/>
    <cellStyle name="Comma 4 5 10 2" xfId="9255" xr:uid="{B5D31F51-3672-4809-BE62-A44C70C97B36}"/>
    <cellStyle name="Comma 4 5 11" xfId="8842" xr:uid="{2881A34B-DDA8-4D62-AB14-F6768D48E4AC}"/>
    <cellStyle name="Comma 4 5 2" xfId="158" xr:uid="{00000000-0005-0000-0000-0000270A0000}"/>
    <cellStyle name="Comma 4 5 2 10" xfId="8843" xr:uid="{45DDD8E1-ED75-4373-B54F-5E51DD17BF11}"/>
    <cellStyle name="Comma 4 5 2 2" xfId="696" xr:uid="{00000000-0005-0000-0000-0000280A0000}"/>
    <cellStyle name="Comma 4 5 2 2 2" xfId="2967" xr:uid="{00000000-0005-0000-0000-0000290A0000}"/>
    <cellStyle name="Comma 4 5 2 2 2 2" xfId="7191" xr:uid="{00000000-0005-0000-0000-00002A0A0000}"/>
    <cellStyle name="Comma 4 5 2 2 2 3" xfId="11855" xr:uid="{3A15819B-6594-4D59-B65A-06AC009188A7}"/>
    <cellStyle name="Comma 4 5 2 2 3" xfId="5046" xr:uid="{00000000-0005-0000-0000-00002B0A0000}"/>
    <cellStyle name="Comma 4 5 2 2 4" xfId="9709" xr:uid="{51537CC7-BEFB-4F89-8534-E2BC0C79EB6A}"/>
    <cellStyle name="Comma 4 5 2 3" xfId="1149" xr:uid="{00000000-0005-0000-0000-00002C0A0000}"/>
    <cellStyle name="Comma 4 5 2 3 2" xfId="3380" xr:uid="{00000000-0005-0000-0000-00002D0A0000}"/>
    <cellStyle name="Comma 4 5 2 3 2 2" xfId="7604" xr:uid="{00000000-0005-0000-0000-00002E0A0000}"/>
    <cellStyle name="Comma 4 5 2 3 2 3" xfId="12268" xr:uid="{F791F5B6-4DB4-490A-8189-7B079A747F65}"/>
    <cellStyle name="Comma 4 5 2 3 3" xfId="5459" xr:uid="{00000000-0005-0000-0000-00002F0A0000}"/>
    <cellStyle name="Comma 4 5 2 3 4" xfId="10122" xr:uid="{3A8D1D82-F33E-4437-8FFB-45EED406FE5A}"/>
    <cellStyle name="Comma 4 5 2 4" xfId="1563" xr:uid="{00000000-0005-0000-0000-0000300A0000}"/>
    <cellStyle name="Comma 4 5 2 4 2" xfId="3793" xr:uid="{00000000-0005-0000-0000-0000310A0000}"/>
    <cellStyle name="Comma 4 5 2 4 2 2" xfId="8017" xr:uid="{00000000-0005-0000-0000-0000320A0000}"/>
    <cellStyle name="Comma 4 5 2 4 2 3" xfId="12681" xr:uid="{679790CF-5F78-4551-935F-FACB36861D1B}"/>
    <cellStyle name="Comma 4 5 2 4 3" xfId="5872" xr:uid="{00000000-0005-0000-0000-0000330A0000}"/>
    <cellStyle name="Comma 4 5 2 4 4" xfId="10536" xr:uid="{0E2ECCC4-BC9A-41B3-A2CC-BA51C65B382E}"/>
    <cellStyle name="Comma 4 5 2 5" xfId="1977" xr:uid="{00000000-0005-0000-0000-0000340A0000}"/>
    <cellStyle name="Comma 4 5 2 5 2" xfId="4206" xr:uid="{00000000-0005-0000-0000-0000350A0000}"/>
    <cellStyle name="Comma 4 5 2 5 2 2" xfId="8430" xr:uid="{00000000-0005-0000-0000-0000360A0000}"/>
    <cellStyle name="Comma 4 5 2 5 2 3" xfId="13094" xr:uid="{76B599FD-D6D2-4364-9F25-8A4FC904A4C7}"/>
    <cellStyle name="Comma 4 5 2 5 3" xfId="6285" xr:uid="{00000000-0005-0000-0000-0000370A0000}"/>
    <cellStyle name="Comma 4 5 2 5 4" xfId="10949" xr:uid="{57FEEBDE-587C-46B6-9DDC-AC073CE6B1F7}"/>
    <cellStyle name="Comma 4 5 2 6" xfId="2412" xr:uid="{00000000-0005-0000-0000-0000380A0000}"/>
    <cellStyle name="Comma 4 5 2 6 2" xfId="6698" xr:uid="{00000000-0005-0000-0000-0000390A0000}"/>
    <cellStyle name="Comma 4 5 2 6 3" xfId="11362" xr:uid="{654AC180-7508-4222-B9AA-5005C45F5D14}"/>
    <cellStyle name="Comma 4 5 2 7" xfId="2708" xr:uid="{00000000-0005-0000-0000-00003A0A0000}"/>
    <cellStyle name="Comma 4 5 2 8" xfId="2790" xr:uid="{00000000-0005-0000-0000-00003B0A0000}"/>
    <cellStyle name="Comma 4 5 2 8 2" xfId="7015" xr:uid="{00000000-0005-0000-0000-00003C0A0000}"/>
    <cellStyle name="Comma 4 5 2 8 3" xfId="11679" xr:uid="{169DDE4E-EE3E-47A9-986F-678C28AEB0FF}"/>
    <cellStyle name="Comma 4 5 2 9" xfId="4632" xr:uid="{00000000-0005-0000-0000-00003D0A0000}"/>
    <cellStyle name="Comma 4 5 2 9 2" xfId="9256" xr:uid="{5A0BB393-7933-4736-82BB-61D2E1C0E1D6}"/>
    <cellStyle name="Comma 4 5 3" xfId="695" xr:uid="{00000000-0005-0000-0000-00003E0A0000}"/>
    <cellStyle name="Comma 4 5 3 2" xfId="2966" xr:uid="{00000000-0005-0000-0000-00003F0A0000}"/>
    <cellStyle name="Comma 4 5 3 2 2" xfId="7190" xr:uid="{00000000-0005-0000-0000-0000400A0000}"/>
    <cellStyle name="Comma 4 5 3 2 3" xfId="11854" xr:uid="{13BC72DA-90C9-4F8C-AE6A-83D5B9DC4749}"/>
    <cellStyle name="Comma 4 5 3 3" xfId="5045" xr:uid="{00000000-0005-0000-0000-0000410A0000}"/>
    <cellStyle name="Comma 4 5 3 4" xfId="9708" xr:uid="{1B64A2AB-4168-41B0-8284-B27A4C534A69}"/>
    <cellStyle name="Comma 4 5 4" xfId="1148" xr:uid="{00000000-0005-0000-0000-0000420A0000}"/>
    <cellStyle name="Comma 4 5 4 2" xfId="3379" xr:uid="{00000000-0005-0000-0000-0000430A0000}"/>
    <cellStyle name="Comma 4 5 4 2 2" xfId="7603" xr:uid="{00000000-0005-0000-0000-0000440A0000}"/>
    <cellStyle name="Comma 4 5 4 2 3" xfId="12267" xr:uid="{4E0B04D4-259C-4593-A1CD-643819EC8F79}"/>
    <cellStyle name="Comma 4 5 4 3" xfId="5458" xr:uid="{00000000-0005-0000-0000-0000450A0000}"/>
    <cellStyle name="Comma 4 5 4 4" xfId="10121" xr:uid="{3120BB8D-8AFF-4348-AB27-82CB9253FDC3}"/>
    <cellStyle name="Comma 4 5 5" xfId="1562" xr:uid="{00000000-0005-0000-0000-0000460A0000}"/>
    <cellStyle name="Comma 4 5 5 2" xfId="3792" xr:uid="{00000000-0005-0000-0000-0000470A0000}"/>
    <cellStyle name="Comma 4 5 5 2 2" xfId="8016" xr:uid="{00000000-0005-0000-0000-0000480A0000}"/>
    <cellStyle name="Comma 4 5 5 2 3" xfId="12680" xr:uid="{BB33C1B0-C17C-4FB1-AFFD-B811B6BF603F}"/>
    <cellStyle name="Comma 4 5 5 3" xfId="5871" xr:uid="{00000000-0005-0000-0000-0000490A0000}"/>
    <cellStyle name="Comma 4 5 5 4" xfId="10535" xr:uid="{D3FBBDC3-F7D5-4ABC-8A5A-CE0617B6DBC1}"/>
    <cellStyle name="Comma 4 5 6" xfId="1976" xr:uid="{00000000-0005-0000-0000-00004A0A0000}"/>
    <cellStyle name="Comma 4 5 6 2" xfId="4205" xr:uid="{00000000-0005-0000-0000-00004B0A0000}"/>
    <cellStyle name="Comma 4 5 6 2 2" xfId="8429" xr:uid="{00000000-0005-0000-0000-00004C0A0000}"/>
    <cellStyle name="Comma 4 5 6 2 3" xfId="13093" xr:uid="{51471036-5E27-4C7C-AE92-E377D3A56ED4}"/>
    <cellStyle name="Comma 4 5 6 3" xfId="6284" xr:uid="{00000000-0005-0000-0000-00004D0A0000}"/>
    <cellStyle name="Comma 4 5 6 4" xfId="10948" xr:uid="{2C57AF44-A111-43BF-9A49-82ED3A6DA312}"/>
    <cellStyle name="Comma 4 5 7" xfId="2411" xr:uid="{00000000-0005-0000-0000-00004E0A0000}"/>
    <cellStyle name="Comma 4 5 7 2" xfId="6697" xr:uid="{00000000-0005-0000-0000-00004F0A0000}"/>
    <cellStyle name="Comma 4 5 7 3" xfId="11361" xr:uid="{2366ADDB-CA6F-4730-9C48-57445E57833A}"/>
    <cellStyle name="Comma 4 5 8" xfId="2707" xr:uid="{00000000-0005-0000-0000-0000500A0000}"/>
    <cellStyle name="Comma 4 5 9" xfId="2789" xr:uid="{00000000-0005-0000-0000-0000510A0000}"/>
    <cellStyle name="Comma 4 5 9 2" xfId="7014" xr:uid="{00000000-0005-0000-0000-0000520A0000}"/>
    <cellStyle name="Comma 4 5 9 3" xfId="11678" xr:uid="{A91D947B-E2AF-462A-83FD-6F432A15EBE1}"/>
    <cellStyle name="Comma 4 6" xfId="159" xr:uid="{00000000-0005-0000-0000-0000530A0000}"/>
    <cellStyle name="Comma 4 6 10" xfId="8844" xr:uid="{CFDE2CD0-E089-4FCA-A412-22E1EC11E818}"/>
    <cellStyle name="Comma 4 6 2" xfId="697" xr:uid="{00000000-0005-0000-0000-0000540A0000}"/>
    <cellStyle name="Comma 4 6 2 2" xfId="2968" xr:uid="{00000000-0005-0000-0000-0000550A0000}"/>
    <cellStyle name="Comma 4 6 2 2 2" xfId="7192" xr:uid="{00000000-0005-0000-0000-0000560A0000}"/>
    <cellStyle name="Comma 4 6 2 2 3" xfId="11856" xr:uid="{9B7A7E60-4191-4E80-8147-CBF364572BF0}"/>
    <cellStyle name="Comma 4 6 2 3" xfId="5047" xr:uid="{00000000-0005-0000-0000-0000570A0000}"/>
    <cellStyle name="Comma 4 6 2 4" xfId="9710" xr:uid="{313AF819-A863-4155-ADF9-FF51403FBA91}"/>
    <cellStyle name="Comma 4 6 3" xfId="1150" xr:uid="{00000000-0005-0000-0000-0000580A0000}"/>
    <cellStyle name="Comma 4 6 3 2" xfId="3381" xr:uid="{00000000-0005-0000-0000-0000590A0000}"/>
    <cellStyle name="Comma 4 6 3 2 2" xfId="7605" xr:uid="{00000000-0005-0000-0000-00005A0A0000}"/>
    <cellStyle name="Comma 4 6 3 2 3" xfId="12269" xr:uid="{F8EB775C-0AF4-4B4F-A625-5FB044A5AF96}"/>
    <cellStyle name="Comma 4 6 3 3" xfId="5460" xr:uid="{00000000-0005-0000-0000-00005B0A0000}"/>
    <cellStyle name="Comma 4 6 3 4" xfId="10123" xr:uid="{B7D2E547-F767-4BEA-9CEC-AB200B81E470}"/>
    <cellStyle name="Comma 4 6 4" xfId="1564" xr:uid="{00000000-0005-0000-0000-00005C0A0000}"/>
    <cellStyle name="Comma 4 6 4 2" xfId="3794" xr:uid="{00000000-0005-0000-0000-00005D0A0000}"/>
    <cellStyle name="Comma 4 6 4 2 2" xfId="8018" xr:uid="{00000000-0005-0000-0000-00005E0A0000}"/>
    <cellStyle name="Comma 4 6 4 2 3" xfId="12682" xr:uid="{BB5AF7D6-2DEC-4990-B584-F19F6BE7C0CA}"/>
    <cellStyle name="Comma 4 6 4 3" xfId="5873" xr:uid="{00000000-0005-0000-0000-00005F0A0000}"/>
    <cellStyle name="Comma 4 6 4 4" xfId="10537" xr:uid="{32808247-5231-4479-B761-C97781EAB3DE}"/>
    <cellStyle name="Comma 4 6 5" xfId="1978" xr:uid="{00000000-0005-0000-0000-0000600A0000}"/>
    <cellStyle name="Comma 4 6 5 2" xfId="4207" xr:uid="{00000000-0005-0000-0000-0000610A0000}"/>
    <cellStyle name="Comma 4 6 5 2 2" xfId="8431" xr:uid="{00000000-0005-0000-0000-0000620A0000}"/>
    <cellStyle name="Comma 4 6 5 2 3" xfId="13095" xr:uid="{1C465C75-C1F3-4A4D-9392-8A6F2CE27DAF}"/>
    <cellStyle name="Comma 4 6 5 3" xfId="6286" xr:uid="{00000000-0005-0000-0000-0000630A0000}"/>
    <cellStyle name="Comma 4 6 5 4" xfId="10950" xr:uid="{D4637015-8C2B-4648-96C1-0DE439E252CF}"/>
    <cellStyle name="Comma 4 6 6" xfId="2413" xr:uid="{00000000-0005-0000-0000-0000640A0000}"/>
    <cellStyle name="Comma 4 6 6 2" xfId="6699" xr:uid="{00000000-0005-0000-0000-0000650A0000}"/>
    <cellStyle name="Comma 4 6 6 3" xfId="11363" xr:uid="{4F43DF76-F931-4794-8BE0-9C6F2CC2AD98}"/>
    <cellStyle name="Comma 4 6 7" xfId="2709" xr:uid="{00000000-0005-0000-0000-0000660A0000}"/>
    <cellStyle name="Comma 4 6 8" xfId="2791" xr:uid="{00000000-0005-0000-0000-0000670A0000}"/>
    <cellStyle name="Comma 4 6 8 2" xfId="7016" xr:uid="{00000000-0005-0000-0000-0000680A0000}"/>
    <cellStyle name="Comma 4 6 8 3" xfId="11680" xr:uid="{0A39C465-6E3B-402B-9337-F751DD8A9697}"/>
    <cellStyle name="Comma 4 6 9" xfId="4633" xr:uid="{00000000-0005-0000-0000-0000690A0000}"/>
    <cellStyle name="Comma 4 6 9 2" xfId="9257" xr:uid="{5D6CF749-BC27-486C-8081-C13E66252915}"/>
    <cellStyle name="Comma 4 7" xfId="160" xr:uid="{00000000-0005-0000-0000-00006A0A0000}"/>
    <cellStyle name="Comma 4 7 10" xfId="8845" xr:uid="{CF79F7B2-300A-40F4-B328-A54C3E99DBA9}"/>
    <cellStyle name="Comma 4 7 2" xfId="698" xr:uid="{00000000-0005-0000-0000-00006B0A0000}"/>
    <cellStyle name="Comma 4 7 2 2" xfId="2969" xr:uid="{00000000-0005-0000-0000-00006C0A0000}"/>
    <cellStyle name="Comma 4 7 2 2 2" xfId="7193" xr:uid="{00000000-0005-0000-0000-00006D0A0000}"/>
    <cellStyle name="Comma 4 7 2 2 3" xfId="11857" xr:uid="{EBF0FDDA-E6DF-4369-B734-F81D774C9EF2}"/>
    <cellStyle name="Comma 4 7 2 3" xfId="5048" xr:uid="{00000000-0005-0000-0000-00006E0A0000}"/>
    <cellStyle name="Comma 4 7 2 4" xfId="9711" xr:uid="{FEC177A7-0CDE-4DA3-8F22-32C27F2851F1}"/>
    <cellStyle name="Comma 4 7 3" xfId="1151" xr:uid="{00000000-0005-0000-0000-00006F0A0000}"/>
    <cellStyle name="Comma 4 7 3 2" xfId="3382" xr:uid="{00000000-0005-0000-0000-0000700A0000}"/>
    <cellStyle name="Comma 4 7 3 2 2" xfId="7606" xr:uid="{00000000-0005-0000-0000-0000710A0000}"/>
    <cellStyle name="Comma 4 7 3 2 3" xfId="12270" xr:uid="{CCE528FA-DE3B-4379-9DEB-19E050151066}"/>
    <cellStyle name="Comma 4 7 3 3" xfId="5461" xr:uid="{00000000-0005-0000-0000-0000720A0000}"/>
    <cellStyle name="Comma 4 7 3 4" xfId="10124" xr:uid="{40991049-4434-4ECD-AA74-62915B0A07B2}"/>
    <cellStyle name="Comma 4 7 4" xfId="1565" xr:uid="{00000000-0005-0000-0000-0000730A0000}"/>
    <cellStyle name="Comma 4 7 4 2" xfId="3795" xr:uid="{00000000-0005-0000-0000-0000740A0000}"/>
    <cellStyle name="Comma 4 7 4 2 2" xfId="8019" xr:uid="{00000000-0005-0000-0000-0000750A0000}"/>
    <cellStyle name="Comma 4 7 4 2 3" xfId="12683" xr:uid="{47DB5F6D-7072-46C5-9620-3C215C0D8CF5}"/>
    <cellStyle name="Comma 4 7 4 3" xfId="5874" xr:uid="{00000000-0005-0000-0000-0000760A0000}"/>
    <cellStyle name="Comma 4 7 4 4" xfId="10538" xr:uid="{1EBABFED-56E8-4D56-B4B1-D0142EE79453}"/>
    <cellStyle name="Comma 4 7 5" xfId="1979" xr:uid="{00000000-0005-0000-0000-0000770A0000}"/>
    <cellStyle name="Comma 4 7 5 2" xfId="4208" xr:uid="{00000000-0005-0000-0000-0000780A0000}"/>
    <cellStyle name="Comma 4 7 5 2 2" xfId="8432" xr:uid="{00000000-0005-0000-0000-0000790A0000}"/>
    <cellStyle name="Comma 4 7 5 2 3" xfId="13096" xr:uid="{18C87CD4-7518-4A91-9DE3-5F1DDBFF2CFF}"/>
    <cellStyle name="Comma 4 7 5 3" xfId="6287" xr:uid="{00000000-0005-0000-0000-00007A0A0000}"/>
    <cellStyle name="Comma 4 7 5 4" xfId="10951" xr:uid="{413D2F67-CFCF-4A5C-8FBE-6A784B4F07CE}"/>
    <cellStyle name="Comma 4 7 6" xfId="2414" xr:uid="{00000000-0005-0000-0000-00007B0A0000}"/>
    <cellStyle name="Comma 4 7 6 2" xfId="6700" xr:uid="{00000000-0005-0000-0000-00007C0A0000}"/>
    <cellStyle name="Comma 4 7 6 3" xfId="11364" xr:uid="{E1B8B3D5-ECB9-4EEF-AE4E-4F4EEDDD45DE}"/>
    <cellStyle name="Comma 4 7 7" xfId="2710" xr:uid="{00000000-0005-0000-0000-00007D0A0000}"/>
    <cellStyle name="Comma 4 7 8" xfId="2792" xr:uid="{00000000-0005-0000-0000-00007E0A0000}"/>
    <cellStyle name="Comma 4 7 8 2" xfId="7017" xr:uid="{00000000-0005-0000-0000-00007F0A0000}"/>
    <cellStyle name="Comma 4 7 8 3" xfId="11681" xr:uid="{8C0264B2-0C71-4369-A208-2097A2CE873F}"/>
    <cellStyle name="Comma 4 7 9" xfId="4634" xr:uid="{00000000-0005-0000-0000-0000800A0000}"/>
    <cellStyle name="Comma 4 7 9 2" xfId="9258" xr:uid="{1D7D7434-48BA-487C-909F-DDF674AFBF82}"/>
    <cellStyle name="Comma 5" xfId="161" xr:uid="{00000000-0005-0000-0000-0000810A0000}"/>
    <cellStyle name="Comma 5 2" xfId="162" xr:uid="{00000000-0005-0000-0000-0000820A0000}"/>
    <cellStyle name="Comma 5 2 2" xfId="699" xr:uid="{00000000-0005-0000-0000-0000830A0000}"/>
    <cellStyle name="Comma 5 2 3" xfId="9259" xr:uid="{A7B0C420-7C7D-473C-B0CC-0C6BD6EDC658}"/>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2 3" xfId="9261" xr:uid="{2B7B3949-39A2-48F5-BA2E-83CDDB9C0CFF}"/>
    <cellStyle name="Currency 10 3" xfId="166" xr:uid="{00000000-0005-0000-0000-00008A0A0000}"/>
    <cellStyle name="Currency 10 3 2" xfId="702" xr:uid="{00000000-0005-0000-0000-00008B0A0000}"/>
    <cellStyle name="Currency 10 3 3" xfId="9262" xr:uid="{1B10B80C-D8BB-40BF-8ABD-0B989E1B0D0E}"/>
    <cellStyle name="Currency 10 4" xfId="167" xr:uid="{00000000-0005-0000-0000-00008C0A0000}"/>
    <cellStyle name="Currency 10 5" xfId="700" xr:uid="{00000000-0005-0000-0000-00008D0A0000}"/>
    <cellStyle name="Currency 10 6" xfId="9260" xr:uid="{DD6E7F84-6641-4B42-91B7-9B4AE1635408}"/>
    <cellStyle name="Currency 11" xfId="168" xr:uid="{00000000-0005-0000-0000-00008E0A0000}"/>
    <cellStyle name="Currency 11 2" xfId="169" xr:uid="{00000000-0005-0000-0000-00008F0A0000}"/>
    <cellStyle name="Currency 11 2 2" xfId="704" xr:uid="{00000000-0005-0000-0000-0000900A0000}"/>
    <cellStyle name="Currency 11 2 3" xfId="9264" xr:uid="{5486E587-2B3B-4FDD-8845-EB1B8ACA9DC1}"/>
    <cellStyle name="Currency 11 3" xfId="703" xr:uid="{00000000-0005-0000-0000-0000910A0000}"/>
    <cellStyle name="Currency 11 4" xfId="9263" xr:uid="{C4C32346-A701-4430-A4CC-A3F689F1DC3D}"/>
    <cellStyle name="Currency 12" xfId="170" xr:uid="{00000000-0005-0000-0000-0000920A0000}"/>
    <cellStyle name="Currency 12 2" xfId="706" xr:uid="{00000000-0005-0000-0000-0000930A0000}"/>
    <cellStyle name="Currency 12 3" xfId="705" xr:uid="{00000000-0005-0000-0000-0000940A0000}"/>
    <cellStyle name="Currency 12 4" xfId="9265" xr:uid="{66FB4B57-C442-4245-B38E-D4F29892BF82}"/>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2 3" xfId="9267" xr:uid="{C1FC964D-6434-4C5D-B998-C67C28B8A8FC}"/>
    <cellStyle name="Currency 2 3 3" xfId="175" xr:uid="{00000000-0005-0000-0000-00009E0A0000}"/>
    <cellStyle name="Currency 2 4" xfId="707" xr:uid="{00000000-0005-0000-0000-00009F0A0000}"/>
    <cellStyle name="Currency 2 5" xfId="9266" xr:uid="{833244D9-6961-4644-9ADA-C2AAF768347E}"/>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3" xfId="11682" xr:uid="{74A66C3E-AC8F-45F3-A8D5-34D571F492B8}"/>
    <cellStyle name="Currency 3 2 2 11" xfId="4635" xr:uid="{00000000-0005-0000-0000-0000A50A0000}"/>
    <cellStyle name="Currency 3 2 2 11 2" xfId="9268" xr:uid="{89445453-AE87-4439-8D13-76F7DCAC13F8}"/>
    <cellStyle name="Currency 3 2 2 12" xfId="8846" xr:uid="{BE0DC12E-0CE0-43EE-8192-2DE09848A500}"/>
    <cellStyle name="Currency 3 2 2 2" xfId="179" xr:uid="{00000000-0005-0000-0000-0000A60A0000}"/>
    <cellStyle name="Currency 3 2 2 2 10" xfId="4636" xr:uid="{00000000-0005-0000-0000-0000A70A0000}"/>
    <cellStyle name="Currency 3 2 2 2 10 2" xfId="9269" xr:uid="{CCD3E6AC-4B1E-4CE2-84ED-2C95A41D1D13}"/>
    <cellStyle name="Currency 3 2 2 2 11" xfId="8847" xr:uid="{68C24E0F-2746-4F9B-B32E-B052CBFB9CE1}"/>
    <cellStyle name="Currency 3 2 2 2 2" xfId="180" xr:uid="{00000000-0005-0000-0000-0000A80A0000}"/>
    <cellStyle name="Currency 3 2 2 2 2 10" xfId="8848" xr:uid="{2483CE46-B56A-4BFA-A861-9B3DB074237E}"/>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3" xfId="11860" xr:uid="{3085026C-D9FC-491C-A6E8-B0D9676E6742}"/>
    <cellStyle name="Currency 3 2 2 2 2 2 3" xfId="5051" xr:uid="{00000000-0005-0000-0000-0000AC0A0000}"/>
    <cellStyle name="Currency 3 2 2 2 2 2 4" xfId="9714" xr:uid="{AA54E448-0D57-4EDF-A8F8-55993169F762}"/>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3" xfId="12273" xr:uid="{CB89C7B7-9AB8-4CCB-A6D8-2B18ECD9E2FA}"/>
    <cellStyle name="Currency 3 2 2 2 2 3 3" xfId="5464" xr:uid="{00000000-0005-0000-0000-0000B00A0000}"/>
    <cellStyle name="Currency 3 2 2 2 2 3 4" xfId="10127" xr:uid="{EB7E0E80-2516-42B6-A67F-DCAC1F5D8D58}"/>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3" xfId="12686" xr:uid="{B9293F9B-A686-4CC7-868B-8CD148F0A170}"/>
    <cellStyle name="Currency 3 2 2 2 2 4 3" xfId="5877" xr:uid="{00000000-0005-0000-0000-0000B40A0000}"/>
    <cellStyle name="Currency 3 2 2 2 2 4 4" xfId="10541" xr:uid="{37B1D13D-E12F-4E20-9AAE-B6C4BB0218AB}"/>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3" xfId="13099" xr:uid="{0AE0CEAA-93AA-4006-A97D-0F3E13D19523}"/>
    <cellStyle name="Currency 3 2 2 2 2 5 3" xfId="6290" xr:uid="{00000000-0005-0000-0000-0000B80A0000}"/>
    <cellStyle name="Currency 3 2 2 2 2 5 4" xfId="10954" xr:uid="{6C26184F-C1D0-482C-B7B7-554453E68AC8}"/>
    <cellStyle name="Currency 3 2 2 2 2 6" xfId="2417" xr:uid="{00000000-0005-0000-0000-0000B90A0000}"/>
    <cellStyle name="Currency 3 2 2 2 2 6 2" xfId="6703" xr:uid="{00000000-0005-0000-0000-0000BA0A0000}"/>
    <cellStyle name="Currency 3 2 2 2 2 6 3" xfId="11367" xr:uid="{903E7BDD-D069-4AE6-8C2D-F5803E27D2EA}"/>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3" xfId="11684" xr:uid="{E8105F32-59F4-48DF-A750-1466B065AA15}"/>
    <cellStyle name="Currency 3 2 2 2 2 9" xfId="4637" xr:uid="{00000000-0005-0000-0000-0000BE0A0000}"/>
    <cellStyle name="Currency 3 2 2 2 2 9 2" xfId="9270" xr:uid="{C7594683-4540-49FE-990D-DD3957FA986E}"/>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3" xfId="11859" xr:uid="{3D65C952-A494-47C0-866E-B00D862DC37E}"/>
    <cellStyle name="Currency 3 2 2 2 3 3" xfId="5050" xr:uid="{00000000-0005-0000-0000-0000C20A0000}"/>
    <cellStyle name="Currency 3 2 2 2 3 4" xfId="9713" xr:uid="{F1D6DA34-FE70-47D7-A949-AE45E05721BB}"/>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3" xfId="12272" xr:uid="{A2E36FB5-102A-4F75-8B6A-E3035147D35F}"/>
    <cellStyle name="Currency 3 2 2 2 4 3" xfId="5463" xr:uid="{00000000-0005-0000-0000-0000C60A0000}"/>
    <cellStyle name="Currency 3 2 2 2 4 4" xfId="10126" xr:uid="{F67D0C3C-F7C8-4E44-9577-AADF68678137}"/>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3" xfId="12685" xr:uid="{F24FE1CB-B660-46D4-B6AF-AD67D60F3B7E}"/>
    <cellStyle name="Currency 3 2 2 2 5 3" xfId="5876" xr:uid="{00000000-0005-0000-0000-0000CA0A0000}"/>
    <cellStyle name="Currency 3 2 2 2 5 4" xfId="10540" xr:uid="{FC821A2E-B573-484B-883C-48B0A282C80E}"/>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3" xfId="13098" xr:uid="{B6B7B67B-790E-4C9F-8030-41A7AC98E460}"/>
    <cellStyle name="Currency 3 2 2 2 6 3" xfId="6289" xr:uid="{00000000-0005-0000-0000-0000CE0A0000}"/>
    <cellStyle name="Currency 3 2 2 2 6 4" xfId="10953" xr:uid="{BBE296E6-E417-44CD-B317-A7A38C46EC02}"/>
    <cellStyle name="Currency 3 2 2 2 7" xfId="2416" xr:uid="{00000000-0005-0000-0000-0000CF0A0000}"/>
    <cellStyle name="Currency 3 2 2 2 7 2" xfId="6702" xr:uid="{00000000-0005-0000-0000-0000D00A0000}"/>
    <cellStyle name="Currency 3 2 2 2 7 3" xfId="11366" xr:uid="{DC839D4E-2EC0-4E22-89C4-AAA0CFFD9EAB}"/>
    <cellStyle name="Currency 3 2 2 2 8" xfId="2713" xr:uid="{00000000-0005-0000-0000-0000D10A0000}"/>
    <cellStyle name="Currency 3 2 2 2 9" xfId="2794" xr:uid="{00000000-0005-0000-0000-0000D20A0000}"/>
    <cellStyle name="Currency 3 2 2 2 9 2" xfId="7019" xr:uid="{00000000-0005-0000-0000-0000D30A0000}"/>
    <cellStyle name="Currency 3 2 2 2 9 3" xfId="11683" xr:uid="{D7129F0F-3BFF-4D80-A670-9A370CD06A4A}"/>
    <cellStyle name="Currency 3 2 2 3" xfId="181" xr:uid="{00000000-0005-0000-0000-0000D40A0000}"/>
    <cellStyle name="Currency 3 2 2 3 10" xfId="8849" xr:uid="{3AC63A17-713C-488D-8921-8E50DEC8185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3" xfId="11861" xr:uid="{27F1DBA4-0F9B-4078-98E9-BF89DCEBDBAC}"/>
    <cellStyle name="Currency 3 2 2 3 2 3" xfId="5052" xr:uid="{00000000-0005-0000-0000-0000D80A0000}"/>
    <cellStyle name="Currency 3 2 2 3 2 4" xfId="9715" xr:uid="{A3624573-3E6A-4E02-A2A7-34E96DDFF6FE}"/>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3" xfId="12274" xr:uid="{C6F27843-61ED-4E70-8323-FDA08D2BCFE7}"/>
    <cellStyle name="Currency 3 2 2 3 3 3" xfId="5465" xr:uid="{00000000-0005-0000-0000-0000DC0A0000}"/>
    <cellStyle name="Currency 3 2 2 3 3 4" xfId="10128" xr:uid="{C5612AD9-51A4-4DD6-BF04-6024B98BD79F}"/>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3" xfId="12687" xr:uid="{F1D1A64C-1D36-4C77-A1D3-223FC7200E89}"/>
    <cellStyle name="Currency 3 2 2 3 4 3" xfId="5878" xr:uid="{00000000-0005-0000-0000-0000E00A0000}"/>
    <cellStyle name="Currency 3 2 2 3 4 4" xfId="10542" xr:uid="{7A21DC5C-869F-40E5-ACF2-5957CB73BBAE}"/>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3" xfId="13100" xr:uid="{73BFF255-9AB3-4C73-ACE1-4714DAE0727E}"/>
    <cellStyle name="Currency 3 2 2 3 5 3" xfId="6291" xr:uid="{00000000-0005-0000-0000-0000E40A0000}"/>
    <cellStyle name="Currency 3 2 2 3 5 4" xfId="10955" xr:uid="{D5050EBB-2B12-4BC6-9284-DD28DE2F1543}"/>
    <cellStyle name="Currency 3 2 2 3 6" xfId="2418" xr:uid="{00000000-0005-0000-0000-0000E50A0000}"/>
    <cellStyle name="Currency 3 2 2 3 6 2" xfId="6704" xr:uid="{00000000-0005-0000-0000-0000E60A0000}"/>
    <cellStyle name="Currency 3 2 2 3 6 3" xfId="11368" xr:uid="{94B446FB-D61D-45F0-9D49-117E5BAB3F28}"/>
    <cellStyle name="Currency 3 2 2 3 7" xfId="2715" xr:uid="{00000000-0005-0000-0000-0000E70A0000}"/>
    <cellStyle name="Currency 3 2 2 3 8" xfId="2796" xr:uid="{00000000-0005-0000-0000-0000E80A0000}"/>
    <cellStyle name="Currency 3 2 2 3 8 2" xfId="7021" xr:uid="{00000000-0005-0000-0000-0000E90A0000}"/>
    <cellStyle name="Currency 3 2 2 3 8 3" xfId="11685" xr:uid="{FA877628-06EC-4011-A68F-0E09C330335A}"/>
    <cellStyle name="Currency 3 2 2 3 9" xfId="4638" xr:uid="{00000000-0005-0000-0000-0000EA0A0000}"/>
    <cellStyle name="Currency 3 2 2 3 9 2" xfId="9271" xr:uid="{F5F17AEA-665E-48E3-B6C2-6CE3A980B7D3}"/>
    <cellStyle name="Currency 3 2 2 4" xfId="709" xr:uid="{00000000-0005-0000-0000-0000EB0A0000}"/>
    <cellStyle name="Currency 3 2 2 4 2" xfId="2970" xr:uid="{00000000-0005-0000-0000-0000EC0A0000}"/>
    <cellStyle name="Currency 3 2 2 4 2 2" xfId="7194" xr:uid="{00000000-0005-0000-0000-0000ED0A0000}"/>
    <cellStyle name="Currency 3 2 2 4 2 3" xfId="11858" xr:uid="{63A3CE5E-9610-4101-A9CA-478DA98C9097}"/>
    <cellStyle name="Currency 3 2 2 4 3" xfId="5049" xr:uid="{00000000-0005-0000-0000-0000EE0A0000}"/>
    <cellStyle name="Currency 3 2 2 4 4" xfId="9712" xr:uid="{51B4EA74-3EF8-43C1-8F73-1DFC5B22072E}"/>
    <cellStyle name="Currency 3 2 2 5" xfId="1152" xr:uid="{00000000-0005-0000-0000-0000EF0A0000}"/>
    <cellStyle name="Currency 3 2 2 5 2" xfId="3383" xr:uid="{00000000-0005-0000-0000-0000F00A0000}"/>
    <cellStyle name="Currency 3 2 2 5 2 2" xfId="7607" xr:uid="{00000000-0005-0000-0000-0000F10A0000}"/>
    <cellStyle name="Currency 3 2 2 5 2 3" xfId="12271" xr:uid="{716E18EC-8FE5-47E8-AFAF-23AB0FD1DBA5}"/>
    <cellStyle name="Currency 3 2 2 5 3" xfId="5462" xr:uid="{00000000-0005-0000-0000-0000F20A0000}"/>
    <cellStyle name="Currency 3 2 2 5 4" xfId="10125" xr:uid="{3E647423-EFBB-460D-8362-B9C052B54ABA}"/>
    <cellStyle name="Currency 3 2 2 6" xfId="1566" xr:uid="{00000000-0005-0000-0000-0000F30A0000}"/>
    <cellStyle name="Currency 3 2 2 6 2" xfId="3796" xr:uid="{00000000-0005-0000-0000-0000F40A0000}"/>
    <cellStyle name="Currency 3 2 2 6 2 2" xfId="8020" xr:uid="{00000000-0005-0000-0000-0000F50A0000}"/>
    <cellStyle name="Currency 3 2 2 6 2 3" xfId="12684" xr:uid="{75180445-C8AE-488C-BDDB-339DA09FBCEE}"/>
    <cellStyle name="Currency 3 2 2 6 3" xfId="5875" xr:uid="{00000000-0005-0000-0000-0000F60A0000}"/>
    <cellStyle name="Currency 3 2 2 6 4" xfId="10539" xr:uid="{14FF266E-9F1E-402F-9586-391A15B1C7B4}"/>
    <cellStyle name="Currency 3 2 2 7" xfId="1980" xr:uid="{00000000-0005-0000-0000-0000F70A0000}"/>
    <cellStyle name="Currency 3 2 2 7 2" xfId="4209" xr:uid="{00000000-0005-0000-0000-0000F80A0000}"/>
    <cellStyle name="Currency 3 2 2 7 2 2" xfId="8433" xr:uid="{00000000-0005-0000-0000-0000F90A0000}"/>
    <cellStyle name="Currency 3 2 2 7 2 3" xfId="13097" xr:uid="{587B3E75-995A-4A02-9549-DA259164A344}"/>
    <cellStyle name="Currency 3 2 2 7 3" xfId="6288" xr:uid="{00000000-0005-0000-0000-0000FA0A0000}"/>
    <cellStyle name="Currency 3 2 2 7 4" xfId="10952" xr:uid="{8D9F8323-8D76-4E98-ABC7-EC57FC421A5B}"/>
    <cellStyle name="Currency 3 2 2 8" xfId="2415" xr:uid="{00000000-0005-0000-0000-0000FB0A0000}"/>
    <cellStyle name="Currency 3 2 2 8 2" xfId="6701" xr:uid="{00000000-0005-0000-0000-0000FC0A0000}"/>
    <cellStyle name="Currency 3 2 2 8 3" xfId="11365" xr:uid="{E5C66262-21D6-451C-862B-AC07D25B03E9}"/>
    <cellStyle name="Currency 3 2 2 9" xfId="2712" xr:uid="{00000000-0005-0000-0000-0000FD0A0000}"/>
    <cellStyle name="Currency 3 2 3" xfId="182" xr:uid="{00000000-0005-0000-0000-0000FE0A0000}"/>
    <cellStyle name="Currency 3 2 3 10" xfId="4639" xr:uid="{00000000-0005-0000-0000-0000FF0A0000}"/>
    <cellStyle name="Currency 3 2 3 10 2" xfId="9272" xr:uid="{6B10F55A-263D-4DE8-80F1-A8181A744F12}"/>
    <cellStyle name="Currency 3 2 3 11" xfId="8850" xr:uid="{8B3594AA-57AF-4EC1-864C-6C77F4DBE7B2}"/>
    <cellStyle name="Currency 3 2 3 2" xfId="183" xr:uid="{00000000-0005-0000-0000-0000000B0000}"/>
    <cellStyle name="Currency 3 2 3 2 10" xfId="8851" xr:uid="{5BF272A1-A37B-4B8C-B4C7-23F13B27AD84}"/>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3" xfId="11863" xr:uid="{49CD7899-5000-4014-BD39-0208845015C5}"/>
    <cellStyle name="Currency 3 2 3 2 2 3" xfId="5054" xr:uid="{00000000-0005-0000-0000-0000040B0000}"/>
    <cellStyle name="Currency 3 2 3 2 2 4" xfId="9717" xr:uid="{4790208C-A083-49C3-8B67-E63788B875F7}"/>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3" xfId="12276" xr:uid="{37ECA1A0-F43C-4805-AF7C-FF877AF7D29F}"/>
    <cellStyle name="Currency 3 2 3 2 3 3" xfId="5467" xr:uid="{00000000-0005-0000-0000-0000080B0000}"/>
    <cellStyle name="Currency 3 2 3 2 3 4" xfId="10130" xr:uid="{9F11F43D-0997-4AF9-BAF4-4A47239B36FC}"/>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3" xfId="12689" xr:uid="{4C581081-CBDF-4650-9469-30839F9EAD84}"/>
    <cellStyle name="Currency 3 2 3 2 4 3" xfId="5880" xr:uid="{00000000-0005-0000-0000-00000C0B0000}"/>
    <cellStyle name="Currency 3 2 3 2 4 4" xfId="10544" xr:uid="{7C482A54-AD1C-4B1F-8068-AAA106D4F54D}"/>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3" xfId="13102" xr:uid="{C0747812-0E4A-4AD5-9A04-B45744997719}"/>
    <cellStyle name="Currency 3 2 3 2 5 3" xfId="6293" xr:uid="{00000000-0005-0000-0000-0000100B0000}"/>
    <cellStyle name="Currency 3 2 3 2 5 4" xfId="10957" xr:uid="{A5FD6327-5A1C-4733-9324-F8A9E071D16F}"/>
    <cellStyle name="Currency 3 2 3 2 6" xfId="2420" xr:uid="{00000000-0005-0000-0000-0000110B0000}"/>
    <cellStyle name="Currency 3 2 3 2 6 2" xfId="6706" xr:uid="{00000000-0005-0000-0000-0000120B0000}"/>
    <cellStyle name="Currency 3 2 3 2 6 3" xfId="11370" xr:uid="{2C8A1CC8-A7D0-4668-8B9F-4D1AD4FEF071}"/>
    <cellStyle name="Currency 3 2 3 2 7" xfId="2717" xr:uid="{00000000-0005-0000-0000-0000130B0000}"/>
    <cellStyle name="Currency 3 2 3 2 8" xfId="2798" xr:uid="{00000000-0005-0000-0000-0000140B0000}"/>
    <cellStyle name="Currency 3 2 3 2 8 2" xfId="7023" xr:uid="{00000000-0005-0000-0000-0000150B0000}"/>
    <cellStyle name="Currency 3 2 3 2 8 3" xfId="11687" xr:uid="{607574A9-B389-416B-9F6D-23FCCEB74FA0}"/>
    <cellStyle name="Currency 3 2 3 2 9" xfId="4640" xr:uid="{00000000-0005-0000-0000-0000160B0000}"/>
    <cellStyle name="Currency 3 2 3 2 9 2" xfId="9273" xr:uid="{692A1701-7C09-491D-81E1-15425F14D00C}"/>
    <cellStyle name="Currency 3 2 3 3" xfId="713" xr:uid="{00000000-0005-0000-0000-0000170B0000}"/>
    <cellStyle name="Currency 3 2 3 3 2" xfId="2974" xr:uid="{00000000-0005-0000-0000-0000180B0000}"/>
    <cellStyle name="Currency 3 2 3 3 2 2" xfId="7198" xr:uid="{00000000-0005-0000-0000-0000190B0000}"/>
    <cellStyle name="Currency 3 2 3 3 2 3" xfId="11862" xr:uid="{D444A3F3-4ADA-433B-B675-50DB00BEAD07}"/>
    <cellStyle name="Currency 3 2 3 3 3" xfId="5053" xr:uid="{00000000-0005-0000-0000-00001A0B0000}"/>
    <cellStyle name="Currency 3 2 3 3 4" xfId="9716" xr:uid="{C49575FB-5E78-4A88-A4A6-BBD694C4FB33}"/>
    <cellStyle name="Currency 3 2 3 4" xfId="1156" xr:uid="{00000000-0005-0000-0000-00001B0B0000}"/>
    <cellStyle name="Currency 3 2 3 4 2" xfId="3387" xr:uid="{00000000-0005-0000-0000-00001C0B0000}"/>
    <cellStyle name="Currency 3 2 3 4 2 2" xfId="7611" xr:uid="{00000000-0005-0000-0000-00001D0B0000}"/>
    <cellStyle name="Currency 3 2 3 4 2 3" xfId="12275" xr:uid="{6880667B-8CC6-4119-9CB9-0D993CBEF6A4}"/>
    <cellStyle name="Currency 3 2 3 4 3" xfId="5466" xr:uid="{00000000-0005-0000-0000-00001E0B0000}"/>
    <cellStyle name="Currency 3 2 3 4 4" xfId="10129" xr:uid="{D92A4F17-4785-4AD4-86A8-A3F42E66D215}"/>
    <cellStyle name="Currency 3 2 3 5" xfId="1570" xr:uid="{00000000-0005-0000-0000-00001F0B0000}"/>
    <cellStyle name="Currency 3 2 3 5 2" xfId="3800" xr:uid="{00000000-0005-0000-0000-0000200B0000}"/>
    <cellStyle name="Currency 3 2 3 5 2 2" xfId="8024" xr:uid="{00000000-0005-0000-0000-0000210B0000}"/>
    <cellStyle name="Currency 3 2 3 5 2 3" xfId="12688" xr:uid="{788391CC-EBDE-4073-ABDA-AC5F345CF9C8}"/>
    <cellStyle name="Currency 3 2 3 5 3" xfId="5879" xr:uid="{00000000-0005-0000-0000-0000220B0000}"/>
    <cellStyle name="Currency 3 2 3 5 4" xfId="10543" xr:uid="{938B14BD-F02A-4E53-B99E-F6532A460097}"/>
    <cellStyle name="Currency 3 2 3 6" xfId="1984" xr:uid="{00000000-0005-0000-0000-0000230B0000}"/>
    <cellStyle name="Currency 3 2 3 6 2" xfId="4213" xr:uid="{00000000-0005-0000-0000-0000240B0000}"/>
    <cellStyle name="Currency 3 2 3 6 2 2" xfId="8437" xr:uid="{00000000-0005-0000-0000-0000250B0000}"/>
    <cellStyle name="Currency 3 2 3 6 2 3" xfId="13101" xr:uid="{9C138716-A2F1-4E05-BA1D-75F6CFFE0344}"/>
    <cellStyle name="Currency 3 2 3 6 3" xfId="6292" xr:uid="{00000000-0005-0000-0000-0000260B0000}"/>
    <cellStyle name="Currency 3 2 3 6 4" xfId="10956" xr:uid="{D1969612-8AFC-4838-8CE4-0DF14742DBB2}"/>
    <cellStyle name="Currency 3 2 3 7" xfId="2419" xr:uid="{00000000-0005-0000-0000-0000270B0000}"/>
    <cellStyle name="Currency 3 2 3 7 2" xfId="6705" xr:uid="{00000000-0005-0000-0000-0000280B0000}"/>
    <cellStyle name="Currency 3 2 3 7 3" xfId="11369" xr:uid="{0A974609-F188-454F-BCD3-99FC2A863124}"/>
    <cellStyle name="Currency 3 2 3 8" xfId="2716" xr:uid="{00000000-0005-0000-0000-0000290B0000}"/>
    <cellStyle name="Currency 3 2 3 9" xfId="2797" xr:uid="{00000000-0005-0000-0000-00002A0B0000}"/>
    <cellStyle name="Currency 3 2 3 9 2" xfId="7022" xr:uid="{00000000-0005-0000-0000-00002B0B0000}"/>
    <cellStyle name="Currency 3 2 3 9 3" xfId="11686" xr:uid="{FB295DDA-D167-411F-ACF5-0072C28BC8C1}"/>
    <cellStyle name="Currency 3 2 4" xfId="184" xr:uid="{00000000-0005-0000-0000-00002C0B0000}"/>
    <cellStyle name="Currency 3 2 4 10" xfId="8852" xr:uid="{8356DACB-1CD2-4C8B-891B-4010C8412135}"/>
    <cellStyle name="Currency 3 2 4 2" xfId="715" xr:uid="{00000000-0005-0000-0000-00002D0B0000}"/>
    <cellStyle name="Currency 3 2 4 2 2" xfId="2976" xr:uid="{00000000-0005-0000-0000-00002E0B0000}"/>
    <cellStyle name="Currency 3 2 4 2 2 2" xfId="7200" xr:uid="{00000000-0005-0000-0000-00002F0B0000}"/>
    <cellStyle name="Currency 3 2 4 2 2 3" xfId="11864" xr:uid="{05148D14-86D4-40E1-9F97-5CDA4ADE4671}"/>
    <cellStyle name="Currency 3 2 4 2 3" xfId="5055" xr:uid="{00000000-0005-0000-0000-0000300B0000}"/>
    <cellStyle name="Currency 3 2 4 2 4" xfId="9718" xr:uid="{4116FDF6-1C21-4DEF-9301-BAC84A5A8FB4}"/>
    <cellStyle name="Currency 3 2 4 3" xfId="1158" xr:uid="{00000000-0005-0000-0000-0000310B0000}"/>
    <cellStyle name="Currency 3 2 4 3 2" xfId="3389" xr:uid="{00000000-0005-0000-0000-0000320B0000}"/>
    <cellStyle name="Currency 3 2 4 3 2 2" xfId="7613" xr:uid="{00000000-0005-0000-0000-0000330B0000}"/>
    <cellStyle name="Currency 3 2 4 3 2 3" xfId="12277" xr:uid="{7E3CA166-105B-4990-8137-732993749F2A}"/>
    <cellStyle name="Currency 3 2 4 3 3" xfId="5468" xr:uid="{00000000-0005-0000-0000-0000340B0000}"/>
    <cellStyle name="Currency 3 2 4 3 4" xfId="10131" xr:uid="{79EA07A7-7EE9-4B27-A44C-4F1010EC20DE}"/>
    <cellStyle name="Currency 3 2 4 4" xfId="1572" xr:uid="{00000000-0005-0000-0000-0000350B0000}"/>
    <cellStyle name="Currency 3 2 4 4 2" xfId="3802" xr:uid="{00000000-0005-0000-0000-0000360B0000}"/>
    <cellStyle name="Currency 3 2 4 4 2 2" xfId="8026" xr:uid="{00000000-0005-0000-0000-0000370B0000}"/>
    <cellStyle name="Currency 3 2 4 4 2 3" xfId="12690" xr:uid="{9A226933-BBE9-471B-88D2-F01741EA550D}"/>
    <cellStyle name="Currency 3 2 4 4 3" xfId="5881" xr:uid="{00000000-0005-0000-0000-0000380B0000}"/>
    <cellStyle name="Currency 3 2 4 4 4" xfId="10545" xr:uid="{23C52088-4603-4CDB-BC33-D0260832A287}"/>
    <cellStyle name="Currency 3 2 4 5" xfId="1986" xr:uid="{00000000-0005-0000-0000-0000390B0000}"/>
    <cellStyle name="Currency 3 2 4 5 2" xfId="4215" xr:uid="{00000000-0005-0000-0000-00003A0B0000}"/>
    <cellStyle name="Currency 3 2 4 5 2 2" xfId="8439" xr:uid="{00000000-0005-0000-0000-00003B0B0000}"/>
    <cellStyle name="Currency 3 2 4 5 2 3" xfId="13103" xr:uid="{5B19E2F2-3D62-43A9-B62B-371E7B425097}"/>
    <cellStyle name="Currency 3 2 4 5 3" xfId="6294" xr:uid="{00000000-0005-0000-0000-00003C0B0000}"/>
    <cellStyle name="Currency 3 2 4 5 4" xfId="10958" xr:uid="{17BE2B9B-B383-47CB-95D5-DE7F3373E3B8}"/>
    <cellStyle name="Currency 3 2 4 6" xfId="2421" xr:uid="{00000000-0005-0000-0000-00003D0B0000}"/>
    <cellStyle name="Currency 3 2 4 6 2" xfId="6707" xr:uid="{00000000-0005-0000-0000-00003E0B0000}"/>
    <cellStyle name="Currency 3 2 4 6 3" xfId="11371" xr:uid="{B70A0D62-B5A2-43EC-9483-D9CD24735430}"/>
    <cellStyle name="Currency 3 2 4 7" xfId="2718" xr:uid="{00000000-0005-0000-0000-00003F0B0000}"/>
    <cellStyle name="Currency 3 2 4 8" xfId="2799" xr:uid="{00000000-0005-0000-0000-0000400B0000}"/>
    <cellStyle name="Currency 3 2 4 8 2" xfId="7024" xr:uid="{00000000-0005-0000-0000-0000410B0000}"/>
    <cellStyle name="Currency 3 2 4 8 3" xfId="11688" xr:uid="{2D856256-F557-48C2-A288-68717E60D379}"/>
    <cellStyle name="Currency 3 2 4 9" xfId="4641" xr:uid="{00000000-0005-0000-0000-0000420B0000}"/>
    <cellStyle name="Currency 3 2 4 9 2" xfId="9274" xr:uid="{2F2AEBF0-6A67-4C0A-8E59-01390DB4AF2C}"/>
    <cellStyle name="Currency 3 2 5" xfId="185" xr:uid="{00000000-0005-0000-0000-0000430B0000}"/>
    <cellStyle name="Currency 3 2 5 10" xfId="8853" xr:uid="{AD5E1DA1-5EE1-421F-A052-6F59A5BED9B2}"/>
    <cellStyle name="Currency 3 2 5 2" xfId="716" xr:uid="{00000000-0005-0000-0000-0000440B0000}"/>
    <cellStyle name="Currency 3 2 5 2 2" xfId="2977" xr:uid="{00000000-0005-0000-0000-0000450B0000}"/>
    <cellStyle name="Currency 3 2 5 2 2 2" xfId="7201" xr:uid="{00000000-0005-0000-0000-0000460B0000}"/>
    <cellStyle name="Currency 3 2 5 2 2 3" xfId="11865" xr:uid="{705523D8-6687-4EA9-9EB6-FD29A8FD2783}"/>
    <cellStyle name="Currency 3 2 5 2 3" xfId="5056" xr:uid="{00000000-0005-0000-0000-0000470B0000}"/>
    <cellStyle name="Currency 3 2 5 2 4" xfId="9719" xr:uid="{295E56AD-C9A9-4597-939D-0FEDCFBF35BE}"/>
    <cellStyle name="Currency 3 2 5 3" xfId="1159" xr:uid="{00000000-0005-0000-0000-0000480B0000}"/>
    <cellStyle name="Currency 3 2 5 3 2" xfId="3390" xr:uid="{00000000-0005-0000-0000-0000490B0000}"/>
    <cellStyle name="Currency 3 2 5 3 2 2" xfId="7614" xr:uid="{00000000-0005-0000-0000-00004A0B0000}"/>
    <cellStyle name="Currency 3 2 5 3 2 3" xfId="12278" xr:uid="{DA49B5A5-CE8A-44B9-AA01-4D754041063B}"/>
    <cellStyle name="Currency 3 2 5 3 3" xfId="5469" xr:uid="{00000000-0005-0000-0000-00004B0B0000}"/>
    <cellStyle name="Currency 3 2 5 3 4" xfId="10132" xr:uid="{174EE610-8024-4925-B83A-A787062EE676}"/>
    <cellStyle name="Currency 3 2 5 4" xfId="1573" xr:uid="{00000000-0005-0000-0000-00004C0B0000}"/>
    <cellStyle name="Currency 3 2 5 4 2" xfId="3803" xr:uid="{00000000-0005-0000-0000-00004D0B0000}"/>
    <cellStyle name="Currency 3 2 5 4 2 2" xfId="8027" xr:uid="{00000000-0005-0000-0000-00004E0B0000}"/>
    <cellStyle name="Currency 3 2 5 4 2 3" xfId="12691" xr:uid="{3DCDBD6E-72A0-402C-AA1D-6944F710FBF0}"/>
    <cellStyle name="Currency 3 2 5 4 3" xfId="5882" xr:uid="{00000000-0005-0000-0000-00004F0B0000}"/>
    <cellStyle name="Currency 3 2 5 4 4" xfId="10546" xr:uid="{2F985F69-05D6-4EF8-ADE2-3FCB5AC32B95}"/>
    <cellStyle name="Currency 3 2 5 5" xfId="1987" xr:uid="{00000000-0005-0000-0000-0000500B0000}"/>
    <cellStyle name="Currency 3 2 5 5 2" xfId="4216" xr:uid="{00000000-0005-0000-0000-0000510B0000}"/>
    <cellStyle name="Currency 3 2 5 5 2 2" xfId="8440" xr:uid="{00000000-0005-0000-0000-0000520B0000}"/>
    <cellStyle name="Currency 3 2 5 5 2 3" xfId="13104" xr:uid="{02BCA6BB-B709-4C19-B32B-3982400FFEC8}"/>
    <cellStyle name="Currency 3 2 5 5 3" xfId="6295" xr:uid="{00000000-0005-0000-0000-0000530B0000}"/>
    <cellStyle name="Currency 3 2 5 5 4" xfId="10959" xr:uid="{DED71F17-08DE-4DF5-947B-9F0E58361F0A}"/>
    <cellStyle name="Currency 3 2 5 6" xfId="2422" xr:uid="{00000000-0005-0000-0000-0000540B0000}"/>
    <cellStyle name="Currency 3 2 5 6 2" xfId="6708" xr:uid="{00000000-0005-0000-0000-0000550B0000}"/>
    <cellStyle name="Currency 3 2 5 6 3" xfId="11372" xr:uid="{72F585E7-2B1D-4F91-8232-5ACE9498F6CC}"/>
    <cellStyle name="Currency 3 2 5 7" xfId="2719" xr:uid="{00000000-0005-0000-0000-0000560B0000}"/>
    <cellStyle name="Currency 3 2 5 8" xfId="2800" xr:uid="{00000000-0005-0000-0000-0000570B0000}"/>
    <cellStyle name="Currency 3 2 5 8 2" xfId="7025" xr:uid="{00000000-0005-0000-0000-0000580B0000}"/>
    <cellStyle name="Currency 3 2 5 8 3" xfId="11689" xr:uid="{A203CA36-78DD-4D90-A06C-62BF6BA22B2A}"/>
    <cellStyle name="Currency 3 2 5 9" xfId="4642" xr:uid="{00000000-0005-0000-0000-0000590B0000}"/>
    <cellStyle name="Currency 3 2 5 9 2" xfId="9275" xr:uid="{D8FDA816-98F0-4F4C-A18D-8DF598F4D96A}"/>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2 3" xfId="9277" xr:uid="{056B1195-EA49-4300-A4C4-F26601D5CAAE}"/>
    <cellStyle name="Currency 4 3" xfId="189" xr:uid="{00000000-0005-0000-0000-00005E0B0000}"/>
    <cellStyle name="Currency 4 3 2" xfId="190" xr:uid="{00000000-0005-0000-0000-00005F0B0000}"/>
    <cellStyle name="Currency 4 3 2 2" xfId="720" xr:uid="{00000000-0005-0000-0000-0000600B0000}"/>
    <cellStyle name="Currency 4 3 2 3" xfId="9279" xr:uid="{720298D0-1E52-445E-ABEC-2AB879A1BDAA}"/>
    <cellStyle name="Currency 4 3 3" xfId="719" xr:uid="{00000000-0005-0000-0000-0000610B0000}"/>
    <cellStyle name="Currency 4 3 4" xfId="9278" xr:uid="{BE75074B-A3D3-4FED-A337-DBCC9B2FE75F}"/>
    <cellStyle name="Currency 4 4" xfId="191" xr:uid="{00000000-0005-0000-0000-0000620B0000}"/>
    <cellStyle name="Currency 4 5" xfId="192" xr:uid="{00000000-0005-0000-0000-0000630B0000}"/>
    <cellStyle name="Currency 4 5 2" xfId="721" xr:uid="{00000000-0005-0000-0000-0000640B0000}"/>
    <cellStyle name="Currency 4 5 3" xfId="9280" xr:uid="{001F9CC3-4361-41D7-8BE7-F2909B969DA2}"/>
    <cellStyle name="Currency 4 6" xfId="717" xr:uid="{00000000-0005-0000-0000-0000650B0000}"/>
    <cellStyle name="Currency 4 7" xfId="9276" xr:uid="{BD033FD2-76B6-48A6-ACFA-969D5A9A3E6B}"/>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3" xfId="11690" xr:uid="{865B3A39-68D8-4450-A1C0-3DB222C7EFD8}"/>
    <cellStyle name="Currency 5 2 2 2 11" xfId="4643" xr:uid="{00000000-0005-0000-0000-00006C0B0000}"/>
    <cellStyle name="Currency 5 2 2 2 11 2" xfId="9283" xr:uid="{9E5B4940-8DF9-4895-9CB7-E4E18A343042}"/>
    <cellStyle name="Currency 5 2 2 2 12" xfId="8854" xr:uid="{37DF2F8E-A1FB-4201-83A7-CC0EFAF9A2A8}"/>
    <cellStyle name="Currency 5 2 2 2 2" xfId="197" xr:uid="{00000000-0005-0000-0000-00006D0B0000}"/>
    <cellStyle name="Currency 5 2 2 2 2 10" xfId="4644" xr:uid="{00000000-0005-0000-0000-00006E0B0000}"/>
    <cellStyle name="Currency 5 2 2 2 2 10 2" xfId="9284" xr:uid="{8A6915CA-43E4-4847-AA85-CDF10447AF09}"/>
    <cellStyle name="Currency 5 2 2 2 2 11" xfId="8855" xr:uid="{2219595B-5DC5-4382-8CA2-A135FE87AD1B}"/>
    <cellStyle name="Currency 5 2 2 2 2 2" xfId="198" xr:uid="{00000000-0005-0000-0000-00006F0B0000}"/>
    <cellStyle name="Currency 5 2 2 2 2 2 10" xfId="8856" xr:uid="{6B7022B3-DF68-4FE9-9693-AE95BBECB63C}"/>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3" xfId="11868" xr:uid="{8027A8B5-0879-4D28-ABB8-F714CAAA4394}"/>
    <cellStyle name="Currency 5 2 2 2 2 2 2 3" xfId="5059" xr:uid="{00000000-0005-0000-0000-0000730B0000}"/>
    <cellStyle name="Currency 5 2 2 2 2 2 2 4" xfId="9722" xr:uid="{C8699288-6FFE-4CCE-AF28-C68CD5A7ED15}"/>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3" xfId="12281" xr:uid="{3B1BFC69-68F7-4887-AAE5-872572CB560C}"/>
    <cellStyle name="Currency 5 2 2 2 2 2 3 3" xfId="5472" xr:uid="{00000000-0005-0000-0000-0000770B0000}"/>
    <cellStyle name="Currency 5 2 2 2 2 2 3 4" xfId="10135" xr:uid="{C9E28EE2-40E7-4877-A0E7-9F10482F5F0A}"/>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3" xfId="12694" xr:uid="{5B6F4840-D51B-4ACD-918F-A5BBB9E7C81B}"/>
    <cellStyle name="Currency 5 2 2 2 2 2 4 3" xfId="5885" xr:uid="{00000000-0005-0000-0000-00007B0B0000}"/>
    <cellStyle name="Currency 5 2 2 2 2 2 4 4" xfId="10549" xr:uid="{8489AA1B-FFE1-474C-A8A2-25758A05419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3" xfId="13107" xr:uid="{348F6054-D99C-447C-8804-AAF3377D55F4}"/>
    <cellStyle name="Currency 5 2 2 2 2 2 5 3" xfId="6298" xr:uid="{00000000-0005-0000-0000-00007F0B0000}"/>
    <cellStyle name="Currency 5 2 2 2 2 2 5 4" xfId="10962" xr:uid="{48E04D88-5693-4A43-B1E2-D2E3D2667B1C}"/>
    <cellStyle name="Currency 5 2 2 2 2 2 6" xfId="2425" xr:uid="{00000000-0005-0000-0000-0000800B0000}"/>
    <cellStyle name="Currency 5 2 2 2 2 2 6 2" xfId="6711" xr:uid="{00000000-0005-0000-0000-0000810B0000}"/>
    <cellStyle name="Currency 5 2 2 2 2 2 6 3" xfId="11375" xr:uid="{3E85A075-3820-4289-89E6-DA4EBA874F2B}"/>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3" xfId="11692" xr:uid="{8C28B45C-4425-4817-9568-2474A485E11E}"/>
    <cellStyle name="Currency 5 2 2 2 2 2 9" xfId="4645" xr:uid="{00000000-0005-0000-0000-0000850B0000}"/>
    <cellStyle name="Currency 5 2 2 2 2 2 9 2" xfId="9285" xr:uid="{42E83B14-80DE-448D-B27C-2422A08FC06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3" xfId="11867" xr:uid="{E57B9B73-C75E-4FEF-875D-3D5F44CDE963}"/>
    <cellStyle name="Currency 5 2 2 2 2 3 3" xfId="5058" xr:uid="{00000000-0005-0000-0000-0000890B0000}"/>
    <cellStyle name="Currency 5 2 2 2 2 3 4" xfId="9721" xr:uid="{F6BB04D9-F30E-4300-874F-7CC1D07C7BCF}"/>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3" xfId="12280" xr:uid="{E0A3F361-26B6-42D2-8B65-3F68818E05E1}"/>
    <cellStyle name="Currency 5 2 2 2 2 4 3" xfId="5471" xr:uid="{00000000-0005-0000-0000-00008D0B0000}"/>
    <cellStyle name="Currency 5 2 2 2 2 4 4" xfId="10134" xr:uid="{28EC23BA-E5C2-4ED3-B12C-467357462CD1}"/>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3" xfId="12693" xr:uid="{F3C6A8AE-8E74-4B81-BD1C-669E80B43F32}"/>
    <cellStyle name="Currency 5 2 2 2 2 5 3" xfId="5884" xr:uid="{00000000-0005-0000-0000-0000910B0000}"/>
    <cellStyle name="Currency 5 2 2 2 2 5 4" xfId="10548" xr:uid="{EAF43443-272F-4BA4-B52A-58ECD6897A2F}"/>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3" xfId="13106" xr:uid="{B72D6500-CE12-4923-8F19-5B1D4A1404C2}"/>
    <cellStyle name="Currency 5 2 2 2 2 6 3" xfId="6297" xr:uid="{00000000-0005-0000-0000-0000950B0000}"/>
    <cellStyle name="Currency 5 2 2 2 2 6 4" xfId="10961" xr:uid="{FFCB7830-CF87-40BA-99D1-18AAA32C1C6C}"/>
    <cellStyle name="Currency 5 2 2 2 2 7" xfId="2424" xr:uid="{00000000-0005-0000-0000-0000960B0000}"/>
    <cellStyle name="Currency 5 2 2 2 2 7 2" xfId="6710" xr:uid="{00000000-0005-0000-0000-0000970B0000}"/>
    <cellStyle name="Currency 5 2 2 2 2 7 3" xfId="11374" xr:uid="{A0A75415-FD17-4520-A31D-E6E79CA95A7D}"/>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3" xfId="11691" xr:uid="{B907246F-EB7F-4EFF-853A-B5DC22E70387}"/>
    <cellStyle name="Currency 5 2 2 2 3" xfId="199" xr:uid="{00000000-0005-0000-0000-00009B0B0000}"/>
    <cellStyle name="Currency 5 2 2 2 3 10" xfId="8857" xr:uid="{4F5EE573-9AD3-4088-A0FF-26EF15504873}"/>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3" xfId="11869" xr:uid="{44FA1702-53B3-4BD8-8309-12951F7A5CBB}"/>
    <cellStyle name="Currency 5 2 2 2 3 2 3" xfId="5060" xr:uid="{00000000-0005-0000-0000-00009F0B0000}"/>
    <cellStyle name="Currency 5 2 2 2 3 2 4" xfId="9723" xr:uid="{52761231-D332-4EF4-A2DF-41CFC88BB78B}"/>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3" xfId="12282" xr:uid="{E5C39F84-54CE-4815-9564-ED85A4AC0701}"/>
    <cellStyle name="Currency 5 2 2 2 3 3 3" xfId="5473" xr:uid="{00000000-0005-0000-0000-0000A30B0000}"/>
    <cellStyle name="Currency 5 2 2 2 3 3 4" xfId="10136" xr:uid="{46952095-308F-47B6-A79C-5AA67462E089}"/>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3" xfId="12695" xr:uid="{6079967A-904C-49A1-A0EF-34198C8624EC}"/>
    <cellStyle name="Currency 5 2 2 2 3 4 3" xfId="5886" xr:uid="{00000000-0005-0000-0000-0000A70B0000}"/>
    <cellStyle name="Currency 5 2 2 2 3 4 4" xfId="10550" xr:uid="{BE18D023-125B-43AD-B623-7F0C4DC5BDB7}"/>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3" xfId="13108" xr:uid="{8B66D5DF-ECD3-4DD6-AD82-27B50905E039}"/>
    <cellStyle name="Currency 5 2 2 2 3 5 3" xfId="6299" xr:uid="{00000000-0005-0000-0000-0000AB0B0000}"/>
    <cellStyle name="Currency 5 2 2 2 3 5 4" xfId="10963" xr:uid="{E12F4024-231C-42A0-AFFC-949D3E40927C}"/>
    <cellStyle name="Currency 5 2 2 2 3 6" xfId="2426" xr:uid="{00000000-0005-0000-0000-0000AC0B0000}"/>
    <cellStyle name="Currency 5 2 2 2 3 6 2" xfId="6712" xr:uid="{00000000-0005-0000-0000-0000AD0B0000}"/>
    <cellStyle name="Currency 5 2 2 2 3 6 3" xfId="11376" xr:uid="{4CCE1F2B-6E49-4868-8236-4BFA301053A6}"/>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3" xfId="11693" xr:uid="{934468CF-10E3-434A-B831-74B2DAFF5551}"/>
    <cellStyle name="Currency 5 2 2 2 3 9" xfId="4646" xr:uid="{00000000-0005-0000-0000-0000B10B0000}"/>
    <cellStyle name="Currency 5 2 2 2 3 9 2" xfId="9286" xr:uid="{9FA21C56-5F5C-4C53-BB79-48B8BAE6537F}"/>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3" xfId="11866" xr:uid="{632580CD-728A-4728-9DF9-CCE10A7706BC}"/>
    <cellStyle name="Currency 5 2 2 2 4 3" xfId="5057" xr:uid="{00000000-0005-0000-0000-0000B50B0000}"/>
    <cellStyle name="Currency 5 2 2 2 4 4" xfId="9720" xr:uid="{9AF031C3-40D2-49D3-8E5D-D8062D6D7377}"/>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3" xfId="12279" xr:uid="{66EB81CC-48A9-4183-8513-21F75ABF0D09}"/>
    <cellStyle name="Currency 5 2 2 2 5 3" xfId="5470" xr:uid="{00000000-0005-0000-0000-0000B90B0000}"/>
    <cellStyle name="Currency 5 2 2 2 5 4" xfId="10133" xr:uid="{AE3C230F-7C76-4B9B-B4F3-21BFA4AB9EEB}"/>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3" xfId="12692" xr:uid="{3CEF227F-E7D8-4E43-AC16-B8D8255174F5}"/>
    <cellStyle name="Currency 5 2 2 2 6 3" xfId="5883" xr:uid="{00000000-0005-0000-0000-0000BD0B0000}"/>
    <cellStyle name="Currency 5 2 2 2 6 4" xfId="10547" xr:uid="{FA18F8ED-F02D-46E6-8DDA-5CC619826BFB}"/>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3" xfId="13105" xr:uid="{2A4DEC18-3832-4321-AA1B-65C502DBDA95}"/>
    <cellStyle name="Currency 5 2 2 2 7 3" xfId="6296" xr:uid="{00000000-0005-0000-0000-0000C10B0000}"/>
    <cellStyle name="Currency 5 2 2 2 7 4" xfId="10960" xr:uid="{B92EB756-EB04-40AE-B054-769A56727503}"/>
    <cellStyle name="Currency 5 2 2 2 8" xfId="2423" xr:uid="{00000000-0005-0000-0000-0000C20B0000}"/>
    <cellStyle name="Currency 5 2 2 2 8 2" xfId="6709" xr:uid="{00000000-0005-0000-0000-0000C30B0000}"/>
    <cellStyle name="Currency 5 2 2 2 8 3" xfId="11373" xr:uid="{FFBD046D-26DB-4A3D-959A-D450A0797F8B}"/>
    <cellStyle name="Currency 5 2 2 2 9" xfId="2720" xr:uid="{00000000-0005-0000-0000-0000C40B0000}"/>
    <cellStyle name="Currency 5 2 2 3" xfId="200" xr:uid="{00000000-0005-0000-0000-0000C50B0000}"/>
    <cellStyle name="Currency 5 2 2 3 10" xfId="4647" xr:uid="{00000000-0005-0000-0000-0000C60B0000}"/>
    <cellStyle name="Currency 5 2 2 3 10 2" xfId="9287" xr:uid="{159484EA-98A4-4BD0-923D-C6E12D11762B}"/>
    <cellStyle name="Currency 5 2 2 3 11" xfId="8858" xr:uid="{4C7E6CA6-CE35-408F-9CEB-749E0E00CC79}"/>
    <cellStyle name="Currency 5 2 2 3 2" xfId="201" xr:uid="{00000000-0005-0000-0000-0000C70B0000}"/>
    <cellStyle name="Currency 5 2 2 3 2 10" xfId="8859" xr:uid="{1C2B88D3-6A75-46DC-B92E-46CD5710F8D5}"/>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3" xfId="11871" xr:uid="{5770CD81-B887-4E36-A46E-AF32073D8CA5}"/>
    <cellStyle name="Currency 5 2 2 3 2 2 3" xfId="5062" xr:uid="{00000000-0005-0000-0000-0000CB0B0000}"/>
    <cellStyle name="Currency 5 2 2 3 2 2 4" xfId="9725" xr:uid="{55718E6D-5534-4949-927E-B0206BAE1241}"/>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3" xfId="12284" xr:uid="{BFF76328-2EB9-4FCB-8E3E-A7F6FEA464DE}"/>
    <cellStyle name="Currency 5 2 2 3 2 3 3" xfId="5475" xr:uid="{00000000-0005-0000-0000-0000CF0B0000}"/>
    <cellStyle name="Currency 5 2 2 3 2 3 4" xfId="10138" xr:uid="{69E7E98F-EE62-4319-B25C-45CCE5B3EAEF}"/>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3" xfId="12697" xr:uid="{7A9DA725-5C52-411A-95EE-8D3C65C26375}"/>
    <cellStyle name="Currency 5 2 2 3 2 4 3" xfId="5888" xr:uid="{00000000-0005-0000-0000-0000D30B0000}"/>
    <cellStyle name="Currency 5 2 2 3 2 4 4" xfId="10552" xr:uid="{433D1E44-91C0-4BA1-862A-52C1B7CFBBF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3" xfId="13110" xr:uid="{9074A07C-59A5-4F9A-A5CF-492AA299EA6C}"/>
    <cellStyle name="Currency 5 2 2 3 2 5 3" xfId="6301" xr:uid="{00000000-0005-0000-0000-0000D70B0000}"/>
    <cellStyle name="Currency 5 2 2 3 2 5 4" xfId="10965" xr:uid="{C3EBE602-8372-49B8-92B1-68BDDF9799E8}"/>
    <cellStyle name="Currency 5 2 2 3 2 6" xfId="2428" xr:uid="{00000000-0005-0000-0000-0000D80B0000}"/>
    <cellStyle name="Currency 5 2 2 3 2 6 2" xfId="6714" xr:uid="{00000000-0005-0000-0000-0000D90B0000}"/>
    <cellStyle name="Currency 5 2 2 3 2 6 3" xfId="11378" xr:uid="{2FF4F6F9-D546-4727-932A-A85EED7E0FB4}"/>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3" xfId="11695" xr:uid="{1A7B2657-A26F-492E-9C2E-4FD4E298C5E4}"/>
    <cellStyle name="Currency 5 2 2 3 2 9" xfId="4648" xr:uid="{00000000-0005-0000-0000-0000DD0B0000}"/>
    <cellStyle name="Currency 5 2 2 3 2 9 2" xfId="9288" xr:uid="{4DA6DE7C-EBF2-42F4-9CC7-F504B4CEAD0C}"/>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3" xfId="11870" xr:uid="{F46E22FB-F250-4EE6-8783-F6669D782470}"/>
    <cellStyle name="Currency 5 2 2 3 3 3" xfId="5061" xr:uid="{00000000-0005-0000-0000-0000E10B0000}"/>
    <cellStyle name="Currency 5 2 2 3 3 4" xfId="9724" xr:uid="{D6881B23-8438-4E3C-8D6C-20E5DE2A3B26}"/>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3" xfId="12283" xr:uid="{B28D78D3-7561-4B99-8F06-6A67505DE3A9}"/>
    <cellStyle name="Currency 5 2 2 3 4 3" xfId="5474" xr:uid="{00000000-0005-0000-0000-0000E50B0000}"/>
    <cellStyle name="Currency 5 2 2 3 4 4" xfId="10137" xr:uid="{2CFF9C11-D4FE-492E-A57E-1A7C78C74A3C}"/>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3" xfId="12696" xr:uid="{8274E9B6-F58B-4F0B-8447-B08836969F1E}"/>
    <cellStyle name="Currency 5 2 2 3 5 3" xfId="5887" xr:uid="{00000000-0005-0000-0000-0000E90B0000}"/>
    <cellStyle name="Currency 5 2 2 3 5 4" xfId="10551" xr:uid="{254EF636-B765-4AF1-A89F-A25C8D65DF29}"/>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3" xfId="13109" xr:uid="{AE30972D-D0C1-4C56-B493-C84BDEBD30A3}"/>
    <cellStyle name="Currency 5 2 2 3 6 3" xfId="6300" xr:uid="{00000000-0005-0000-0000-0000ED0B0000}"/>
    <cellStyle name="Currency 5 2 2 3 6 4" xfId="10964" xr:uid="{804AB80D-923A-410E-8CF2-C227DDDD62AB}"/>
    <cellStyle name="Currency 5 2 2 3 7" xfId="2427" xr:uid="{00000000-0005-0000-0000-0000EE0B0000}"/>
    <cellStyle name="Currency 5 2 2 3 7 2" xfId="6713" xr:uid="{00000000-0005-0000-0000-0000EF0B0000}"/>
    <cellStyle name="Currency 5 2 2 3 7 3" xfId="11377" xr:uid="{B07E173A-3BD8-4171-BB9C-45FCC33F3127}"/>
    <cellStyle name="Currency 5 2 2 3 8" xfId="2724" xr:uid="{00000000-0005-0000-0000-0000F00B0000}"/>
    <cellStyle name="Currency 5 2 2 3 9" xfId="2805" xr:uid="{00000000-0005-0000-0000-0000F10B0000}"/>
    <cellStyle name="Currency 5 2 2 3 9 2" xfId="7030" xr:uid="{00000000-0005-0000-0000-0000F20B0000}"/>
    <cellStyle name="Currency 5 2 2 3 9 3" xfId="11694" xr:uid="{8A52CBDB-8648-4945-9DA0-973E113D54B8}"/>
    <cellStyle name="Currency 5 2 2 4" xfId="202" xr:uid="{00000000-0005-0000-0000-0000F30B0000}"/>
    <cellStyle name="Currency 5 2 2 4 10" xfId="8860" xr:uid="{D80E33E4-4F3E-4B90-B6B9-ED2B88DE19ED}"/>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3" xfId="11872" xr:uid="{70598153-FA92-4FA3-9EC5-7D31F507014E}"/>
    <cellStyle name="Currency 5 2 2 4 2 3" xfId="5063" xr:uid="{00000000-0005-0000-0000-0000F70B0000}"/>
    <cellStyle name="Currency 5 2 2 4 2 4" xfId="9726" xr:uid="{B0F22C03-AB68-4877-90C9-4C061CAE3706}"/>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3" xfId="12285" xr:uid="{266B4DFD-7237-40B1-8E97-A29BB9B16A96}"/>
    <cellStyle name="Currency 5 2 2 4 3 3" xfId="5476" xr:uid="{00000000-0005-0000-0000-0000FB0B0000}"/>
    <cellStyle name="Currency 5 2 2 4 3 4" xfId="10139" xr:uid="{081D56D0-C266-4ADB-8CBC-4774348D01C3}"/>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3" xfId="12698" xr:uid="{C4F7143C-9DC5-4888-8A0C-C0691E1120B7}"/>
    <cellStyle name="Currency 5 2 2 4 4 3" xfId="5889" xr:uid="{00000000-0005-0000-0000-0000FF0B0000}"/>
    <cellStyle name="Currency 5 2 2 4 4 4" xfId="10553" xr:uid="{05D40A3D-A730-4944-8AF6-FA7529FAA6B3}"/>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3" xfId="13111" xr:uid="{482DCC26-2B33-40AC-8925-3E29E3EB9045}"/>
    <cellStyle name="Currency 5 2 2 4 5 3" xfId="6302" xr:uid="{00000000-0005-0000-0000-0000030C0000}"/>
    <cellStyle name="Currency 5 2 2 4 5 4" xfId="10966" xr:uid="{FA093D5C-24FC-4700-B2D9-215D58A86A1D}"/>
    <cellStyle name="Currency 5 2 2 4 6" xfId="2429" xr:uid="{00000000-0005-0000-0000-0000040C0000}"/>
    <cellStyle name="Currency 5 2 2 4 6 2" xfId="6715" xr:uid="{00000000-0005-0000-0000-0000050C0000}"/>
    <cellStyle name="Currency 5 2 2 4 6 3" xfId="11379" xr:uid="{D3343429-0FF0-4A10-B504-6DC68B95485A}"/>
    <cellStyle name="Currency 5 2 2 4 7" xfId="2726" xr:uid="{00000000-0005-0000-0000-0000060C0000}"/>
    <cellStyle name="Currency 5 2 2 4 8" xfId="2807" xr:uid="{00000000-0005-0000-0000-0000070C0000}"/>
    <cellStyle name="Currency 5 2 2 4 8 2" xfId="7032" xr:uid="{00000000-0005-0000-0000-0000080C0000}"/>
    <cellStyle name="Currency 5 2 2 4 8 3" xfId="11696" xr:uid="{715F5F73-11DF-43FB-88F0-BB4CFB67269C}"/>
    <cellStyle name="Currency 5 2 2 4 9" xfId="4649" xr:uid="{00000000-0005-0000-0000-0000090C0000}"/>
    <cellStyle name="Currency 5 2 2 4 9 2" xfId="9289" xr:uid="{09828E16-EBA1-4601-AD6D-1783F31BF0D1}"/>
    <cellStyle name="Currency 5 2 2 5" xfId="203" xr:uid="{00000000-0005-0000-0000-00000A0C0000}"/>
    <cellStyle name="Currency 5 2 2 5 10" xfId="8861" xr:uid="{C7684AB9-F1B2-441D-ACF4-D22C5149A6E3}"/>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3" xfId="11873" xr:uid="{8487853F-3BB7-4DDF-8D97-5B3E1C46BAAD}"/>
    <cellStyle name="Currency 5 2 2 5 2 3" xfId="5064" xr:uid="{00000000-0005-0000-0000-00000E0C0000}"/>
    <cellStyle name="Currency 5 2 2 5 2 4" xfId="9727" xr:uid="{2605CDAE-B398-46B7-996B-4C89041D8D77}"/>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3" xfId="12286" xr:uid="{D9C0E0C4-8B51-400A-A31C-729697D70A89}"/>
    <cellStyle name="Currency 5 2 2 5 3 3" xfId="5477" xr:uid="{00000000-0005-0000-0000-0000120C0000}"/>
    <cellStyle name="Currency 5 2 2 5 3 4" xfId="10140" xr:uid="{5BA18C79-0E56-4281-B9BB-DD554C6E1F52}"/>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3" xfId="12699" xr:uid="{3F1D329C-8FC2-44CB-A76B-0E1B98E8FF25}"/>
    <cellStyle name="Currency 5 2 2 5 4 3" xfId="5890" xr:uid="{00000000-0005-0000-0000-0000160C0000}"/>
    <cellStyle name="Currency 5 2 2 5 4 4" xfId="10554" xr:uid="{0224A932-DB6B-4F3A-9683-A54EC73D6096}"/>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3" xfId="13112" xr:uid="{56367EB5-590E-441D-A32D-55822626061F}"/>
    <cellStyle name="Currency 5 2 2 5 5 3" xfId="6303" xr:uid="{00000000-0005-0000-0000-00001A0C0000}"/>
    <cellStyle name="Currency 5 2 2 5 5 4" xfId="10967" xr:uid="{5A8E3E59-E42C-4CFB-9923-75BD0C5A05BC}"/>
    <cellStyle name="Currency 5 2 2 5 6" xfId="2430" xr:uid="{00000000-0005-0000-0000-00001B0C0000}"/>
    <cellStyle name="Currency 5 2 2 5 6 2" xfId="6716" xr:uid="{00000000-0005-0000-0000-00001C0C0000}"/>
    <cellStyle name="Currency 5 2 2 5 6 3" xfId="11380" xr:uid="{55BC93CB-B754-4D44-A143-7D93552A9463}"/>
    <cellStyle name="Currency 5 2 2 5 7" xfId="2727" xr:uid="{00000000-0005-0000-0000-00001D0C0000}"/>
    <cellStyle name="Currency 5 2 2 5 8" xfId="2808" xr:uid="{00000000-0005-0000-0000-00001E0C0000}"/>
    <cellStyle name="Currency 5 2 2 5 8 2" xfId="7033" xr:uid="{00000000-0005-0000-0000-00001F0C0000}"/>
    <cellStyle name="Currency 5 2 2 5 8 3" xfId="11697" xr:uid="{1D22CB7E-1F94-4B95-9D14-D24AABE1F884}"/>
    <cellStyle name="Currency 5 2 2 5 9" xfId="4650" xr:uid="{00000000-0005-0000-0000-0000200C0000}"/>
    <cellStyle name="Currency 5 2 2 5 9 2" xfId="9290" xr:uid="{1BE7D292-085C-4136-A133-731A02D8545D}"/>
    <cellStyle name="Currency 5 2 3" xfId="204" xr:uid="{00000000-0005-0000-0000-0000210C0000}"/>
    <cellStyle name="Currency 5 2 3 2" xfId="732" xr:uid="{00000000-0005-0000-0000-0000220C0000}"/>
    <cellStyle name="Currency 5 2 3 3" xfId="9291" xr:uid="{E19F5817-2F4F-4AE6-86B4-28955AE3D393}"/>
    <cellStyle name="Currency 5 2 4" xfId="205" xr:uid="{00000000-0005-0000-0000-0000230C0000}"/>
    <cellStyle name="Currency 5 2 4 10" xfId="4651" xr:uid="{00000000-0005-0000-0000-0000240C0000}"/>
    <cellStyle name="Currency 5 2 4 10 2" xfId="9292" xr:uid="{3C5D31D7-5D1B-459B-8392-2B212833B4BE}"/>
    <cellStyle name="Currency 5 2 4 11" xfId="8862" xr:uid="{E20553A6-601D-421E-913A-01F8FFB6D511}"/>
    <cellStyle name="Currency 5 2 4 2" xfId="206" xr:uid="{00000000-0005-0000-0000-0000250C0000}"/>
    <cellStyle name="Currency 5 2 4 2 10" xfId="8863" xr:uid="{3EFBE061-0327-4FD8-A665-CC6362E4F936}"/>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3" xfId="11875" xr:uid="{1CC611AC-EAE6-4B46-B1D6-1C80095734EE}"/>
    <cellStyle name="Currency 5 2 4 2 2 3" xfId="5066" xr:uid="{00000000-0005-0000-0000-0000290C0000}"/>
    <cellStyle name="Currency 5 2 4 2 2 4" xfId="9729" xr:uid="{03E05863-DCDD-452A-8C4B-74C03E152723}"/>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3" xfId="12288" xr:uid="{FD9D7126-FD65-4B26-8DAB-EBF733F1C7AA}"/>
    <cellStyle name="Currency 5 2 4 2 3 3" xfId="5479" xr:uid="{00000000-0005-0000-0000-00002D0C0000}"/>
    <cellStyle name="Currency 5 2 4 2 3 4" xfId="10142" xr:uid="{9F8FA3BF-DB91-4896-B92F-B03A541C3395}"/>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3" xfId="12701" xr:uid="{41ECFD43-89EF-42BF-A49E-87D0161063AE}"/>
    <cellStyle name="Currency 5 2 4 2 4 3" xfId="5892" xr:uid="{00000000-0005-0000-0000-0000310C0000}"/>
    <cellStyle name="Currency 5 2 4 2 4 4" xfId="10556" xr:uid="{340B1CF8-79CF-455C-BD14-8748C070924F}"/>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3" xfId="13114" xr:uid="{72F5D21C-FD60-4BB4-AA63-06D01E32B21D}"/>
    <cellStyle name="Currency 5 2 4 2 5 3" xfId="6305" xr:uid="{00000000-0005-0000-0000-0000350C0000}"/>
    <cellStyle name="Currency 5 2 4 2 5 4" xfId="10969" xr:uid="{4B883B2F-2FCE-420D-8295-8F9BE186CED2}"/>
    <cellStyle name="Currency 5 2 4 2 6" xfId="2432" xr:uid="{00000000-0005-0000-0000-0000360C0000}"/>
    <cellStyle name="Currency 5 2 4 2 6 2" xfId="6718" xr:uid="{00000000-0005-0000-0000-0000370C0000}"/>
    <cellStyle name="Currency 5 2 4 2 6 3" xfId="11382" xr:uid="{CBF024BC-AFC2-4FF2-9A1C-9668276C1C1E}"/>
    <cellStyle name="Currency 5 2 4 2 7" xfId="2729" xr:uid="{00000000-0005-0000-0000-0000380C0000}"/>
    <cellStyle name="Currency 5 2 4 2 8" xfId="2810" xr:uid="{00000000-0005-0000-0000-0000390C0000}"/>
    <cellStyle name="Currency 5 2 4 2 8 2" xfId="7035" xr:uid="{00000000-0005-0000-0000-00003A0C0000}"/>
    <cellStyle name="Currency 5 2 4 2 8 3" xfId="11699" xr:uid="{35EB85AB-3B36-4665-864D-F0CE3BFEA259}"/>
    <cellStyle name="Currency 5 2 4 2 9" xfId="4652" xr:uid="{00000000-0005-0000-0000-00003B0C0000}"/>
    <cellStyle name="Currency 5 2 4 2 9 2" xfId="9293" xr:uid="{5DE714F5-A4FF-493F-8A34-C9BE458BAB4C}"/>
    <cellStyle name="Currency 5 2 4 3" xfId="733" xr:uid="{00000000-0005-0000-0000-00003C0C0000}"/>
    <cellStyle name="Currency 5 2 4 3 2" xfId="2986" xr:uid="{00000000-0005-0000-0000-00003D0C0000}"/>
    <cellStyle name="Currency 5 2 4 3 2 2" xfId="7210" xr:uid="{00000000-0005-0000-0000-00003E0C0000}"/>
    <cellStyle name="Currency 5 2 4 3 2 3" xfId="11874" xr:uid="{63BE062D-3855-4A11-8A93-E0700C1431B1}"/>
    <cellStyle name="Currency 5 2 4 3 3" xfId="5065" xr:uid="{00000000-0005-0000-0000-00003F0C0000}"/>
    <cellStyle name="Currency 5 2 4 3 4" xfId="9728" xr:uid="{A3338BF5-5D19-458A-BD12-AA1F3E0B86C8}"/>
    <cellStyle name="Currency 5 2 4 4" xfId="1168" xr:uid="{00000000-0005-0000-0000-0000400C0000}"/>
    <cellStyle name="Currency 5 2 4 4 2" xfId="3399" xr:uid="{00000000-0005-0000-0000-0000410C0000}"/>
    <cellStyle name="Currency 5 2 4 4 2 2" xfId="7623" xr:uid="{00000000-0005-0000-0000-0000420C0000}"/>
    <cellStyle name="Currency 5 2 4 4 2 3" xfId="12287" xr:uid="{5CE480C8-FF0F-441F-8E41-01A99EB7E883}"/>
    <cellStyle name="Currency 5 2 4 4 3" xfId="5478" xr:uid="{00000000-0005-0000-0000-0000430C0000}"/>
    <cellStyle name="Currency 5 2 4 4 4" xfId="10141" xr:uid="{D4D91134-D4F3-41EF-BF2F-87FC8961ADD7}"/>
    <cellStyle name="Currency 5 2 4 5" xfId="1582" xr:uid="{00000000-0005-0000-0000-0000440C0000}"/>
    <cellStyle name="Currency 5 2 4 5 2" xfId="3812" xr:uid="{00000000-0005-0000-0000-0000450C0000}"/>
    <cellStyle name="Currency 5 2 4 5 2 2" xfId="8036" xr:uid="{00000000-0005-0000-0000-0000460C0000}"/>
    <cellStyle name="Currency 5 2 4 5 2 3" xfId="12700" xr:uid="{DDDB8495-E6B2-483B-B5C3-4F79B8683D69}"/>
    <cellStyle name="Currency 5 2 4 5 3" xfId="5891" xr:uid="{00000000-0005-0000-0000-0000470C0000}"/>
    <cellStyle name="Currency 5 2 4 5 4" xfId="10555" xr:uid="{A91B7A20-39E8-4C27-A8D6-8D274CA8CA94}"/>
    <cellStyle name="Currency 5 2 4 6" xfId="1996" xr:uid="{00000000-0005-0000-0000-0000480C0000}"/>
    <cellStyle name="Currency 5 2 4 6 2" xfId="4225" xr:uid="{00000000-0005-0000-0000-0000490C0000}"/>
    <cellStyle name="Currency 5 2 4 6 2 2" xfId="8449" xr:uid="{00000000-0005-0000-0000-00004A0C0000}"/>
    <cellStyle name="Currency 5 2 4 6 2 3" xfId="13113" xr:uid="{7399BF90-3E2A-4258-9933-DE187407BF76}"/>
    <cellStyle name="Currency 5 2 4 6 3" xfId="6304" xr:uid="{00000000-0005-0000-0000-00004B0C0000}"/>
    <cellStyle name="Currency 5 2 4 6 4" xfId="10968" xr:uid="{29BFD170-C0B2-49B5-A92C-7FD9FA9ACD62}"/>
    <cellStyle name="Currency 5 2 4 7" xfId="2431" xr:uid="{00000000-0005-0000-0000-00004C0C0000}"/>
    <cellStyle name="Currency 5 2 4 7 2" xfId="6717" xr:uid="{00000000-0005-0000-0000-00004D0C0000}"/>
    <cellStyle name="Currency 5 2 4 7 3" xfId="11381" xr:uid="{06A89643-F840-47AD-8287-40CA11BD8BB3}"/>
    <cellStyle name="Currency 5 2 4 8" xfId="2728" xr:uid="{00000000-0005-0000-0000-00004E0C0000}"/>
    <cellStyle name="Currency 5 2 4 9" xfId="2809" xr:uid="{00000000-0005-0000-0000-00004F0C0000}"/>
    <cellStyle name="Currency 5 2 4 9 2" xfId="7034" xr:uid="{00000000-0005-0000-0000-0000500C0000}"/>
    <cellStyle name="Currency 5 2 4 9 3" xfId="11698" xr:uid="{BE54D5D2-6541-4AAC-9838-EBC03E7205CC}"/>
    <cellStyle name="Currency 5 2 5" xfId="207" xr:uid="{00000000-0005-0000-0000-0000510C0000}"/>
    <cellStyle name="Currency 5 2 5 10" xfId="8864" xr:uid="{4F7A9F81-EC94-41F6-9F6E-8D778F34C8E4}"/>
    <cellStyle name="Currency 5 2 5 2" xfId="735" xr:uid="{00000000-0005-0000-0000-0000520C0000}"/>
    <cellStyle name="Currency 5 2 5 2 2" xfId="2988" xr:uid="{00000000-0005-0000-0000-0000530C0000}"/>
    <cellStyle name="Currency 5 2 5 2 2 2" xfId="7212" xr:uid="{00000000-0005-0000-0000-0000540C0000}"/>
    <cellStyle name="Currency 5 2 5 2 2 3" xfId="11876" xr:uid="{3AB84DAE-9D6E-415F-B33A-B885DAF87858}"/>
    <cellStyle name="Currency 5 2 5 2 3" xfId="5067" xr:uid="{00000000-0005-0000-0000-0000550C0000}"/>
    <cellStyle name="Currency 5 2 5 2 4" xfId="9730" xr:uid="{3593D927-76B2-405C-8AD1-1984B1BA4CB6}"/>
    <cellStyle name="Currency 5 2 5 3" xfId="1170" xr:uid="{00000000-0005-0000-0000-0000560C0000}"/>
    <cellStyle name="Currency 5 2 5 3 2" xfId="3401" xr:uid="{00000000-0005-0000-0000-0000570C0000}"/>
    <cellStyle name="Currency 5 2 5 3 2 2" xfId="7625" xr:uid="{00000000-0005-0000-0000-0000580C0000}"/>
    <cellStyle name="Currency 5 2 5 3 2 3" xfId="12289" xr:uid="{09EA41C9-8196-4E8C-93F1-FF6D3EC0E428}"/>
    <cellStyle name="Currency 5 2 5 3 3" xfId="5480" xr:uid="{00000000-0005-0000-0000-0000590C0000}"/>
    <cellStyle name="Currency 5 2 5 3 4" xfId="10143" xr:uid="{DC6E80E3-4717-4E18-A824-F2D39D958D6F}"/>
    <cellStyle name="Currency 5 2 5 4" xfId="1584" xr:uid="{00000000-0005-0000-0000-00005A0C0000}"/>
    <cellStyle name="Currency 5 2 5 4 2" xfId="3814" xr:uid="{00000000-0005-0000-0000-00005B0C0000}"/>
    <cellStyle name="Currency 5 2 5 4 2 2" xfId="8038" xr:uid="{00000000-0005-0000-0000-00005C0C0000}"/>
    <cellStyle name="Currency 5 2 5 4 2 3" xfId="12702" xr:uid="{A39D66DD-63E0-4AB4-9BE1-F0FDC8AAD055}"/>
    <cellStyle name="Currency 5 2 5 4 3" xfId="5893" xr:uid="{00000000-0005-0000-0000-00005D0C0000}"/>
    <cellStyle name="Currency 5 2 5 4 4" xfId="10557" xr:uid="{C9DC64E6-46A4-4938-AF27-D26D08661793}"/>
    <cellStyle name="Currency 5 2 5 5" xfId="1998" xr:uid="{00000000-0005-0000-0000-00005E0C0000}"/>
    <cellStyle name="Currency 5 2 5 5 2" xfId="4227" xr:uid="{00000000-0005-0000-0000-00005F0C0000}"/>
    <cellStyle name="Currency 5 2 5 5 2 2" xfId="8451" xr:uid="{00000000-0005-0000-0000-0000600C0000}"/>
    <cellStyle name="Currency 5 2 5 5 2 3" xfId="13115" xr:uid="{D9E88EF2-6144-4EC5-BC6C-58926278F4A9}"/>
    <cellStyle name="Currency 5 2 5 5 3" xfId="6306" xr:uid="{00000000-0005-0000-0000-0000610C0000}"/>
    <cellStyle name="Currency 5 2 5 5 4" xfId="10970" xr:uid="{0F457A14-B33F-4CD4-9113-4E5D50ECFBA5}"/>
    <cellStyle name="Currency 5 2 5 6" xfId="2433" xr:uid="{00000000-0005-0000-0000-0000620C0000}"/>
    <cellStyle name="Currency 5 2 5 6 2" xfId="6719" xr:uid="{00000000-0005-0000-0000-0000630C0000}"/>
    <cellStyle name="Currency 5 2 5 6 3" xfId="11383" xr:uid="{B0C56525-EDD6-4CC0-B41E-96F689DA70F2}"/>
    <cellStyle name="Currency 5 2 5 7" xfId="2730" xr:uid="{00000000-0005-0000-0000-0000640C0000}"/>
    <cellStyle name="Currency 5 2 5 8" xfId="2811" xr:uid="{00000000-0005-0000-0000-0000650C0000}"/>
    <cellStyle name="Currency 5 2 5 8 2" xfId="7036" xr:uid="{00000000-0005-0000-0000-0000660C0000}"/>
    <cellStyle name="Currency 5 2 5 8 3" xfId="11700" xr:uid="{F5279903-8983-48F7-9A38-6D91DAB113FE}"/>
    <cellStyle name="Currency 5 2 5 9" xfId="4653" xr:uid="{00000000-0005-0000-0000-0000670C0000}"/>
    <cellStyle name="Currency 5 2 5 9 2" xfId="9294" xr:uid="{6DA3E0AF-DBD7-4FB4-9D2E-F10A9C1D9EDA}"/>
    <cellStyle name="Currency 5 2 6" xfId="208" xr:uid="{00000000-0005-0000-0000-0000680C0000}"/>
    <cellStyle name="Currency 5 2 6 10" xfId="8865" xr:uid="{E41CCABA-77C3-46A8-9CC3-1BD282428B57}"/>
    <cellStyle name="Currency 5 2 6 2" xfId="736" xr:uid="{00000000-0005-0000-0000-0000690C0000}"/>
    <cellStyle name="Currency 5 2 6 2 2" xfId="2989" xr:uid="{00000000-0005-0000-0000-00006A0C0000}"/>
    <cellStyle name="Currency 5 2 6 2 2 2" xfId="7213" xr:uid="{00000000-0005-0000-0000-00006B0C0000}"/>
    <cellStyle name="Currency 5 2 6 2 2 3" xfId="11877" xr:uid="{475DD398-DE60-4B2A-A63D-62D1CD9983C5}"/>
    <cellStyle name="Currency 5 2 6 2 3" xfId="5068" xr:uid="{00000000-0005-0000-0000-00006C0C0000}"/>
    <cellStyle name="Currency 5 2 6 2 4" xfId="9731" xr:uid="{7767BC53-197E-4B2A-8E50-442139C02114}"/>
    <cellStyle name="Currency 5 2 6 3" xfId="1171" xr:uid="{00000000-0005-0000-0000-00006D0C0000}"/>
    <cellStyle name="Currency 5 2 6 3 2" xfId="3402" xr:uid="{00000000-0005-0000-0000-00006E0C0000}"/>
    <cellStyle name="Currency 5 2 6 3 2 2" xfId="7626" xr:uid="{00000000-0005-0000-0000-00006F0C0000}"/>
    <cellStyle name="Currency 5 2 6 3 2 3" xfId="12290" xr:uid="{E7FD5448-9482-4EBC-917B-7C74D7FA32BF}"/>
    <cellStyle name="Currency 5 2 6 3 3" xfId="5481" xr:uid="{00000000-0005-0000-0000-0000700C0000}"/>
    <cellStyle name="Currency 5 2 6 3 4" xfId="10144" xr:uid="{0DFBFFA5-1F81-4C0A-ACCF-119944A7E5F4}"/>
    <cellStyle name="Currency 5 2 6 4" xfId="1585" xr:uid="{00000000-0005-0000-0000-0000710C0000}"/>
    <cellStyle name="Currency 5 2 6 4 2" xfId="3815" xr:uid="{00000000-0005-0000-0000-0000720C0000}"/>
    <cellStyle name="Currency 5 2 6 4 2 2" xfId="8039" xr:uid="{00000000-0005-0000-0000-0000730C0000}"/>
    <cellStyle name="Currency 5 2 6 4 2 3" xfId="12703" xr:uid="{A33AD8A8-B24F-442C-AF91-E76963D35EE1}"/>
    <cellStyle name="Currency 5 2 6 4 3" xfId="5894" xr:uid="{00000000-0005-0000-0000-0000740C0000}"/>
    <cellStyle name="Currency 5 2 6 4 4" xfId="10558" xr:uid="{0DDDBE14-D2CA-4C4B-8C56-440BC56502B0}"/>
    <cellStyle name="Currency 5 2 6 5" xfId="1999" xr:uid="{00000000-0005-0000-0000-0000750C0000}"/>
    <cellStyle name="Currency 5 2 6 5 2" xfId="4228" xr:uid="{00000000-0005-0000-0000-0000760C0000}"/>
    <cellStyle name="Currency 5 2 6 5 2 2" xfId="8452" xr:uid="{00000000-0005-0000-0000-0000770C0000}"/>
    <cellStyle name="Currency 5 2 6 5 2 3" xfId="13116" xr:uid="{B742F89C-8EE4-4446-BC06-36738CBADCCD}"/>
    <cellStyle name="Currency 5 2 6 5 3" xfId="6307" xr:uid="{00000000-0005-0000-0000-0000780C0000}"/>
    <cellStyle name="Currency 5 2 6 5 4" xfId="10971" xr:uid="{6FF8E0B7-9D6E-425E-A2A4-B3F92CE12633}"/>
    <cellStyle name="Currency 5 2 6 6" xfId="2434" xr:uid="{00000000-0005-0000-0000-0000790C0000}"/>
    <cellStyle name="Currency 5 2 6 6 2" xfId="6720" xr:uid="{00000000-0005-0000-0000-00007A0C0000}"/>
    <cellStyle name="Currency 5 2 6 6 3" xfId="11384" xr:uid="{ADE0119B-99DF-4317-8489-344F12B31254}"/>
    <cellStyle name="Currency 5 2 6 7" xfId="2731" xr:uid="{00000000-0005-0000-0000-00007B0C0000}"/>
    <cellStyle name="Currency 5 2 6 8" xfId="2812" xr:uid="{00000000-0005-0000-0000-00007C0C0000}"/>
    <cellStyle name="Currency 5 2 6 8 2" xfId="7037" xr:uid="{00000000-0005-0000-0000-00007D0C0000}"/>
    <cellStyle name="Currency 5 2 6 8 3" xfId="11701" xr:uid="{AA6ACD6E-A20B-40A3-B61C-E0E92877616E}"/>
    <cellStyle name="Currency 5 2 6 9" xfId="4654" xr:uid="{00000000-0005-0000-0000-00007E0C0000}"/>
    <cellStyle name="Currency 5 2 6 9 2" xfId="9295" xr:uid="{3B57EAF7-B704-44C0-B308-6BCBBDE704A6}"/>
    <cellStyle name="Currency 5 2 7" xfId="723" xr:uid="{00000000-0005-0000-0000-00007F0C0000}"/>
    <cellStyle name="Currency 5 2 8" xfId="9282" xr:uid="{AE75EB65-5DEA-48F8-B6D6-B6467BCB587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3" xfId="11702" xr:uid="{4EEBA506-4488-4A61-8646-30751E660AA8}"/>
    <cellStyle name="Currency 5 3 2 11" xfId="4655" xr:uid="{00000000-0005-0000-0000-0000840C0000}"/>
    <cellStyle name="Currency 5 3 2 11 2" xfId="9296" xr:uid="{A0E00EED-DEA3-492A-8DC6-11F88EA20A01}"/>
    <cellStyle name="Currency 5 3 2 12" xfId="8866" xr:uid="{F2DCB41D-64E4-44B2-A5A8-EC0505167D3B}"/>
    <cellStyle name="Currency 5 3 2 2" xfId="211" xr:uid="{00000000-0005-0000-0000-0000850C0000}"/>
    <cellStyle name="Currency 5 3 2 2 10" xfId="4656" xr:uid="{00000000-0005-0000-0000-0000860C0000}"/>
    <cellStyle name="Currency 5 3 2 2 10 2" xfId="9297" xr:uid="{74E368D4-00E9-4190-9695-B4F740160AB8}"/>
    <cellStyle name="Currency 5 3 2 2 11" xfId="8867" xr:uid="{12CC479C-FFDD-4A99-BAB0-49141AFC1BC7}"/>
    <cellStyle name="Currency 5 3 2 2 2" xfId="212" xr:uid="{00000000-0005-0000-0000-0000870C0000}"/>
    <cellStyle name="Currency 5 3 2 2 2 10" xfId="8868" xr:uid="{00369C80-95AD-4BCB-8959-0FF120D8E402}"/>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3" xfId="11880" xr:uid="{DEA42781-AEBC-41B7-A63D-FE9A8DA2BE38}"/>
    <cellStyle name="Currency 5 3 2 2 2 2 3" xfId="5071" xr:uid="{00000000-0005-0000-0000-00008B0C0000}"/>
    <cellStyle name="Currency 5 3 2 2 2 2 4" xfId="9734" xr:uid="{73AD2F44-8CB4-4E2C-B66A-A2F10CA386C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3" xfId="12293" xr:uid="{4E90B2EB-2AB4-4F17-83A4-517D9EB414DF}"/>
    <cellStyle name="Currency 5 3 2 2 2 3 3" xfId="5484" xr:uid="{00000000-0005-0000-0000-00008F0C0000}"/>
    <cellStyle name="Currency 5 3 2 2 2 3 4" xfId="10147" xr:uid="{D57D2E60-1066-49AA-BBC6-F66A5DD8C726}"/>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3" xfId="12706" xr:uid="{F96AD691-B1D2-47FB-8249-1CF323CEE7D9}"/>
    <cellStyle name="Currency 5 3 2 2 2 4 3" xfId="5897" xr:uid="{00000000-0005-0000-0000-0000930C0000}"/>
    <cellStyle name="Currency 5 3 2 2 2 4 4" xfId="10561" xr:uid="{62B89AE6-5A0F-42BD-A397-652763C27EC4}"/>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3" xfId="13119" xr:uid="{0B99130B-A504-4A76-A2AC-CF922BAFA177}"/>
    <cellStyle name="Currency 5 3 2 2 2 5 3" xfId="6310" xr:uid="{00000000-0005-0000-0000-0000970C0000}"/>
    <cellStyle name="Currency 5 3 2 2 2 5 4" xfId="10974" xr:uid="{B95E823B-3B87-4CA5-BB18-DC09C092C02F}"/>
    <cellStyle name="Currency 5 3 2 2 2 6" xfId="2437" xr:uid="{00000000-0005-0000-0000-0000980C0000}"/>
    <cellStyle name="Currency 5 3 2 2 2 6 2" xfId="6723" xr:uid="{00000000-0005-0000-0000-0000990C0000}"/>
    <cellStyle name="Currency 5 3 2 2 2 6 3" xfId="11387" xr:uid="{FF4C5035-381F-49E7-AF2F-EBFF806054F7}"/>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3" xfId="11704" xr:uid="{2AD5C094-03DB-476B-A0A7-F93C6B1391A9}"/>
    <cellStyle name="Currency 5 3 2 2 2 9" xfId="4657" xr:uid="{00000000-0005-0000-0000-00009D0C0000}"/>
    <cellStyle name="Currency 5 3 2 2 2 9 2" xfId="9298" xr:uid="{145CF222-0441-48A6-8B76-9925F429D1D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3" xfId="11879" xr:uid="{B9B2A099-8449-4E19-855E-E3812436EF60}"/>
    <cellStyle name="Currency 5 3 2 2 3 3" xfId="5070" xr:uid="{00000000-0005-0000-0000-0000A10C0000}"/>
    <cellStyle name="Currency 5 3 2 2 3 4" xfId="9733" xr:uid="{AC4FC23D-C859-406A-BCF4-312489DF3C37}"/>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3" xfId="12292" xr:uid="{1FB36066-EF00-4968-91B6-BB7662A01FB3}"/>
    <cellStyle name="Currency 5 3 2 2 4 3" xfId="5483" xr:uid="{00000000-0005-0000-0000-0000A50C0000}"/>
    <cellStyle name="Currency 5 3 2 2 4 4" xfId="10146" xr:uid="{18CA675E-92FE-4BF3-BF15-5DE53F48477B}"/>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3" xfId="12705" xr:uid="{597FB189-EF91-4B9F-B14F-D9D348597568}"/>
    <cellStyle name="Currency 5 3 2 2 5 3" xfId="5896" xr:uid="{00000000-0005-0000-0000-0000A90C0000}"/>
    <cellStyle name="Currency 5 3 2 2 5 4" xfId="10560" xr:uid="{496A05C1-5669-4D40-AE94-E9D0222EADAA}"/>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3" xfId="13118" xr:uid="{732DC3A1-5989-44AB-8B00-F87FFEACFBE1}"/>
    <cellStyle name="Currency 5 3 2 2 6 3" xfId="6309" xr:uid="{00000000-0005-0000-0000-0000AD0C0000}"/>
    <cellStyle name="Currency 5 3 2 2 6 4" xfId="10973" xr:uid="{F5512362-6919-4D15-99BF-2028051BDBE2}"/>
    <cellStyle name="Currency 5 3 2 2 7" xfId="2436" xr:uid="{00000000-0005-0000-0000-0000AE0C0000}"/>
    <cellStyle name="Currency 5 3 2 2 7 2" xfId="6722" xr:uid="{00000000-0005-0000-0000-0000AF0C0000}"/>
    <cellStyle name="Currency 5 3 2 2 7 3" xfId="11386" xr:uid="{8A8865DD-E2AF-4627-9351-E5F22688CEA1}"/>
    <cellStyle name="Currency 5 3 2 2 8" xfId="2733" xr:uid="{00000000-0005-0000-0000-0000B00C0000}"/>
    <cellStyle name="Currency 5 3 2 2 9" xfId="2814" xr:uid="{00000000-0005-0000-0000-0000B10C0000}"/>
    <cellStyle name="Currency 5 3 2 2 9 2" xfId="7039" xr:uid="{00000000-0005-0000-0000-0000B20C0000}"/>
    <cellStyle name="Currency 5 3 2 2 9 3" xfId="11703" xr:uid="{35681A8C-C762-449C-8A71-73EB2A0E6FEA}"/>
    <cellStyle name="Currency 5 3 2 3" xfId="213" xr:uid="{00000000-0005-0000-0000-0000B30C0000}"/>
    <cellStyle name="Currency 5 3 2 3 10" xfId="8869" xr:uid="{302459BB-BF94-40FA-9BB9-69EF63AA3C2E}"/>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3" xfId="11881" xr:uid="{81EED4DE-1DF4-4BFE-9584-C239040FBFCD}"/>
    <cellStyle name="Currency 5 3 2 3 2 3" xfId="5072" xr:uid="{00000000-0005-0000-0000-0000B70C0000}"/>
    <cellStyle name="Currency 5 3 2 3 2 4" xfId="9735" xr:uid="{8CB255E1-E9A4-4E2C-81A8-3E77A9428A1E}"/>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3" xfId="12294" xr:uid="{5C7FD628-5B0C-4EF8-B7DD-C64FBC1BA831}"/>
    <cellStyle name="Currency 5 3 2 3 3 3" xfId="5485" xr:uid="{00000000-0005-0000-0000-0000BB0C0000}"/>
    <cellStyle name="Currency 5 3 2 3 3 4" xfId="10148" xr:uid="{D35DACD2-BE46-4FDE-9860-9B0FFC67C7FE}"/>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3" xfId="12707" xr:uid="{52E816C5-3A70-4945-97A7-BA8EF52EEFB5}"/>
    <cellStyle name="Currency 5 3 2 3 4 3" xfId="5898" xr:uid="{00000000-0005-0000-0000-0000BF0C0000}"/>
    <cellStyle name="Currency 5 3 2 3 4 4" xfId="10562" xr:uid="{401529AE-2716-42C5-A33D-9A0754534EA6}"/>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3" xfId="13120" xr:uid="{EEAF35F5-DECE-484E-BA02-657CC80942C8}"/>
    <cellStyle name="Currency 5 3 2 3 5 3" xfId="6311" xr:uid="{00000000-0005-0000-0000-0000C30C0000}"/>
    <cellStyle name="Currency 5 3 2 3 5 4" xfId="10975" xr:uid="{BEE8D068-FEB2-455E-9F80-632183E492AC}"/>
    <cellStyle name="Currency 5 3 2 3 6" xfId="2438" xr:uid="{00000000-0005-0000-0000-0000C40C0000}"/>
    <cellStyle name="Currency 5 3 2 3 6 2" xfId="6724" xr:uid="{00000000-0005-0000-0000-0000C50C0000}"/>
    <cellStyle name="Currency 5 3 2 3 6 3" xfId="11388" xr:uid="{E191C377-C2FB-4CD6-9606-F2402BD75419}"/>
    <cellStyle name="Currency 5 3 2 3 7" xfId="2735" xr:uid="{00000000-0005-0000-0000-0000C60C0000}"/>
    <cellStyle name="Currency 5 3 2 3 8" xfId="2816" xr:uid="{00000000-0005-0000-0000-0000C70C0000}"/>
    <cellStyle name="Currency 5 3 2 3 8 2" xfId="7041" xr:uid="{00000000-0005-0000-0000-0000C80C0000}"/>
    <cellStyle name="Currency 5 3 2 3 8 3" xfId="11705" xr:uid="{CE9B66E4-57E8-4655-B59F-2DA1B52514DF}"/>
    <cellStyle name="Currency 5 3 2 3 9" xfId="4658" xr:uid="{00000000-0005-0000-0000-0000C90C0000}"/>
    <cellStyle name="Currency 5 3 2 3 9 2" xfId="9299" xr:uid="{05F145B1-B253-4B85-A50C-E99870ED22DE}"/>
    <cellStyle name="Currency 5 3 2 4" xfId="737" xr:uid="{00000000-0005-0000-0000-0000CA0C0000}"/>
    <cellStyle name="Currency 5 3 2 4 2" xfId="2990" xr:uid="{00000000-0005-0000-0000-0000CB0C0000}"/>
    <cellStyle name="Currency 5 3 2 4 2 2" xfId="7214" xr:uid="{00000000-0005-0000-0000-0000CC0C0000}"/>
    <cellStyle name="Currency 5 3 2 4 2 3" xfId="11878" xr:uid="{DE3C7F11-58E0-46F4-8246-CA6C5FF43AA2}"/>
    <cellStyle name="Currency 5 3 2 4 3" xfId="5069" xr:uid="{00000000-0005-0000-0000-0000CD0C0000}"/>
    <cellStyle name="Currency 5 3 2 4 4" xfId="9732" xr:uid="{3E600598-79B3-4B6F-A779-616339D57282}"/>
    <cellStyle name="Currency 5 3 2 5" xfId="1172" xr:uid="{00000000-0005-0000-0000-0000CE0C0000}"/>
    <cellStyle name="Currency 5 3 2 5 2" xfId="3403" xr:uid="{00000000-0005-0000-0000-0000CF0C0000}"/>
    <cellStyle name="Currency 5 3 2 5 2 2" xfId="7627" xr:uid="{00000000-0005-0000-0000-0000D00C0000}"/>
    <cellStyle name="Currency 5 3 2 5 2 3" xfId="12291" xr:uid="{122243A4-70F8-407B-8DAE-F0E7325659AE}"/>
    <cellStyle name="Currency 5 3 2 5 3" xfId="5482" xr:uid="{00000000-0005-0000-0000-0000D10C0000}"/>
    <cellStyle name="Currency 5 3 2 5 4" xfId="10145" xr:uid="{11128ED5-F1D1-45EC-8E5F-E868918CB100}"/>
    <cellStyle name="Currency 5 3 2 6" xfId="1586" xr:uid="{00000000-0005-0000-0000-0000D20C0000}"/>
    <cellStyle name="Currency 5 3 2 6 2" xfId="3816" xr:uid="{00000000-0005-0000-0000-0000D30C0000}"/>
    <cellStyle name="Currency 5 3 2 6 2 2" xfId="8040" xr:uid="{00000000-0005-0000-0000-0000D40C0000}"/>
    <cellStyle name="Currency 5 3 2 6 2 3" xfId="12704" xr:uid="{5660740B-9906-494B-956B-A0C20E65CCF1}"/>
    <cellStyle name="Currency 5 3 2 6 3" xfId="5895" xr:uid="{00000000-0005-0000-0000-0000D50C0000}"/>
    <cellStyle name="Currency 5 3 2 6 4" xfId="10559" xr:uid="{39490218-380A-4F7F-88D1-6433403CCDBD}"/>
    <cellStyle name="Currency 5 3 2 7" xfId="2000" xr:uid="{00000000-0005-0000-0000-0000D60C0000}"/>
    <cellStyle name="Currency 5 3 2 7 2" xfId="4229" xr:uid="{00000000-0005-0000-0000-0000D70C0000}"/>
    <cellStyle name="Currency 5 3 2 7 2 2" xfId="8453" xr:uid="{00000000-0005-0000-0000-0000D80C0000}"/>
    <cellStyle name="Currency 5 3 2 7 2 3" xfId="13117" xr:uid="{8EDE106F-21E8-4485-B934-0CE96E97EF7F}"/>
    <cellStyle name="Currency 5 3 2 7 3" xfId="6308" xr:uid="{00000000-0005-0000-0000-0000D90C0000}"/>
    <cellStyle name="Currency 5 3 2 7 4" xfId="10972" xr:uid="{056F1D06-5D81-4D58-84C9-E10CDD6C1DDF}"/>
    <cellStyle name="Currency 5 3 2 8" xfId="2435" xr:uid="{00000000-0005-0000-0000-0000DA0C0000}"/>
    <cellStyle name="Currency 5 3 2 8 2" xfId="6721" xr:uid="{00000000-0005-0000-0000-0000DB0C0000}"/>
    <cellStyle name="Currency 5 3 2 8 3" xfId="11385" xr:uid="{D9CFD7F2-9267-46E4-B267-36F90E5FB84A}"/>
    <cellStyle name="Currency 5 3 2 9" xfId="2732" xr:uid="{00000000-0005-0000-0000-0000DC0C0000}"/>
    <cellStyle name="Currency 5 3 3" xfId="214" xr:uid="{00000000-0005-0000-0000-0000DD0C0000}"/>
    <cellStyle name="Currency 5 3 3 10" xfId="4659" xr:uid="{00000000-0005-0000-0000-0000DE0C0000}"/>
    <cellStyle name="Currency 5 3 3 10 2" xfId="9300" xr:uid="{D95781CB-FB20-48BB-88EB-DC26D4205FF2}"/>
    <cellStyle name="Currency 5 3 3 11" xfId="8870" xr:uid="{C36A6669-69F6-4484-A6B6-A3862B21DE3C}"/>
    <cellStyle name="Currency 5 3 3 2" xfId="215" xr:uid="{00000000-0005-0000-0000-0000DF0C0000}"/>
    <cellStyle name="Currency 5 3 3 2 10" xfId="8871" xr:uid="{248D91F1-28DA-4B09-A14F-22A5791325ED}"/>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3" xfId="11883" xr:uid="{99C1C9B5-AB1A-496C-8A7E-BD08A752F22B}"/>
    <cellStyle name="Currency 5 3 3 2 2 3" xfId="5074" xr:uid="{00000000-0005-0000-0000-0000E30C0000}"/>
    <cellStyle name="Currency 5 3 3 2 2 4" xfId="9737" xr:uid="{043CDD07-98FA-49B4-95F0-192CAAC1240F}"/>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3" xfId="12296" xr:uid="{0DEFE855-F56E-4962-9BB5-8D4C73B34218}"/>
    <cellStyle name="Currency 5 3 3 2 3 3" xfId="5487" xr:uid="{00000000-0005-0000-0000-0000E70C0000}"/>
    <cellStyle name="Currency 5 3 3 2 3 4" xfId="10150" xr:uid="{102C9A20-ECB6-4486-98D2-B71603DE72EC}"/>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3" xfId="12709" xr:uid="{E4E5BCAB-6EBA-435E-AB0B-D9A368559968}"/>
    <cellStyle name="Currency 5 3 3 2 4 3" xfId="5900" xr:uid="{00000000-0005-0000-0000-0000EB0C0000}"/>
    <cellStyle name="Currency 5 3 3 2 4 4" xfId="10564" xr:uid="{E8BC8A0C-5AAE-4438-8BF7-B82409F9793A}"/>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3" xfId="13122" xr:uid="{FFD90CBF-7939-4913-892F-A34F3360DB38}"/>
    <cellStyle name="Currency 5 3 3 2 5 3" xfId="6313" xr:uid="{00000000-0005-0000-0000-0000EF0C0000}"/>
    <cellStyle name="Currency 5 3 3 2 5 4" xfId="10977" xr:uid="{2E04E99D-1EC3-4A17-B0AB-DF791D8318B8}"/>
    <cellStyle name="Currency 5 3 3 2 6" xfId="2440" xr:uid="{00000000-0005-0000-0000-0000F00C0000}"/>
    <cellStyle name="Currency 5 3 3 2 6 2" xfId="6726" xr:uid="{00000000-0005-0000-0000-0000F10C0000}"/>
    <cellStyle name="Currency 5 3 3 2 6 3" xfId="11390" xr:uid="{CC3BE380-EDD9-4448-9A92-E70D0CC1C63F}"/>
    <cellStyle name="Currency 5 3 3 2 7" xfId="2737" xr:uid="{00000000-0005-0000-0000-0000F20C0000}"/>
    <cellStyle name="Currency 5 3 3 2 8" xfId="2818" xr:uid="{00000000-0005-0000-0000-0000F30C0000}"/>
    <cellStyle name="Currency 5 3 3 2 8 2" xfId="7043" xr:uid="{00000000-0005-0000-0000-0000F40C0000}"/>
    <cellStyle name="Currency 5 3 3 2 8 3" xfId="11707" xr:uid="{166DCA29-6775-4B03-8EAE-37896C6C970E}"/>
    <cellStyle name="Currency 5 3 3 2 9" xfId="4660" xr:uid="{00000000-0005-0000-0000-0000F50C0000}"/>
    <cellStyle name="Currency 5 3 3 2 9 2" xfId="9301" xr:uid="{C78A2365-7863-46A0-BFFC-F7D525B6EDBA}"/>
    <cellStyle name="Currency 5 3 3 3" xfId="741" xr:uid="{00000000-0005-0000-0000-0000F60C0000}"/>
    <cellStyle name="Currency 5 3 3 3 2" xfId="2994" xr:uid="{00000000-0005-0000-0000-0000F70C0000}"/>
    <cellStyle name="Currency 5 3 3 3 2 2" xfId="7218" xr:uid="{00000000-0005-0000-0000-0000F80C0000}"/>
    <cellStyle name="Currency 5 3 3 3 2 3" xfId="11882" xr:uid="{BBF63027-590F-4C26-A9E1-4737F4325DF8}"/>
    <cellStyle name="Currency 5 3 3 3 3" xfId="5073" xr:uid="{00000000-0005-0000-0000-0000F90C0000}"/>
    <cellStyle name="Currency 5 3 3 3 4" xfId="9736" xr:uid="{4F46564E-2F97-4D4B-9E61-9F55D85DD92E}"/>
    <cellStyle name="Currency 5 3 3 4" xfId="1176" xr:uid="{00000000-0005-0000-0000-0000FA0C0000}"/>
    <cellStyle name="Currency 5 3 3 4 2" xfId="3407" xr:uid="{00000000-0005-0000-0000-0000FB0C0000}"/>
    <cellStyle name="Currency 5 3 3 4 2 2" xfId="7631" xr:uid="{00000000-0005-0000-0000-0000FC0C0000}"/>
    <cellStyle name="Currency 5 3 3 4 2 3" xfId="12295" xr:uid="{C8B2D371-85FA-44A1-8523-5F7B5F8D01E5}"/>
    <cellStyle name="Currency 5 3 3 4 3" xfId="5486" xr:uid="{00000000-0005-0000-0000-0000FD0C0000}"/>
    <cellStyle name="Currency 5 3 3 4 4" xfId="10149" xr:uid="{C0E0D7E8-C27C-41A5-B236-795079282950}"/>
    <cellStyle name="Currency 5 3 3 5" xfId="1590" xr:uid="{00000000-0005-0000-0000-0000FE0C0000}"/>
    <cellStyle name="Currency 5 3 3 5 2" xfId="3820" xr:uid="{00000000-0005-0000-0000-0000FF0C0000}"/>
    <cellStyle name="Currency 5 3 3 5 2 2" xfId="8044" xr:uid="{00000000-0005-0000-0000-0000000D0000}"/>
    <cellStyle name="Currency 5 3 3 5 2 3" xfId="12708" xr:uid="{847CC6A1-9747-46E5-8D46-C69658D59E6A}"/>
    <cellStyle name="Currency 5 3 3 5 3" xfId="5899" xr:uid="{00000000-0005-0000-0000-0000010D0000}"/>
    <cellStyle name="Currency 5 3 3 5 4" xfId="10563" xr:uid="{E9C198D6-CD52-42C6-8FF5-2BDAC03A73C9}"/>
    <cellStyle name="Currency 5 3 3 6" xfId="2004" xr:uid="{00000000-0005-0000-0000-0000020D0000}"/>
    <cellStyle name="Currency 5 3 3 6 2" xfId="4233" xr:uid="{00000000-0005-0000-0000-0000030D0000}"/>
    <cellStyle name="Currency 5 3 3 6 2 2" xfId="8457" xr:uid="{00000000-0005-0000-0000-0000040D0000}"/>
    <cellStyle name="Currency 5 3 3 6 2 3" xfId="13121" xr:uid="{1526FFEF-05AA-4B1B-9671-6064EFCF1169}"/>
    <cellStyle name="Currency 5 3 3 6 3" xfId="6312" xr:uid="{00000000-0005-0000-0000-0000050D0000}"/>
    <cellStyle name="Currency 5 3 3 6 4" xfId="10976" xr:uid="{5D83B3CE-1361-4EDA-93CF-EFFAAC863DBB}"/>
    <cellStyle name="Currency 5 3 3 7" xfId="2439" xr:uid="{00000000-0005-0000-0000-0000060D0000}"/>
    <cellStyle name="Currency 5 3 3 7 2" xfId="6725" xr:uid="{00000000-0005-0000-0000-0000070D0000}"/>
    <cellStyle name="Currency 5 3 3 7 3" xfId="11389" xr:uid="{6F11B267-F3EF-40E5-8423-B47EFB59D14B}"/>
    <cellStyle name="Currency 5 3 3 8" xfId="2736" xr:uid="{00000000-0005-0000-0000-0000080D0000}"/>
    <cellStyle name="Currency 5 3 3 9" xfId="2817" xr:uid="{00000000-0005-0000-0000-0000090D0000}"/>
    <cellStyle name="Currency 5 3 3 9 2" xfId="7042" xr:uid="{00000000-0005-0000-0000-00000A0D0000}"/>
    <cellStyle name="Currency 5 3 3 9 3" xfId="11706" xr:uid="{7ADF3D7F-8AFB-423F-9A8C-FD0A1D849D61}"/>
    <cellStyle name="Currency 5 3 4" xfId="216" xr:uid="{00000000-0005-0000-0000-00000B0D0000}"/>
    <cellStyle name="Currency 5 3 4 10" xfId="8872" xr:uid="{91524BD0-31AE-49BD-8787-2C5E0C696652}"/>
    <cellStyle name="Currency 5 3 4 2" xfId="743" xr:uid="{00000000-0005-0000-0000-00000C0D0000}"/>
    <cellStyle name="Currency 5 3 4 2 2" xfId="2996" xr:uid="{00000000-0005-0000-0000-00000D0D0000}"/>
    <cellStyle name="Currency 5 3 4 2 2 2" xfId="7220" xr:uid="{00000000-0005-0000-0000-00000E0D0000}"/>
    <cellStyle name="Currency 5 3 4 2 2 3" xfId="11884" xr:uid="{E300B24F-8577-4B68-81DE-6884264EEC34}"/>
    <cellStyle name="Currency 5 3 4 2 3" xfId="5075" xr:uid="{00000000-0005-0000-0000-00000F0D0000}"/>
    <cellStyle name="Currency 5 3 4 2 4" xfId="9738" xr:uid="{020105C3-FB8B-41E7-9A45-485420666F72}"/>
    <cellStyle name="Currency 5 3 4 3" xfId="1178" xr:uid="{00000000-0005-0000-0000-0000100D0000}"/>
    <cellStyle name="Currency 5 3 4 3 2" xfId="3409" xr:uid="{00000000-0005-0000-0000-0000110D0000}"/>
    <cellStyle name="Currency 5 3 4 3 2 2" xfId="7633" xr:uid="{00000000-0005-0000-0000-0000120D0000}"/>
    <cellStyle name="Currency 5 3 4 3 2 3" xfId="12297" xr:uid="{C49AA737-7C73-4428-BAD2-BE3316B9ECF2}"/>
    <cellStyle name="Currency 5 3 4 3 3" xfId="5488" xr:uid="{00000000-0005-0000-0000-0000130D0000}"/>
    <cellStyle name="Currency 5 3 4 3 4" xfId="10151" xr:uid="{6DB9B2B1-CA43-49C8-9D9E-CE23CE46DD0F}"/>
    <cellStyle name="Currency 5 3 4 4" xfId="1592" xr:uid="{00000000-0005-0000-0000-0000140D0000}"/>
    <cellStyle name="Currency 5 3 4 4 2" xfId="3822" xr:uid="{00000000-0005-0000-0000-0000150D0000}"/>
    <cellStyle name="Currency 5 3 4 4 2 2" xfId="8046" xr:uid="{00000000-0005-0000-0000-0000160D0000}"/>
    <cellStyle name="Currency 5 3 4 4 2 3" xfId="12710" xr:uid="{8E0319EC-BB14-4025-A369-A16FF19C2BAC}"/>
    <cellStyle name="Currency 5 3 4 4 3" xfId="5901" xr:uid="{00000000-0005-0000-0000-0000170D0000}"/>
    <cellStyle name="Currency 5 3 4 4 4" xfId="10565" xr:uid="{7475B1BE-C1EE-4703-A384-E6DFBFECB415}"/>
    <cellStyle name="Currency 5 3 4 5" xfId="2006" xr:uid="{00000000-0005-0000-0000-0000180D0000}"/>
    <cellStyle name="Currency 5 3 4 5 2" xfId="4235" xr:uid="{00000000-0005-0000-0000-0000190D0000}"/>
    <cellStyle name="Currency 5 3 4 5 2 2" xfId="8459" xr:uid="{00000000-0005-0000-0000-00001A0D0000}"/>
    <cellStyle name="Currency 5 3 4 5 2 3" xfId="13123" xr:uid="{83FA22E1-B525-4598-9D7E-2AE6C10BF4EE}"/>
    <cellStyle name="Currency 5 3 4 5 3" xfId="6314" xr:uid="{00000000-0005-0000-0000-00001B0D0000}"/>
    <cellStyle name="Currency 5 3 4 5 4" xfId="10978" xr:uid="{AC127A9D-A70F-4A84-8321-6CED0021BAAD}"/>
    <cellStyle name="Currency 5 3 4 6" xfId="2441" xr:uid="{00000000-0005-0000-0000-00001C0D0000}"/>
    <cellStyle name="Currency 5 3 4 6 2" xfId="6727" xr:uid="{00000000-0005-0000-0000-00001D0D0000}"/>
    <cellStyle name="Currency 5 3 4 6 3" xfId="11391" xr:uid="{27C09D21-F6D0-435F-AEB3-B9C3CBB40D41}"/>
    <cellStyle name="Currency 5 3 4 7" xfId="2738" xr:uid="{00000000-0005-0000-0000-00001E0D0000}"/>
    <cellStyle name="Currency 5 3 4 8" xfId="2819" xr:uid="{00000000-0005-0000-0000-00001F0D0000}"/>
    <cellStyle name="Currency 5 3 4 8 2" xfId="7044" xr:uid="{00000000-0005-0000-0000-0000200D0000}"/>
    <cellStyle name="Currency 5 3 4 8 3" xfId="11708" xr:uid="{C27CCBC7-7FCC-4DBE-B034-B2483E6CB09F}"/>
    <cellStyle name="Currency 5 3 4 9" xfId="4661" xr:uid="{00000000-0005-0000-0000-0000210D0000}"/>
    <cellStyle name="Currency 5 3 4 9 2" xfId="9302" xr:uid="{AA3E4507-651F-4779-85F6-99B7FEB19E76}"/>
    <cellStyle name="Currency 5 3 5" xfId="217" xr:uid="{00000000-0005-0000-0000-0000220D0000}"/>
    <cellStyle name="Currency 5 3 5 10" xfId="8873" xr:uid="{1A94A84D-B045-436C-8DD4-FA3B1D758FDC}"/>
    <cellStyle name="Currency 5 3 5 2" xfId="744" xr:uid="{00000000-0005-0000-0000-0000230D0000}"/>
    <cellStyle name="Currency 5 3 5 2 2" xfId="2997" xr:uid="{00000000-0005-0000-0000-0000240D0000}"/>
    <cellStyle name="Currency 5 3 5 2 2 2" xfId="7221" xr:uid="{00000000-0005-0000-0000-0000250D0000}"/>
    <cellStyle name="Currency 5 3 5 2 2 3" xfId="11885" xr:uid="{B3B77FA1-E5BA-46F6-AD54-37A1FB90BC4F}"/>
    <cellStyle name="Currency 5 3 5 2 3" xfId="5076" xr:uid="{00000000-0005-0000-0000-0000260D0000}"/>
    <cellStyle name="Currency 5 3 5 2 4" xfId="9739" xr:uid="{930F985B-5886-4D06-A18F-2B82BBAE518B}"/>
    <cellStyle name="Currency 5 3 5 3" xfId="1179" xr:uid="{00000000-0005-0000-0000-0000270D0000}"/>
    <cellStyle name="Currency 5 3 5 3 2" xfId="3410" xr:uid="{00000000-0005-0000-0000-0000280D0000}"/>
    <cellStyle name="Currency 5 3 5 3 2 2" xfId="7634" xr:uid="{00000000-0005-0000-0000-0000290D0000}"/>
    <cellStyle name="Currency 5 3 5 3 2 3" xfId="12298" xr:uid="{9E0087E6-0531-4AC7-92E7-DF3CE0CED3E4}"/>
    <cellStyle name="Currency 5 3 5 3 3" xfId="5489" xr:uid="{00000000-0005-0000-0000-00002A0D0000}"/>
    <cellStyle name="Currency 5 3 5 3 4" xfId="10152" xr:uid="{2CD1BE95-81E7-4AA9-88A1-2E3F74FBF164}"/>
    <cellStyle name="Currency 5 3 5 4" xfId="1593" xr:uid="{00000000-0005-0000-0000-00002B0D0000}"/>
    <cellStyle name="Currency 5 3 5 4 2" xfId="3823" xr:uid="{00000000-0005-0000-0000-00002C0D0000}"/>
    <cellStyle name="Currency 5 3 5 4 2 2" xfId="8047" xr:uid="{00000000-0005-0000-0000-00002D0D0000}"/>
    <cellStyle name="Currency 5 3 5 4 2 3" xfId="12711" xr:uid="{29861458-DDF5-44B9-AA4B-ACC97E157989}"/>
    <cellStyle name="Currency 5 3 5 4 3" xfId="5902" xr:uid="{00000000-0005-0000-0000-00002E0D0000}"/>
    <cellStyle name="Currency 5 3 5 4 4" xfId="10566" xr:uid="{EB41B54E-6ACD-49C7-878A-CAE3D07A9D1F}"/>
    <cellStyle name="Currency 5 3 5 5" xfId="2007" xr:uid="{00000000-0005-0000-0000-00002F0D0000}"/>
    <cellStyle name="Currency 5 3 5 5 2" xfId="4236" xr:uid="{00000000-0005-0000-0000-0000300D0000}"/>
    <cellStyle name="Currency 5 3 5 5 2 2" xfId="8460" xr:uid="{00000000-0005-0000-0000-0000310D0000}"/>
    <cellStyle name="Currency 5 3 5 5 2 3" xfId="13124" xr:uid="{925A525A-46C5-44A4-AC41-B169252A8740}"/>
    <cellStyle name="Currency 5 3 5 5 3" xfId="6315" xr:uid="{00000000-0005-0000-0000-0000320D0000}"/>
    <cellStyle name="Currency 5 3 5 5 4" xfId="10979" xr:uid="{7C5D13E4-B796-479C-A5C6-D70326FA2626}"/>
    <cellStyle name="Currency 5 3 5 6" xfId="2442" xr:uid="{00000000-0005-0000-0000-0000330D0000}"/>
    <cellStyle name="Currency 5 3 5 6 2" xfId="6728" xr:uid="{00000000-0005-0000-0000-0000340D0000}"/>
    <cellStyle name="Currency 5 3 5 6 3" xfId="11392" xr:uid="{49F18C97-27F7-4081-A004-BEEBAB94F673}"/>
    <cellStyle name="Currency 5 3 5 7" xfId="2739" xr:uid="{00000000-0005-0000-0000-0000350D0000}"/>
    <cellStyle name="Currency 5 3 5 8" xfId="2820" xr:uid="{00000000-0005-0000-0000-0000360D0000}"/>
    <cellStyle name="Currency 5 3 5 8 2" xfId="7045" xr:uid="{00000000-0005-0000-0000-0000370D0000}"/>
    <cellStyle name="Currency 5 3 5 8 3" xfId="11709" xr:uid="{97D7759D-FE4A-4115-AB12-0039D592BD54}"/>
    <cellStyle name="Currency 5 3 5 9" xfId="4662" xr:uid="{00000000-0005-0000-0000-0000380D0000}"/>
    <cellStyle name="Currency 5 3 5 9 2" xfId="9303" xr:uid="{197BBAF0-47BA-4D56-9351-0298D838C4F9}"/>
    <cellStyle name="Currency 5 4" xfId="218" xr:uid="{00000000-0005-0000-0000-0000390D0000}"/>
    <cellStyle name="Currency 5 4 2" xfId="745" xr:uid="{00000000-0005-0000-0000-00003A0D0000}"/>
    <cellStyle name="Currency 5 4 3" xfId="9304" xr:uid="{26AD3390-22A5-4E8A-9093-B6EC093FC59D}"/>
    <cellStyle name="Currency 5 5" xfId="219" xr:uid="{00000000-0005-0000-0000-00003B0D0000}"/>
    <cellStyle name="Currency 5 5 10" xfId="4663" xr:uid="{00000000-0005-0000-0000-00003C0D0000}"/>
    <cellStyle name="Currency 5 5 10 2" xfId="9305" xr:uid="{472D5254-D996-48DE-946D-F48CBEE04076}"/>
    <cellStyle name="Currency 5 5 11" xfId="8874" xr:uid="{D5EBDFB6-5AF9-4571-B519-DCB6E1FF7CDF}"/>
    <cellStyle name="Currency 5 5 2" xfId="220" xr:uid="{00000000-0005-0000-0000-00003D0D0000}"/>
    <cellStyle name="Currency 5 5 2 10" xfId="8875" xr:uid="{F10A5266-C7B2-4DD6-8E0D-F1432BCC3C2E}"/>
    <cellStyle name="Currency 5 5 2 2" xfId="747" xr:uid="{00000000-0005-0000-0000-00003E0D0000}"/>
    <cellStyle name="Currency 5 5 2 2 2" xfId="2999" xr:uid="{00000000-0005-0000-0000-00003F0D0000}"/>
    <cellStyle name="Currency 5 5 2 2 2 2" xfId="7223" xr:uid="{00000000-0005-0000-0000-0000400D0000}"/>
    <cellStyle name="Currency 5 5 2 2 2 3" xfId="11887" xr:uid="{4D54BB1F-6EE3-493E-89B1-90DD3149DDD0}"/>
    <cellStyle name="Currency 5 5 2 2 3" xfId="5078" xr:uid="{00000000-0005-0000-0000-0000410D0000}"/>
    <cellStyle name="Currency 5 5 2 2 4" xfId="9741" xr:uid="{B3B00C9A-2C99-4642-A27A-EF3D677636CC}"/>
    <cellStyle name="Currency 5 5 2 3" xfId="1181" xr:uid="{00000000-0005-0000-0000-0000420D0000}"/>
    <cellStyle name="Currency 5 5 2 3 2" xfId="3412" xr:uid="{00000000-0005-0000-0000-0000430D0000}"/>
    <cellStyle name="Currency 5 5 2 3 2 2" xfId="7636" xr:uid="{00000000-0005-0000-0000-0000440D0000}"/>
    <cellStyle name="Currency 5 5 2 3 2 3" xfId="12300" xr:uid="{29018F02-EDA8-464C-96DE-E41CCCF99F6A}"/>
    <cellStyle name="Currency 5 5 2 3 3" xfId="5491" xr:uid="{00000000-0005-0000-0000-0000450D0000}"/>
    <cellStyle name="Currency 5 5 2 3 4" xfId="10154" xr:uid="{15902523-6F38-4FF2-95CE-167115C91AE2}"/>
    <cellStyle name="Currency 5 5 2 4" xfId="1595" xr:uid="{00000000-0005-0000-0000-0000460D0000}"/>
    <cellStyle name="Currency 5 5 2 4 2" xfId="3825" xr:uid="{00000000-0005-0000-0000-0000470D0000}"/>
    <cellStyle name="Currency 5 5 2 4 2 2" xfId="8049" xr:uid="{00000000-0005-0000-0000-0000480D0000}"/>
    <cellStyle name="Currency 5 5 2 4 2 3" xfId="12713" xr:uid="{88CE619B-B185-4C71-ACF7-DAA1A8237902}"/>
    <cellStyle name="Currency 5 5 2 4 3" xfId="5904" xr:uid="{00000000-0005-0000-0000-0000490D0000}"/>
    <cellStyle name="Currency 5 5 2 4 4" xfId="10568" xr:uid="{3B834502-A9F4-446D-AB7F-ADB639E669F5}"/>
    <cellStyle name="Currency 5 5 2 5" xfId="2009" xr:uid="{00000000-0005-0000-0000-00004A0D0000}"/>
    <cellStyle name="Currency 5 5 2 5 2" xfId="4238" xr:uid="{00000000-0005-0000-0000-00004B0D0000}"/>
    <cellStyle name="Currency 5 5 2 5 2 2" xfId="8462" xr:uid="{00000000-0005-0000-0000-00004C0D0000}"/>
    <cellStyle name="Currency 5 5 2 5 2 3" xfId="13126" xr:uid="{599689C4-1BC4-410D-A837-2BEC53C812B5}"/>
    <cellStyle name="Currency 5 5 2 5 3" xfId="6317" xr:uid="{00000000-0005-0000-0000-00004D0D0000}"/>
    <cellStyle name="Currency 5 5 2 5 4" xfId="10981" xr:uid="{768B574B-1A09-4FB4-B8F4-627B16553C64}"/>
    <cellStyle name="Currency 5 5 2 6" xfId="2444" xr:uid="{00000000-0005-0000-0000-00004E0D0000}"/>
    <cellStyle name="Currency 5 5 2 6 2" xfId="6730" xr:uid="{00000000-0005-0000-0000-00004F0D0000}"/>
    <cellStyle name="Currency 5 5 2 6 3" xfId="11394" xr:uid="{83900814-636F-4E92-8B45-87AD06E57BF2}"/>
    <cellStyle name="Currency 5 5 2 7" xfId="2741" xr:uid="{00000000-0005-0000-0000-0000500D0000}"/>
    <cellStyle name="Currency 5 5 2 8" xfId="2822" xr:uid="{00000000-0005-0000-0000-0000510D0000}"/>
    <cellStyle name="Currency 5 5 2 8 2" xfId="7047" xr:uid="{00000000-0005-0000-0000-0000520D0000}"/>
    <cellStyle name="Currency 5 5 2 8 3" xfId="11711" xr:uid="{21542F7D-7F49-41BE-9D58-9E2F503B92B7}"/>
    <cellStyle name="Currency 5 5 2 9" xfId="4664" xr:uid="{00000000-0005-0000-0000-0000530D0000}"/>
    <cellStyle name="Currency 5 5 2 9 2" xfId="9306" xr:uid="{90A46187-4271-43B9-B4B9-9B5E8B2F2A6E}"/>
    <cellStyle name="Currency 5 5 3" xfId="746" xr:uid="{00000000-0005-0000-0000-0000540D0000}"/>
    <cellStyle name="Currency 5 5 3 2" xfId="2998" xr:uid="{00000000-0005-0000-0000-0000550D0000}"/>
    <cellStyle name="Currency 5 5 3 2 2" xfId="7222" xr:uid="{00000000-0005-0000-0000-0000560D0000}"/>
    <cellStyle name="Currency 5 5 3 2 3" xfId="11886" xr:uid="{2F894727-D29A-432E-B152-19F0537B3EFF}"/>
    <cellStyle name="Currency 5 5 3 3" xfId="5077" xr:uid="{00000000-0005-0000-0000-0000570D0000}"/>
    <cellStyle name="Currency 5 5 3 4" xfId="9740" xr:uid="{CF9AAF69-5DC7-4E21-9DC5-1DDBA9FD0F72}"/>
    <cellStyle name="Currency 5 5 4" xfId="1180" xr:uid="{00000000-0005-0000-0000-0000580D0000}"/>
    <cellStyle name="Currency 5 5 4 2" xfId="3411" xr:uid="{00000000-0005-0000-0000-0000590D0000}"/>
    <cellStyle name="Currency 5 5 4 2 2" xfId="7635" xr:uid="{00000000-0005-0000-0000-00005A0D0000}"/>
    <cellStyle name="Currency 5 5 4 2 3" xfId="12299" xr:uid="{241B8963-C0BC-4D03-AF1B-C80231594451}"/>
    <cellStyle name="Currency 5 5 4 3" xfId="5490" xr:uid="{00000000-0005-0000-0000-00005B0D0000}"/>
    <cellStyle name="Currency 5 5 4 4" xfId="10153" xr:uid="{ADDC456B-A1E8-4357-9BC4-642326C82DC4}"/>
    <cellStyle name="Currency 5 5 5" xfId="1594" xr:uid="{00000000-0005-0000-0000-00005C0D0000}"/>
    <cellStyle name="Currency 5 5 5 2" xfId="3824" xr:uid="{00000000-0005-0000-0000-00005D0D0000}"/>
    <cellStyle name="Currency 5 5 5 2 2" xfId="8048" xr:uid="{00000000-0005-0000-0000-00005E0D0000}"/>
    <cellStyle name="Currency 5 5 5 2 3" xfId="12712" xr:uid="{7B306455-B706-4239-8C86-768BF81F40EE}"/>
    <cellStyle name="Currency 5 5 5 3" xfId="5903" xr:uid="{00000000-0005-0000-0000-00005F0D0000}"/>
    <cellStyle name="Currency 5 5 5 4" xfId="10567" xr:uid="{BFE4A4BD-7004-4EE2-B755-9476F9DCD085}"/>
    <cellStyle name="Currency 5 5 6" xfId="2008" xr:uid="{00000000-0005-0000-0000-0000600D0000}"/>
    <cellStyle name="Currency 5 5 6 2" xfId="4237" xr:uid="{00000000-0005-0000-0000-0000610D0000}"/>
    <cellStyle name="Currency 5 5 6 2 2" xfId="8461" xr:uid="{00000000-0005-0000-0000-0000620D0000}"/>
    <cellStyle name="Currency 5 5 6 2 3" xfId="13125" xr:uid="{DAFC8C75-944E-48F2-9E72-272BB8F920C8}"/>
    <cellStyle name="Currency 5 5 6 3" xfId="6316" xr:uid="{00000000-0005-0000-0000-0000630D0000}"/>
    <cellStyle name="Currency 5 5 6 4" xfId="10980" xr:uid="{58EED422-8834-4B2E-9E98-0B3E54B6705E}"/>
    <cellStyle name="Currency 5 5 7" xfId="2443" xr:uid="{00000000-0005-0000-0000-0000640D0000}"/>
    <cellStyle name="Currency 5 5 7 2" xfId="6729" xr:uid="{00000000-0005-0000-0000-0000650D0000}"/>
    <cellStyle name="Currency 5 5 7 3" xfId="11393" xr:uid="{F5DB7720-67FE-46C0-925B-DA5EE0EBAF3F}"/>
    <cellStyle name="Currency 5 5 8" xfId="2740" xr:uid="{00000000-0005-0000-0000-0000660D0000}"/>
    <cellStyle name="Currency 5 5 9" xfId="2821" xr:uid="{00000000-0005-0000-0000-0000670D0000}"/>
    <cellStyle name="Currency 5 5 9 2" xfId="7046" xr:uid="{00000000-0005-0000-0000-0000680D0000}"/>
    <cellStyle name="Currency 5 5 9 3" xfId="11710" xr:uid="{5ECC7CD0-57CF-4FF0-BE52-0AEF5826116C}"/>
    <cellStyle name="Currency 5 6" xfId="221" xr:uid="{00000000-0005-0000-0000-0000690D0000}"/>
    <cellStyle name="Currency 5 6 10" xfId="8876" xr:uid="{0EC47394-8587-4682-9D36-663C11713870}"/>
    <cellStyle name="Currency 5 6 2" xfId="748" xr:uid="{00000000-0005-0000-0000-00006A0D0000}"/>
    <cellStyle name="Currency 5 6 2 2" xfId="3000" xr:uid="{00000000-0005-0000-0000-00006B0D0000}"/>
    <cellStyle name="Currency 5 6 2 2 2" xfId="7224" xr:uid="{00000000-0005-0000-0000-00006C0D0000}"/>
    <cellStyle name="Currency 5 6 2 2 3" xfId="11888" xr:uid="{6949349B-581D-43CB-AE1D-2C76A034999E}"/>
    <cellStyle name="Currency 5 6 2 3" xfId="5079" xr:uid="{00000000-0005-0000-0000-00006D0D0000}"/>
    <cellStyle name="Currency 5 6 2 4" xfId="9742" xr:uid="{3E1DBC9D-384D-4846-9107-A17828DAD797}"/>
    <cellStyle name="Currency 5 6 3" xfId="1182" xr:uid="{00000000-0005-0000-0000-00006E0D0000}"/>
    <cellStyle name="Currency 5 6 3 2" xfId="3413" xr:uid="{00000000-0005-0000-0000-00006F0D0000}"/>
    <cellStyle name="Currency 5 6 3 2 2" xfId="7637" xr:uid="{00000000-0005-0000-0000-0000700D0000}"/>
    <cellStyle name="Currency 5 6 3 2 3" xfId="12301" xr:uid="{643EBBB8-41B2-4FC4-8034-49883E8B99B6}"/>
    <cellStyle name="Currency 5 6 3 3" xfId="5492" xr:uid="{00000000-0005-0000-0000-0000710D0000}"/>
    <cellStyle name="Currency 5 6 3 4" xfId="10155" xr:uid="{F87ED838-77BB-4CCD-B3CB-5F046410D27A}"/>
    <cellStyle name="Currency 5 6 4" xfId="1596" xr:uid="{00000000-0005-0000-0000-0000720D0000}"/>
    <cellStyle name="Currency 5 6 4 2" xfId="3826" xr:uid="{00000000-0005-0000-0000-0000730D0000}"/>
    <cellStyle name="Currency 5 6 4 2 2" xfId="8050" xr:uid="{00000000-0005-0000-0000-0000740D0000}"/>
    <cellStyle name="Currency 5 6 4 2 3" xfId="12714" xr:uid="{1D71F2EA-CE26-4EF3-9E13-7BC83DE66341}"/>
    <cellStyle name="Currency 5 6 4 3" xfId="5905" xr:uid="{00000000-0005-0000-0000-0000750D0000}"/>
    <cellStyle name="Currency 5 6 4 4" xfId="10569" xr:uid="{3C21073C-E517-4E29-B338-0455DBD53C23}"/>
    <cellStyle name="Currency 5 6 5" xfId="2010" xr:uid="{00000000-0005-0000-0000-0000760D0000}"/>
    <cellStyle name="Currency 5 6 5 2" xfId="4239" xr:uid="{00000000-0005-0000-0000-0000770D0000}"/>
    <cellStyle name="Currency 5 6 5 2 2" xfId="8463" xr:uid="{00000000-0005-0000-0000-0000780D0000}"/>
    <cellStyle name="Currency 5 6 5 2 3" xfId="13127" xr:uid="{A75A977A-14D3-440E-9AC5-730F5F5CC16C}"/>
    <cellStyle name="Currency 5 6 5 3" xfId="6318" xr:uid="{00000000-0005-0000-0000-0000790D0000}"/>
    <cellStyle name="Currency 5 6 5 4" xfId="10982" xr:uid="{87971819-CCAF-4395-8FAD-666F1F1EA746}"/>
    <cellStyle name="Currency 5 6 6" xfId="2445" xr:uid="{00000000-0005-0000-0000-00007A0D0000}"/>
    <cellStyle name="Currency 5 6 6 2" xfId="6731" xr:uid="{00000000-0005-0000-0000-00007B0D0000}"/>
    <cellStyle name="Currency 5 6 6 3" xfId="11395" xr:uid="{37A1367A-8326-4FF7-91BB-1092B9163AFB}"/>
    <cellStyle name="Currency 5 6 7" xfId="2742" xr:uid="{00000000-0005-0000-0000-00007C0D0000}"/>
    <cellStyle name="Currency 5 6 8" xfId="2823" xr:uid="{00000000-0005-0000-0000-00007D0D0000}"/>
    <cellStyle name="Currency 5 6 8 2" xfId="7048" xr:uid="{00000000-0005-0000-0000-00007E0D0000}"/>
    <cellStyle name="Currency 5 6 8 3" xfId="11712" xr:uid="{B84A2302-7631-4CE5-AD31-81AA353F0B75}"/>
    <cellStyle name="Currency 5 6 9" xfId="4665" xr:uid="{00000000-0005-0000-0000-00007F0D0000}"/>
    <cellStyle name="Currency 5 6 9 2" xfId="9307" xr:uid="{021EFEF6-8DB1-41A6-8645-461CE7DD5068}"/>
    <cellStyle name="Currency 5 7" xfId="222" xr:uid="{00000000-0005-0000-0000-0000800D0000}"/>
    <cellStyle name="Currency 5 7 10" xfId="8877" xr:uid="{22F93D17-2F6C-4E48-8ED7-819859855B5D}"/>
    <cellStyle name="Currency 5 7 2" xfId="749" xr:uid="{00000000-0005-0000-0000-0000810D0000}"/>
    <cellStyle name="Currency 5 7 2 2" xfId="3001" xr:uid="{00000000-0005-0000-0000-0000820D0000}"/>
    <cellStyle name="Currency 5 7 2 2 2" xfId="7225" xr:uid="{00000000-0005-0000-0000-0000830D0000}"/>
    <cellStyle name="Currency 5 7 2 2 3" xfId="11889" xr:uid="{C8A005F8-A542-46BD-A962-4836355FC988}"/>
    <cellStyle name="Currency 5 7 2 3" xfId="5080" xr:uid="{00000000-0005-0000-0000-0000840D0000}"/>
    <cellStyle name="Currency 5 7 2 4" xfId="9743" xr:uid="{EC142481-5A53-41E1-BA12-FC5F2CFA4124}"/>
    <cellStyle name="Currency 5 7 3" xfId="1183" xr:uid="{00000000-0005-0000-0000-0000850D0000}"/>
    <cellStyle name="Currency 5 7 3 2" xfId="3414" xr:uid="{00000000-0005-0000-0000-0000860D0000}"/>
    <cellStyle name="Currency 5 7 3 2 2" xfId="7638" xr:uid="{00000000-0005-0000-0000-0000870D0000}"/>
    <cellStyle name="Currency 5 7 3 2 3" xfId="12302" xr:uid="{412B28E8-6E45-4369-9863-66AF91F4656B}"/>
    <cellStyle name="Currency 5 7 3 3" xfId="5493" xr:uid="{00000000-0005-0000-0000-0000880D0000}"/>
    <cellStyle name="Currency 5 7 3 4" xfId="10156" xr:uid="{2FAC1299-69A3-4EB6-8415-509ABA9E73EF}"/>
    <cellStyle name="Currency 5 7 4" xfId="1597" xr:uid="{00000000-0005-0000-0000-0000890D0000}"/>
    <cellStyle name="Currency 5 7 4 2" xfId="3827" xr:uid="{00000000-0005-0000-0000-00008A0D0000}"/>
    <cellStyle name="Currency 5 7 4 2 2" xfId="8051" xr:uid="{00000000-0005-0000-0000-00008B0D0000}"/>
    <cellStyle name="Currency 5 7 4 2 3" xfId="12715" xr:uid="{FA383432-98B2-4FBD-B265-FFC642720CF1}"/>
    <cellStyle name="Currency 5 7 4 3" xfId="5906" xr:uid="{00000000-0005-0000-0000-00008C0D0000}"/>
    <cellStyle name="Currency 5 7 4 4" xfId="10570" xr:uid="{5470801B-9193-43D5-813D-759AED56C57E}"/>
    <cellStyle name="Currency 5 7 5" xfId="2011" xr:uid="{00000000-0005-0000-0000-00008D0D0000}"/>
    <cellStyle name="Currency 5 7 5 2" xfId="4240" xr:uid="{00000000-0005-0000-0000-00008E0D0000}"/>
    <cellStyle name="Currency 5 7 5 2 2" xfId="8464" xr:uid="{00000000-0005-0000-0000-00008F0D0000}"/>
    <cellStyle name="Currency 5 7 5 2 3" xfId="13128" xr:uid="{138BF1C5-3630-45D8-93E1-77A3DD626224}"/>
    <cellStyle name="Currency 5 7 5 3" xfId="6319" xr:uid="{00000000-0005-0000-0000-0000900D0000}"/>
    <cellStyle name="Currency 5 7 5 4" xfId="10983" xr:uid="{F6467D51-411F-4CAA-9164-56947C18A5CC}"/>
    <cellStyle name="Currency 5 7 6" xfId="2446" xr:uid="{00000000-0005-0000-0000-0000910D0000}"/>
    <cellStyle name="Currency 5 7 6 2" xfId="6732" xr:uid="{00000000-0005-0000-0000-0000920D0000}"/>
    <cellStyle name="Currency 5 7 6 3" xfId="11396" xr:uid="{A8274C2D-2510-4941-B9B2-1D9E4605A048}"/>
    <cellStyle name="Currency 5 7 7" xfId="2743" xr:uid="{00000000-0005-0000-0000-0000930D0000}"/>
    <cellStyle name="Currency 5 7 8" xfId="2824" xr:uid="{00000000-0005-0000-0000-0000940D0000}"/>
    <cellStyle name="Currency 5 7 8 2" xfId="7049" xr:uid="{00000000-0005-0000-0000-0000950D0000}"/>
    <cellStyle name="Currency 5 7 8 3" xfId="11713" xr:uid="{090445EC-7E9C-43F0-8F27-E8FC2BD48883}"/>
    <cellStyle name="Currency 5 7 9" xfId="4666" xr:uid="{00000000-0005-0000-0000-0000960D0000}"/>
    <cellStyle name="Currency 5 7 9 2" xfId="9308" xr:uid="{A90C566A-2932-4456-A9B5-FCBDAF0AEAE1}"/>
    <cellStyle name="Currency 5 8" xfId="722" xr:uid="{00000000-0005-0000-0000-0000970D0000}"/>
    <cellStyle name="Currency 5 9" xfId="9281" xr:uid="{499B6289-4465-425F-B85E-2491733C612E}"/>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3 3" xfId="9310" xr:uid="{8863271C-CA67-40EC-9904-428A134B8C5D}"/>
    <cellStyle name="Currency 6 4" xfId="750" xr:uid="{00000000-0005-0000-0000-00009C0D0000}"/>
    <cellStyle name="Currency 6 5" xfId="9309" xr:uid="{1B805DB0-97E3-41E9-9C7B-CE43AA5DC17F}"/>
    <cellStyle name="Currency 7" xfId="226" xr:uid="{00000000-0005-0000-0000-00009D0D0000}"/>
    <cellStyle name="Currency 7 2" xfId="227" xr:uid="{00000000-0005-0000-0000-00009E0D0000}"/>
    <cellStyle name="Currency 7 2 2" xfId="753" xr:uid="{00000000-0005-0000-0000-00009F0D0000}"/>
    <cellStyle name="Currency 7 2 3" xfId="9312" xr:uid="{3BBD7382-409F-47AB-9A91-5D062390E772}"/>
    <cellStyle name="Currency 7 3" xfId="228" xr:uid="{00000000-0005-0000-0000-0000A00D0000}"/>
    <cellStyle name="Currency 7 3 2" xfId="754" xr:uid="{00000000-0005-0000-0000-0000A10D0000}"/>
    <cellStyle name="Currency 7 3 3" xfId="9313" xr:uid="{089ADF77-E699-4EE2-A865-16E276B470C6}"/>
    <cellStyle name="Currency 7 4" xfId="229" xr:uid="{00000000-0005-0000-0000-0000A20D0000}"/>
    <cellStyle name="Currency 7 4 2" xfId="755" xr:uid="{00000000-0005-0000-0000-0000A30D0000}"/>
    <cellStyle name="Currency 7 4 3" xfId="9314" xr:uid="{3E9F367B-2FF6-48AC-8420-0AFF94E3E50C}"/>
    <cellStyle name="Currency 7 5" xfId="752" xr:uid="{00000000-0005-0000-0000-0000A40D0000}"/>
    <cellStyle name="Currency 7 6" xfId="9311" xr:uid="{8C69380D-1277-4B21-8C79-7947DBD96787}"/>
    <cellStyle name="Currency 8" xfId="230" xr:uid="{00000000-0005-0000-0000-0000A50D0000}"/>
    <cellStyle name="Currency 8 2" xfId="231" xr:uid="{00000000-0005-0000-0000-0000A60D0000}"/>
    <cellStyle name="Currency 8 2 2" xfId="757" xr:uid="{00000000-0005-0000-0000-0000A70D0000}"/>
    <cellStyle name="Currency 8 2 3" xfId="9316" xr:uid="{4FAD9C3E-A898-47EA-A4FF-5EE8915DED94}"/>
    <cellStyle name="Currency 8 3" xfId="756" xr:uid="{00000000-0005-0000-0000-0000A80D0000}"/>
    <cellStyle name="Currency 8 4" xfId="9315" xr:uid="{5A2DC53A-D915-40C3-89AF-DA2298937B19}"/>
    <cellStyle name="Currency 9" xfId="232" xr:uid="{00000000-0005-0000-0000-0000A90D0000}"/>
    <cellStyle name="Currency 9 2" xfId="233" xr:uid="{00000000-0005-0000-0000-0000AA0D0000}"/>
    <cellStyle name="Currency 9 2 2" xfId="759" xr:uid="{00000000-0005-0000-0000-0000AB0D0000}"/>
    <cellStyle name="Currency 9 2 3" xfId="9318" xr:uid="{F9E90B12-9D22-4C99-920E-D22F6CFDD5C9}"/>
    <cellStyle name="Currency 9 3" xfId="758" xr:uid="{00000000-0005-0000-0000-0000AC0D0000}"/>
    <cellStyle name="Currency 9 4" xfId="9317" xr:uid="{AE33DDFC-7250-414A-8C39-D68F7E2970D1}"/>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2 3 2" xfId="9583" xr:uid="{30E6BEA9-E32F-4E4C-BC22-9B9465FCE156}"/>
    <cellStyle name="Normal 11 3" xfId="258" xr:uid="{00000000-0005-0000-0000-0000C70D0000}"/>
    <cellStyle name="Normal 11 3 2" xfId="760" xr:uid="{00000000-0005-0000-0000-0000C80D0000}"/>
    <cellStyle name="Normal 11 3 3" xfId="9319" xr:uid="{2ABE06A4-40CB-4C55-BD87-F11557731CAF}"/>
    <cellStyle name="Normal 12" xfId="259" xr:uid="{00000000-0005-0000-0000-0000C90D0000}"/>
    <cellStyle name="Normal 12 10" xfId="2448" xr:uid="{00000000-0005-0000-0000-0000CA0D0000}"/>
    <cellStyle name="Normal 12 10 2" xfId="6733" xr:uid="{00000000-0005-0000-0000-0000CB0D0000}"/>
    <cellStyle name="Normal 12 10 3" xfId="11397" xr:uid="{B3EE4952-E81A-4A3A-BCD6-C4E6DF75185A}"/>
    <cellStyle name="Normal 12 11" xfId="4667" xr:uid="{00000000-0005-0000-0000-0000CC0D0000}"/>
    <cellStyle name="Normal 12 11 2" xfId="9320" xr:uid="{0B8DECE7-B1B3-4F0D-BAE7-6403D0F85706}"/>
    <cellStyle name="Normal 12 12" xfId="8878" xr:uid="{9CAC555A-ACCC-4742-811A-69F4E192CA87}"/>
    <cellStyle name="Normal 12 2" xfId="260" xr:uid="{00000000-0005-0000-0000-0000CD0D0000}"/>
    <cellStyle name="Normal 12 2 10" xfId="8879" xr:uid="{9EAFF168-E931-4424-9332-EA0C29025B65}"/>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3" xfId="11893" xr:uid="{FE1CA701-6A12-466D-BF31-1B9BC1983687}"/>
    <cellStyle name="Normal 12 2 2 2 2 3" xfId="5084" xr:uid="{00000000-0005-0000-0000-0000D30D0000}"/>
    <cellStyle name="Normal 12 2 2 2 2 4" xfId="9747" xr:uid="{A01D4924-4D43-48B9-8527-521F9A36E570}"/>
    <cellStyle name="Normal 12 2 2 2 3" xfId="1187" xr:uid="{00000000-0005-0000-0000-0000D40D0000}"/>
    <cellStyle name="Normal 12 2 2 2 3 2" xfId="3418" xr:uid="{00000000-0005-0000-0000-0000D50D0000}"/>
    <cellStyle name="Normal 12 2 2 2 3 2 2" xfId="7642" xr:uid="{00000000-0005-0000-0000-0000D60D0000}"/>
    <cellStyle name="Normal 12 2 2 2 3 2 3" xfId="12306" xr:uid="{97552DA5-2DC3-4E35-B02D-F3840E8E4A98}"/>
    <cellStyle name="Normal 12 2 2 2 3 3" xfId="5497" xr:uid="{00000000-0005-0000-0000-0000D70D0000}"/>
    <cellStyle name="Normal 12 2 2 2 3 4" xfId="10160" xr:uid="{F72F5D71-7971-4485-8D3B-901B0253E5B1}"/>
    <cellStyle name="Normal 12 2 2 2 4" xfId="1601" xr:uid="{00000000-0005-0000-0000-0000D80D0000}"/>
    <cellStyle name="Normal 12 2 2 2 4 2" xfId="3831" xr:uid="{00000000-0005-0000-0000-0000D90D0000}"/>
    <cellStyle name="Normal 12 2 2 2 4 2 2" xfId="8055" xr:uid="{00000000-0005-0000-0000-0000DA0D0000}"/>
    <cellStyle name="Normal 12 2 2 2 4 2 3" xfId="12719" xr:uid="{62946730-47D4-4C09-8B04-5E0BF4169EFD}"/>
    <cellStyle name="Normal 12 2 2 2 4 3" xfId="5910" xr:uid="{00000000-0005-0000-0000-0000DB0D0000}"/>
    <cellStyle name="Normal 12 2 2 2 4 4" xfId="10574" xr:uid="{042ABD03-9C1F-424B-B438-D64647B45077}"/>
    <cellStyle name="Normal 12 2 2 2 5" xfId="2015" xr:uid="{00000000-0005-0000-0000-0000DC0D0000}"/>
    <cellStyle name="Normal 12 2 2 2 5 2" xfId="4244" xr:uid="{00000000-0005-0000-0000-0000DD0D0000}"/>
    <cellStyle name="Normal 12 2 2 2 5 2 2" xfId="8468" xr:uid="{00000000-0005-0000-0000-0000DE0D0000}"/>
    <cellStyle name="Normal 12 2 2 2 5 2 3" xfId="13132" xr:uid="{36C9DAF0-D403-40C8-9C46-7B629B204860}"/>
    <cellStyle name="Normal 12 2 2 2 5 3" xfId="6323" xr:uid="{00000000-0005-0000-0000-0000DF0D0000}"/>
    <cellStyle name="Normal 12 2 2 2 5 4" xfId="10987" xr:uid="{60711475-E23F-4902-B34F-285C5C792864}"/>
    <cellStyle name="Normal 12 2 2 2 6" xfId="2451" xr:uid="{00000000-0005-0000-0000-0000E00D0000}"/>
    <cellStyle name="Normal 12 2 2 2 6 2" xfId="6736" xr:uid="{00000000-0005-0000-0000-0000E10D0000}"/>
    <cellStyle name="Normal 12 2 2 2 6 3" xfId="11400" xr:uid="{73C8FEEB-A59C-408E-9693-BF1F15ACD982}"/>
    <cellStyle name="Normal 12 2 2 2 7" xfId="4670" xr:uid="{00000000-0005-0000-0000-0000E20D0000}"/>
    <cellStyle name="Normal 12 2 2 2 7 2" xfId="9323" xr:uid="{2BFFD605-CBE1-491C-A5BA-A3BA04770935}"/>
    <cellStyle name="Normal 12 2 2 2 8" xfId="8881" xr:uid="{BBB43021-DCF6-4E71-8519-5A2056483152}"/>
    <cellStyle name="Normal 12 2 2 3" xfId="763" xr:uid="{00000000-0005-0000-0000-0000E30D0000}"/>
    <cellStyle name="Normal 12 2 2 3 2" xfId="3004" xr:uid="{00000000-0005-0000-0000-0000E40D0000}"/>
    <cellStyle name="Normal 12 2 2 3 2 2" xfId="7228" xr:uid="{00000000-0005-0000-0000-0000E50D0000}"/>
    <cellStyle name="Normal 12 2 2 3 2 3" xfId="11892" xr:uid="{F9C10B8A-CCE1-423C-A635-4F69C336E1B6}"/>
    <cellStyle name="Normal 12 2 2 3 3" xfId="5083" xr:uid="{00000000-0005-0000-0000-0000E60D0000}"/>
    <cellStyle name="Normal 12 2 2 3 4" xfId="9746" xr:uid="{E6D0A170-44BC-4198-BA69-999E0EE6CA7C}"/>
    <cellStyle name="Normal 12 2 2 4" xfId="1186" xr:uid="{00000000-0005-0000-0000-0000E70D0000}"/>
    <cellStyle name="Normal 12 2 2 4 2" xfId="3417" xr:uid="{00000000-0005-0000-0000-0000E80D0000}"/>
    <cellStyle name="Normal 12 2 2 4 2 2" xfId="7641" xr:uid="{00000000-0005-0000-0000-0000E90D0000}"/>
    <cellStyle name="Normal 12 2 2 4 2 3" xfId="12305" xr:uid="{7033320B-7102-4C3F-BEF2-AC77D1B9B7C7}"/>
    <cellStyle name="Normal 12 2 2 4 3" xfId="5496" xr:uid="{00000000-0005-0000-0000-0000EA0D0000}"/>
    <cellStyle name="Normal 12 2 2 4 4" xfId="10159" xr:uid="{5CFC76D5-3F4C-4D2C-A044-8505B3B86CC4}"/>
    <cellStyle name="Normal 12 2 2 5" xfId="1600" xr:uid="{00000000-0005-0000-0000-0000EB0D0000}"/>
    <cellStyle name="Normal 12 2 2 5 2" xfId="3830" xr:uid="{00000000-0005-0000-0000-0000EC0D0000}"/>
    <cellStyle name="Normal 12 2 2 5 2 2" xfId="8054" xr:uid="{00000000-0005-0000-0000-0000ED0D0000}"/>
    <cellStyle name="Normal 12 2 2 5 2 3" xfId="12718" xr:uid="{BCA3A96C-586A-4FCB-A1CF-7997EC9BBDB4}"/>
    <cellStyle name="Normal 12 2 2 5 3" xfId="5909" xr:uid="{00000000-0005-0000-0000-0000EE0D0000}"/>
    <cellStyle name="Normal 12 2 2 5 4" xfId="10573" xr:uid="{328967A4-8AEE-4585-A9B3-77889144D08D}"/>
    <cellStyle name="Normal 12 2 2 6" xfId="2014" xr:uid="{00000000-0005-0000-0000-0000EF0D0000}"/>
    <cellStyle name="Normal 12 2 2 6 2" xfId="4243" xr:uid="{00000000-0005-0000-0000-0000F00D0000}"/>
    <cellStyle name="Normal 12 2 2 6 2 2" xfId="8467" xr:uid="{00000000-0005-0000-0000-0000F10D0000}"/>
    <cellStyle name="Normal 12 2 2 6 2 3" xfId="13131" xr:uid="{C0F32C9A-67EB-478C-96A1-ABA9003E70D2}"/>
    <cellStyle name="Normal 12 2 2 6 3" xfId="6322" xr:uid="{00000000-0005-0000-0000-0000F20D0000}"/>
    <cellStyle name="Normal 12 2 2 6 4" xfId="10986" xr:uid="{0C4756F4-56DF-4DD2-B0FA-E8977E4E203C}"/>
    <cellStyle name="Normal 12 2 2 7" xfId="2450" xr:uid="{00000000-0005-0000-0000-0000F30D0000}"/>
    <cellStyle name="Normal 12 2 2 7 2" xfId="6735" xr:uid="{00000000-0005-0000-0000-0000F40D0000}"/>
    <cellStyle name="Normal 12 2 2 7 3" xfId="11399" xr:uid="{9194B16C-DC39-41A1-87E6-FBE975E3B14E}"/>
    <cellStyle name="Normal 12 2 2 8" xfId="4669" xr:uid="{00000000-0005-0000-0000-0000F50D0000}"/>
    <cellStyle name="Normal 12 2 2 8 2" xfId="9322" xr:uid="{E93197E0-207A-4530-97B2-5758A469C723}"/>
    <cellStyle name="Normal 12 2 2 9" xfId="8880" xr:uid="{B7DE5AE5-93C4-43E2-9266-63D9A1D0B2D5}"/>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3" xfId="11894" xr:uid="{5E30DBE4-1E1A-4839-9C7E-6B1AED874937}"/>
    <cellStyle name="Normal 12 2 3 2 3" xfId="5085" xr:uid="{00000000-0005-0000-0000-0000FA0D0000}"/>
    <cellStyle name="Normal 12 2 3 2 4" xfId="9748" xr:uid="{17C94DCB-086E-42A9-B0F3-12212AD9CD03}"/>
    <cellStyle name="Normal 12 2 3 3" xfId="1188" xr:uid="{00000000-0005-0000-0000-0000FB0D0000}"/>
    <cellStyle name="Normal 12 2 3 3 2" xfId="3419" xr:uid="{00000000-0005-0000-0000-0000FC0D0000}"/>
    <cellStyle name="Normal 12 2 3 3 2 2" xfId="7643" xr:uid="{00000000-0005-0000-0000-0000FD0D0000}"/>
    <cellStyle name="Normal 12 2 3 3 2 3" xfId="12307" xr:uid="{6E7B3B5B-F6E6-4200-B303-EBA0425F2CDB}"/>
    <cellStyle name="Normal 12 2 3 3 3" xfId="5498" xr:uid="{00000000-0005-0000-0000-0000FE0D0000}"/>
    <cellStyle name="Normal 12 2 3 3 4" xfId="10161" xr:uid="{D42F5642-86DE-4617-B73D-B836DDD72459}"/>
    <cellStyle name="Normal 12 2 3 4" xfId="1602" xr:uid="{00000000-0005-0000-0000-0000FF0D0000}"/>
    <cellStyle name="Normal 12 2 3 4 2" xfId="3832" xr:uid="{00000000-0005-0000-0000-0000000E0000}"/>
    <cellStyle name="Normal 12 2 3 4 2 2" xfId="8056" xr:uid="{00000000-0005-0000-0000-0000010E0000}"/>
    <cellStyle name="Normal 12 2 3 4 2 3" xfId="12720" xr:uid="{02149AA3-4F08-4BA7-9A16-FE06A26BBD08}"/>
    <cellStyle name="Normal 12 2 3 4 3" xfId="5911" xr:uid="{00000000-0005-0000-0000-0000020E0000}"/>
    <cellStyle name="Normal 12 2 3 4 4" xfId="10575" xr:uid="{54AB1271-557A-46A1-8253-96C30D7B9CBC}"/>
    <cellStyle name="Normal 12 2 3 5" xfId="2016" xr:uid="{00000000-0005-0000-0000-0000030E0000}"/>
    <cellStyle name="Normal 12 2 3 5 2" xfId="4245" xr:uid="{00000000-0005-0000-0000-0000040E0000}"/>
    <cellStyle name="Normal 12 2 3 5 2 2" xfId="8469" xr:uid="{00000000-0005-0000-0000-0000050E0000}"/>
    <cellStyle name="Normal 12 2 3 5 2 3" xfId="13133" xr:uid="{14B28215-53A4-4835-9C94-65C76517320D}"/>
    <cellStyle name="Normal 12 2 3 5 3" xfId="6324" xr:uid="{00000000-0005-0000-0000-0000060E0000}"/>
    <cellStyle name="Normal 12 2 3 5 4" xfId="10988" xr:uid="{ADE47B06-9D71-41B0-8FEF-3948F5248B45}"/>
    <cellStyle name="Normal 12 2 3 6" xfId="2452" xr:uid="{00000000-0005-0000-0000-0000070E0000}"/>
    <cellStyle name="Normal 12 2 3 6 2" xfId="6737" xr:uid="{00000000-0005-0000-0000-0000080E0000}"/>
    <cellStyle name="Normal 12 2 3 6 3" xfId="11401" xr:uid="{D46AE85A-84C3-482D-9CFE-FEC8599C2B9F}"/>
    <cellStyle name="Normal 12 2 3 7" xfId="4671" xr:uid="{00000000-0005-0000-0000-0000090E0000}"/>
    <cellStyle name="Normal 12 2 3 7 2" xfId="9324" xr:uid="{64EB2DFC-139A-40AD-B81D-B63B960BA76D}"/>
    <cellStyle name="Normal 12 2 3 8" xfId="8882" xr:uid="{04855428-A14A-4508-9E56-96023632D6C7}"/>
    <cellStyle name="Normal 12 2 4" xfId="762" xr:uid="{00000000-0005-0000-0000-00000A0E0000}"/>
    <cellStyle name="Normal 12 2 4 2" xfId="3003" xr:uid="{00000000-0005-0000-0000-00000B0E0000}"/>
    <cellStyle name="Normal 12 2 4 2 2" xfId="7227" xr:uid="{00000000-0005-0000-0000-00000C0E0000}"/>
    <cellStyle name="Normal 12 2 4 2 3" xfId="11891" xr:uid="{953A73C9-9FCC-46AE-8AC0-BB82D1E88F6F}"/>
    <cellStyle name="Normal 12 2 4 3" xfId="5082" xr:uid="{00000000-0005-0000-0000-00000D0E0000}"/>
    <cellStyle name="Normal 12 2 4 4" xfId="9745" xr:uid="{7B3A852E-4545-4021-892D-65E9211F4351}"/>
    <cellStyle name="Normal 12 2 5" xfId="1185" xr:uid="{00000000-0005-0000-0000-00000E0E0000}"/>
    <cellStyle name="Normal 12 2 5 2" xfId="3416" xr:uid="{00000000-0005-0000-0000-00000F0E0000}"/>
    <cellStyle name="Normal 12 2 5 2 2" xfId="7640" xr:uid="{00000000-0005-0000-0000-0000100E0000}"/>
    <cellStyle name="Normal 12 2 5 2 3" xfId="12304" xr:uid="{B54DE754-7ED0-4BDC-BBC4-2A1C7FCCE288}"/>
    <cellStyle name="Normal 12 2 5 3" xfId="5495" xr:uid="{00000000-0005-0000-0000-0000110E0000}"/>
    <cellStyle name="Normal 12 2 5 4" xfId="10158" xr:uid="{07639D37-9EDF-4939-A318-660BA9C64939}"/>
    <cellStyle name="Normal 12 2 6" xfId="1599" xr:uid="{00000000-0005-0000-0000-0000120E0000}"/>
    <cellStyle name="Normal 12 2 6 2" xfId="3829" xr:uid="{00000000-0005-0000-0000-0000130E0000}"/>
    <cellStyle name="Normal 12 2 6 2 2" xfId="8053" xr:uid="{00000000-0005-0000-0000-0000140E0000}"/>
    <cellStyle name="Normal 12 2 6 2 3" xfId="12717" xr:uid="{BA62F701-3A8A-4AEC-B673-9C0B14D820D7}"/>
    <cellStyle name="Normal 12 2 6 3" xfId="5908" xr:uid="{00000000-0005-0000-0000-0000150E0000}"/>
    <cellStyle name="Normal 12 2 6 4" xfId="10572" xr:uid="{E4548D71-3FE9-4879-94C5-0301298094E8}"/>
    <cellStyle name="Normal 12 2 7" xfId="2013" xr:uid="{00000000-0005-0000-0000-0000160E0000}"/>
    <cellStyle name="Normal 12 2 7 2" xfId="4242" xr:uid="{00000000-0005-0000-0000-0000170E0000}"/>
    <cellStyle name="Normal 12 2 7 2 2" xfId="8466" xr:uid="{00000000-0005-0000-0000-0000180E0000}"/>
    <cellStyle name="Normal 12 2 7 2 3" xfId="13130" xr:uid="{49708B5E-ECB5-4D27-A8A2-C8A2960C6DF6}"/>
    <cellStyle name="Normal 12 2 7 3" xfId="6321" xr:uid="{00000000-0005-0000-0000-0000190E0000}"/>
    <cellStyle name="Normal 12 2 7 4" xfId="10985" xr:uid="{82F6DCEF-285C-4BEB-8683-78CEEA3706CB}"/>
    <cellStyle name="Normal 12 2 8" xfId="2449" xr:uid="{00000000-0005-0000-0000-00001A0E0000}"/>
    <cellStyle name="Normal 12 2 8 2" xfId="6734" xr:uid="{00000000-0005-0000-0000-00001B0E0000}"/>
    <cellStyle name="Normal 12 2 8 3" xfId="11398" xr:uid="{357F9B0E-F90B-4EAC-922B-F733548C8940}"/>
    <cellStyle name="Normal 12 2 9" xfId="4668" xr:uid="{00000000-0005-0000-0000-00001C0E0000}"/>
    <cellStyle name="Normal 12 2 9 2" xfId="9321" xr:uid="{F9D4B27D-481D-4688-9FBA-9473F21F51D3}"/>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3" xfId="11896" xr:uid="{0F7B8C59-B4EA-4288-A901-794465FC3AE8}"/>
    <cellStyle name="Normal 12 3 2 2 3" xfId="5087" xr:uid="{00000000-0005-0000-0000-0000220E0000}"/>
    <cellStyle name="Normal 12 3 2 2 4" xfId="9750" xr:uid="{E804EB7B-63FC-4405-ABB2-8B4B2ACDEB63}"/>
    <cellStyle name="Normal 12 3 2 3" xfId="1190" xr:uid="{00000000-0005-0000-0000-0000230E0000}"/>
    <cellStyle name="Normal 12 3 2 3 2" xfId="3421" xr:uid="{00000000-0005-0000-0000-0000240E0000}"/>
    <cellStyle name="Normal 12 3 2 3 2 2" xfId="7645" xr:uid="{00000000-0005-0000-0000-0000250E0000}"/>
    <cellStyle name="Normal 12 3 2 3 2 3" xfId="12309" xr:uid="{4729DC58-C67C-4DC7-BCB4-40FA97D45384}"/>
    <cellStyle name="Normal 12 3 2 3 3" xfId="5500" xr:uid="{00000000-0005-0000-0000-0000260E0000}"/>
    <cellStyle name="Normal 12 3 2 3 4" xfId="10163" xr:uid="{D3FBC715-3EE4-4580-A5D5-9AB418C205D2}"/>
    <cellStyle name="Normal 12 3 2 4" xfId="1604" xr:uid="{00000000-0005-0000-0000-0000270E0000}"/>
    <cellStyle name="Normal 12 3 2 4 2" xfId="3834" xr:uid="{00000000-0005-0000-0000-0000280E0000}"/>
    <cellStyle name="Normal 12 3 2 4 2 2" xfId="8058" xr:uid="{00000000-0005-0000-0000-0000290E0000}"/>
    <cellStyle name="Normal 12 3 2 4 2 3" xfId="12722" xr:uid="{4A6EC462-9C89-4B2F-8E12-62390957CC15}"/>
    <cellStyle name="Normal 12 3 2 4 3" xfId="5913" xr:uid="{00000000-0005-0000-0000-00002A0E0000}"/>
    <cellStyle name="Normal 12 3 2 4 4" xfId="10577" xr:uid="{B058523E-B8E7-4DE1-A4C4-7D50CA7DD8D4}"/>
    <cellStyle name="Normal 12 3 2 5" xfId="2018" xr:uid="{00000000-0005-0000-0000-00002B0E0000}"/>
    <cellStyle name="Normal 12 3 2 5 2" xfId="4247" xr:uid="{00000000-0005-0000-0000-00002C0E0000}"/>
    <cellStyle name="Normal 12 3 2 5 2 2" xfId="8471" xr:uid="{00000000-0005-0000-0000-00002D0E0000}"/>
    <cellStyle name="Normal 12 3 2 5 2 3" xfId="13135" xr:uid="{8E20B27C-9394-44F5-95B6-238298B94DBD}"/>
    <cellStyle name="Normal 12 3 2 5 3" xfId="6326" xr:uid="{00000000-0005-0000-0000-00002E0E0000}"/>
    <cellStyle name="Normal 12 3 2 5 4" xfId="10990" xr:uid="{75683DF8-2966-458A-880D-59D21036DC6C}"/>
    <cellStyle name="Normal 12 3 2 6" xfId="2454" xr:uid="{00000000-0005-0000-0000-00002F0E0000}"/>
    <cellStyle name="Normal 12 3 2 6 2" xfId="6739" xr:uid="{00000000-0005-0000-0000-0000300E0000}"/>
    <cellStyle name="Normal 12 3 2 6 3" xfId="11403" xr:uid="{50EE7880-52BF-4E63-BE37-94B745DDDC4C}"/>
    <cellStyle name="Normal 12 3 2 7" xfId="4673" xr:uid="{00000000-0005-0000-0000-0000310E0000}"/>
    <cellStyle name="Normal 12 3 2 7 2" xfId="9326" xr:uid="{AFC59340-6B66-484D-BA96-3F312FD0EE0C}"/>
    <cellStyle name="Normal 12 3 2 8" xfId="8884" xr:uid="{83B2EF07-B6AE-4777-B957-065629A4A471}"/>
    <cellStyle name="Normal 12 3 3" xfId="766" xr:uid="{00000000-0005-0000-0000-0000320E0000}"/>
    <cellStyle name="Normal 12 3 3 2" xfId="3007" xr:uid="{00000000-0005-0000-0000-0000330E0000}"/>
    <cellStyle name="Normal 12 3 3 2 2" xfId="7231" xr:uid="{00000000-0005-0000-0000-0000340E0000}"/>
    <cellStyle name="Normal 12 3 3 2 3" xfId="11895" xr:uid="{09E6E0DC-5974-4A4B-9688-916AB735C060}"/>
    <cellStyle name="Normal 12 3 3 3" xfId="5086" xr:uid="{00000000-0005-0000-0000-0000350E0000}"/>
    <cellStyle name="Normal 12 3 3 4" xfId="9749" xr:uid="{D3AEEBC2-AF31-4789-9282-E0CA6FDF649F}"/>
    <cellStyle name="Normal 12 3 4" xfId="1189" xr:uid="{00000000-0005-0000-0000-0000360E0000}"/>
    <cellStyle name="Normal 12 3 4 2" xfId="3420" xr:uid="{00000000-0005-0000-0000-0000370E0000}"/>
    <cellStyle name="Normal 12 3 4 2 2" xfId="7644" xr:uid="{00000000-0005-0000-0000-0000380E0000}"/>
    <cellStyle name="Normal 12 3 4 2 3" xfId="12308" xr:uid="{203E0FDD-D885-4874-93E0-1CA377F85437}"/>
    <cellStyle name="Normal 12 3 4 3" xfId="5499" xr:uid="{00000000-0005-0000-0000-0000390E0000}"/>
    <cellStyle name="Normal 12 3 4 4" xfId="10162" xr:uid="{17355FD1-8D61-41DA-A97C-824118DE0C16}"/>
    <cellStyle name="Normal 12 3 5" xfId="1603" xr:uid="{00000000-0005-0000-0000-00003A0E0000}"/>
    <cellStyle name="Normal 12 3 5 2" xfId="3833" xr:uid="{00000000-0005-0000-0000-00003B0E0000}"/>
    <cellStyle name="Normal 12 3 5 2 2" xfId="8057" xr:uid="{00000000-0005-0000-0000-00003C0E0000}"/>
    <cellStyle name="Normal 12 3 5 2 3" xfId="12721" xr:uid="{2CD27533-EA35-4D20-8B61-D1F4678B7257}"/>
    <cellStyle name="Normal 12 3 5 3" xfId="5912" xr:uid="{00000000-0005-0000-0000-00003D0E0000}"/>
    <cellStyle name="Normal 12 3 5 4" xfId="10576" xr:uid="{6741EA9A-180A-4971-BDB5-7860CD812014}"/>
    <cellStyle name="Normal 12 3 6" xfId="2017" xr:uid="{00000000-0005-0000-0000-00003E0E0000}"/>
    <cellStyle name="Normal 12 3 6 2" xfId="4246" xr:uid="{00000000-0005-0000-0000-00003F0E0000}"/>
    <cellStyle name="Normal 12 3 6 2 2" xfId="8470" xr:uid="{00000000-0005-0000-0000-0000400E0000}"/>
    <cellStyle name="Normal 12 3 6 2 3" xfId="13134" xr:uid="{166B814D-3861-4718-84AF-0F2BB9087B42}"/>
    <cellStyle name="Normal 12 3 6 3" xfId="6325" xr:uid="{00000000-0005-0000-0000-0000410E0000}"/>
    <cellStyle name="Normal 12 3 6 4" xfId="10989" xr:uid="{246054E6-BF01-474F-AC01-1D1F0D5A49E9}"/>
    <cellStyle name="Normal 12 3 7" xfId="2453" xr:uid="{00000000-0005-0000-0000-0000420E0000}"/>
    <cellStyle name="Normal 12 3 7 2" xfId="6738" xr:uid="{00000000-0005-0000-0000-0000430E0000}"/>
    <cellStyle name="Normal 12 3 7 3" xfId="11402" xr:uid="{ECA16B18-3316-42FB-A46D-9FC7DD6E3CA8}"/>
    <cellStyle name="Normal 12 3 8" xfId="4672" xr:uid="{00000000-0005-0000-0000-0000440E0000}"/>
    <cellStyle name="Normal 12 3 8 2" xfId="9325" xr:uid="{B1EDFA1A-4A9A-4F88-A2CC-16164EE24C91}"/>
    <cellStyle name="Normal 12 3 9" xfId="8883" xr:uid="{343F2180-7B8F-4780-8E06-922418D10C6E}"/>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3" xfId="11897" xr:uid="{F5F6AD75-673A-4C68-8329-6E9BD0AEE402}"/>
    <cellStyle name="Normal 12 4 2 3" xfId="5088" xr:uid="{00000000-0005-0000-0000-0000490E0000}"/>
    <cellStyle name="Normal 12 4 2 4" xfId="9751" xr:uid="{7C9E1AEE-D7A8-40DF-8296-D71128ECE1FE}"/>
    <cellStyle name="Normal 12 4 3" xfId="1191" xr:uid="{00000000-0005-0000-0000-00004A0E0000}"/>
    <cellStyle name="Normal 12 4 3 2" xfId="3422" xr:uid="{00000000-0005-0000-0000-00004B0E0000}"/>
    <cellStyle name="Normal 12 4 3 2 2" xfId="7646" xr:uid="{00000000-0005-0000-0000-00004C0E0000}"/>
    <cellStyle name="Normal 12 4 3 2 3" xfId="12310" xr:uid="{5F0456F8-C03A-48D3-B46A-6F875E9A1B51}"/>
    <cellStyle name="Normal 12 4 3 3" xfId="5501" xr:uid="{00000000-0005-0000-0000-00004D0E0000}"/>
    <cellStyle name="Normal 12 4 3 4" xfId="10164" xr:uid="{BA4D51BE-7D3F-4B66-965C-4BBE92B2442D}"/>
    <cellStyle name="Normal 12 4 4" xfId="1605" xr:uid="{00000000-0005-0000-0000-00004E0E0000}"/>
    <cellStyle name="Normal 12 4 4 2" xfId="3835" xr:uid="{00000000-0005-0000-0000-00004F0E0000}"/>
    <cellStyle name="Normal 12 4 4 2 2" xfId="8059" xr:uid="{00000000-0005-0000-0000-0000500E0000}"/>
    <cellStyle name="Normal 12 4 4 2 3" xfId="12723" xr:uid="{47D6B87B-E6AD-4B7D-8969-445C4E0803CF}"/>
    <cellStyle name="Normal 12 4 4 3" xfId="5914" xr:uid="{00000000-0005-0000-0000-0000510E0000}"/>
    <cellStyle name="Normal 12 4 4 4" xfId="10578" xr:uid="{D74F3CCB-66F5-4E3B-8966-C20150FEA23A}"/>
    <cellStyle name="Normal 12 4 5" xfId="2019" xr:uid="{00000000-0005-0000-0000-0000520E0000}"/>
    <cellStyle name="Normal 12 4 5 2" xfId="4248" xr:uid="{00000000-0005-0000-0000-0000530E0000}"/>
    <cellStyle name="Normal 12 4 5 2 2" xfId="8472" xr:uid="{00000000-0005-0000-0000-0000540E0000}"/>
    <cellStyle name="Normal 12 4 5 2 3" xfId="13136" xr:uid="{1258376D-21CE-47EC-8C73-27243533BFE4}"/>
    <cellStyle name="Normal 12 4 5 3" xfId="6327" xr:uid="{00000000-0005-0000-0000-0000550E0000}"/>
    <cellStyle name="Normal 12 4 5 4" xfId="10991" xr:uid="{68F7F5C7-4E0F-4ACE-AF24-7AE0DC8B3F64}"/>
    <cellStyle name="Normal 12 4 6" xfId="2455" xr:uid="{00000000-0005-0000-0000-0000560E0000}"/>
    <cellStyle name="Normal 12 4 6 2" xfId="6740" xr:uid="{00000000-0005-0000-0000-0000570E0000}"/>
    <cellStyle name="Normal 12 4 6 3" xfId="11404" xr:uid="{EDCD1582-ED62-4A60-9E4F-9689C3C0629E}"/>
    <cellStyle name="Normal 12 4 7" xfId="4674" xr:uid="{00000000-0005-0000-0000-0000580E0000}"/>
    <cellStyle name="Normal 12 4 7 2" xfId="9327" xr:uid="{4BC3FC20-B65D-49A4-B0CB-D742AF0B7920}"/>
    <cellStyle name="Normal 12 4 8" xfId="8885" xr:uid="{773D326B-7361-4C02-BD9D-C6B995E4D40D}"/>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3" xfId="11890" xr:uid="{9074D54A-3813-43CC-9A69-876966AB2B60}"/>
    <cellStyle name="Normal 12 6 3" xfId="5081" xr:uid="{00000000-0005-0000-0000-00005D0E0000}"/>
    <cellStyle name="Normal 12 6 4" xfId="9744" xr:uid="{3BBEDA7F-6684-418A-A597-195FDCDEAE18}"/>
    <cellStyle name="Normal 12 7" xfId="1184" xr:uid="{00000000-0005-0000-0000-00005E0E0000}"/>
    <cellStyle name="Normal 12 7 2" xfId="3415" xr:uid="{00000000-0005-0000-0000-00005F0E0000}"/>
    <cellStyle name="Normal 12 7 2 2" xfId="7639" xr:uid="{00000000-0005-0000-0000-0000600E0000}"/>
    <cellStyle name="Normal 12 7 2 3" xfId="12303" xr:uid="{A689F144-8955-4FB5-9B75-02D381813B5B}"/>
    <cellStyle name="Normal 12 7 3" xfId="5494" xr:uid="{00000000-0005-0000-0000-0000610E0000}"/>
    <cellStyle name="Normal 12 7 4" xfId="10157" xr:uid="{DF68936D-0A0A-47FB-B72D-4061492AE425}"/>
    <cellStyle name="Normal 12 8" xfId="1598" xr:uid="{00000000-0005-0000-0000-0000620E0000}"/>
    <cellStyle name="Normal 12 8 2" xfId="3828" xr:uid="{00000000-0005-0000-0000-0000630E0000}"/>
    <cellStyle name="Normal 12 8 2 2" xfId="8052" xr:uid="{00000000-0005-0000-0000-0000640E0000}"/>
    <cellStyle name="Normal 12 8 2 3" xfId="12716" xr:uid="{1EC2920F-A1BF-4B9B-A917-527F248816F2}"/>
    <cellStyle name="Normal 12 8 3" xfId="5907" xr:uid="{00000000-0005-0000-0000-0000650E0000}"/>
    <cellStyle name="Normal 12 8 4" xfId="10571" xr:uid="{62E48A64-0A0F-4967-A65F-3C3CEFD84007}"/>
    <cellStyle name="Normal 12 9" xfId="2012" xr:uid="{00000000-0005-0000-0000-0000660E0000}"/>
    <cellStyle name="Normal 12 9 2" xfId="4241" xr:uid="{00000000-0005-0000-0000-0000670E0000}"/>
    <cellStyle name="Normal 12 9 2 2" xfId="8465" xr:uid="{00000000-0005-0000-0000-0000680E0000}"/>
    <cellStyle name="Normal 12 9 2 3" xfId="13129" xr:uid="{9B3B8CAD-0FE5-4349-91C3-747CB833C597}"/>
    <cellStyle name="Normal 12 9 3" xfId="6320" xr:uid="{00000000-0005-0000-0000-0000690E0000}"/>
    <cellStyle name="Normal 12 9 4" xfId="10984" xr:uid="{B9AC9006-DCC6-4BF8-840D-5BB0153B9799}"/>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3" xfId="11898" xr:uid="{8CC054EB-A10A-4D7C-B40E-2784D7562583}"/>
    <cellStyle name="Normal 14 2 3" xfId="5089" xr:uid="{00000000-0005-0000-0000-0000700E0000}"/>
    <cellStyle name="Normal 14 2 4" xfId="9752" xr:uid="{8297043B-CA2C-4A14-B921-F940FE49A797}"/>
    <cellStyle name="Normal 14 3" xfId="1192" xr:uid="{00000000-0005-0000-0000-0000710E0000}"/>
    <cellStyle name="Normal 14 3 2" xfId="3423" xr:uid="{00000000-0005-0000-0000-0000720E0000}"/>
    <cellStyle name="Normal 14 3 2 2" xfId="7647" xr:uid="{00000000-0005-0000-0000-0000730E0000}"/>
    <cellStyle name="Normal 14 3 2 3" xfId="12311" xr:uid="{13CAC2BE-5129-4559-9352-74F28673E8CC}"/>
    <cellStyle name="Normal 14 3 3" xfId="5502" xr:uid="{00000000-0005-0000-0000-0000740E0000}"/>
    <cellStyle name="Normal 14 3 4" xfId="10165" xr:uid="{4379D74C-C02E-4E74-A95D-748C20E9155B}"/>
    <cellStyle name="Normal 14 4" xfId="1606" xr:uid="{00000000-0005-0000-0000-0000750E0000}"/>
    <cellStyle name="Normal 14 4 2" xfId="3836" xr:uid="{00000000-0005-0000-0000-0000760E0000}"/>
    <cellStyle name="Normal 14 4 2 2" xfId="8060" xr:uid="{00000000-0005-0000-0000-0000770E0000}"/>
    <cellStyle name="Normal 14 4 2 3" xfId="12724" xr:uid="{3BECD44B-89E1-4E75-9AF3-0401E8A482A7}"/>
    <cellStyle name="Normal 14 4 3" xfId="5915" xr:uid="{00000000-0005-0000-0000-0000780E0000}"/>
    <cellStyle name="Normal 14 4 4" xfId="10579" xr:uid="{172C9D23-FBA5-4FE4-A8C5-297D5F30C6D5}"/>
    <cellStyle name="Normal 14 5" xfId="2020" xr:uid="{00000000-0005-0000-0000-0000790E0000}"/>
    <cellStyle name="Normal 14 5 2" xfId="4249" xr:uid="{00000000-0005-0000-0000-00007A0E0000}"/>
    <cellStyle name="Normal 14 5 2 2" xfId="8473" xr:uid="{00000000-0005-0000-0000-00007B0E0000}"/>
    <cellStyle name="Normal 14 5 2 3" xfId="13137" xr:uid="{CB789A78-AF4A-4E2C-9E01-46DEB010F3CB}"/>
    <cellStyle name="Normal 14 5 3" xfId="6328" xr:uid="{00000000-0005-0000-0000-00007C0E0000}"/>
    <cellStyle name="Normal 14 5 4" xfId="10992" xr:uid="{9B1C8816-EF9C-465B-A9F3-77F6B192A9FD}"/>
    <cellStyle name="Normal 14 6" xfId="2456" xr:uid="{00000000-0005-0000-0000-00007D0E0000}"/>
    <cellStyle name="Normal 14 6 2" xfId="6741" xr:uid="{00000000-0005-0000-0000-00007E0E0000}"/>
    <cellStyle name="Normal 14 6 3" xfId="11405" xr:uid="{0050BEB9-F220-432B-A82E-412EB615AD95}"/>
    <cellStyle name="Normal 14 7" xfId="4675" xr:uid="{00000000-0005-0000-0000-00007F0E0000}"/>
    <cellStyle name="Normal 14 7 2" xfId="9328" xr:uid="{9593388A-BB70-4489-AD67-5963744F4C51}"/>
    <cellStyle name="Normal 14 8" xfId="8886" xr:uid="{5E9BE823-B042-40BE-9457-C6CD7C0DB017}"/>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2 4 2" xfId="10166" xr:uid="{30D056E1-1E63-448E-BACC-458EE8C334A5}"/>
    <cellStyle name="Normal 2 2 3" xfId="771" xr:uid="{00000000-0005-0000-0000-0000880E0000}"/>
    <cellStyle name="Normal 2 2 4" xfId="9330" xr:uid="{F213BF83-ACB1-4FBA-A671-5E043C16817C}"/>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3" xfId="13138" xr:uid="{43D97BFB-E7C5-4399-AC1A-05D799A4DDD0}"/>
    <cellStyle name="Normal 2 4 2 10 3" xfId="6329" xr:uid="{00000000-0005-0000-0000-0000900E0000}"/>
    <cellStyle name="Normal 2 4 2 10 4" xfId="10993" xr:uid="{C0511258-CE3E-4C6D-8613-189B183AFA02}"/>
    <cellStyle name="Normal 2 4 2 11" xfId="2457" xr:uid="{00000000-0005-0000-0000-0000910E0000}"/>
    <cellStyle name="Normal 2 4 2 11 2" xfId="6742" xr:uid="{00000000-0005-0000-0000-0000920E0000}"/>
    <cellStyle name="Normal 2 4 2 11 3" xfId="11406" xr:uid="{29BFC525-F5E4-4FC7-8496-CDF69A72032C}"/>
    <cellStyle name="Normal 2 4 2 12" xfId="4676" xr:uid="{00000000-0005-0000-0000-0000930E0000}"/>
    <cellStyle name="Normal 2 4 2 12 2" xfId="9331" xr:uid="{F2AC2717-0589-43D2-B5E5-BD2C05DE27A9}"/>
    <cellStyle name="Normal 2 4 2 13" xfId="8887" xr:uid="{73D23223-3770-4A4E-BE9E-D6E475E101B9}"/>
    <cellStyle name="Normal 2 4 2 2" xfId="280" xr:uid="{00000000-0005-0000-0000-0000940E0000}"/>
    <cellStyle name="Normal 2 4 2 3" xfId="281" xr:uid="{00000000-0005-0000-0000-0000950E0000}"/>
    <cellStyle name="Normal 2 4 2 3 10" xfId="4677" xr:uid="{00000000-0005-0000-0000-0000960E0000}"/>
    <cellStyle name="Normal 2 4 2 3 10 2" xfId="9332" xr:uid="{4136CF24-57DD-4DB7-90F6-58A4DC9AF27D}"/>
    <cellStyle name="Normal 2 4 2 3 11" xfId="8888" xr:uid="{8B1C4776-1E54-4DF6-9B86-783F419BAB45}"/>
    <cellStyle name="Normal 2 4 2 3 2" xfId="282" xr:uid="{00000000-0005-0000-0000-0000970E0000}"/>
    <cellStyle name="Normal 2 4 2 3 2 10" xfId="8889" xr:uid="{CB9B69EA-667C-40D5-BE57-146A22925EAF}"/>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3" xfId="11903" xr:uid="{740A49EF-B76C-4537-9D00-865C8168C215}"/>
    <cellStyle name="Normal 2 4 2 3 2 2 2 2 3" xfId="5094" xr:uid="{00000000-0005-0000-0000-00009D0E0000}"/>
    <cellStyle name="Normal 2 4 2 3 2 2 2 2 4" xfId="9757" xr:uid="{73D4E3E7-8CF0-4137-BFC8-7427C2565A37}"/>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3" xfId="12316" xr:uid="{D06AF52B-9919-4084-A2C0-7C31B79EB06E}"/>
    <cellStyle name="Normal 2 4 2 3 2 2 2 3 3" xfId="5507" xr:uid="{00000000-0005-0000-0000-0000A10E0000}"/>
    <cellStyle name="Normal 2 4 2 3 2 2 2 3 4" xfId="10171" xr:uid="{77019C86-48B1-4A11-9B36-30BA2EE339D4}"/>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3" xfId="12729" xr:uid="{1600D1F7-5264-47C0-87D8-0EA858322D07}"/>
    <cellStyle name="Normal 2 4 2 3 2 2 2 4 3" xfId="5920" xr:uid="{00000000-0005-0000-0000-0000A50E0000}"/>
    <cellStyle name="Normal 2 4 2 3 2 2 2 4 4" xfId="10584" xr:uid="{DB6DFBA0-BCAC-412C-8878-BFB28E6C783C}"/>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3" xfId="13142" xr:uid="{0024EA2E-C4B8-4BF9-AF49-17CCDFD60379}"/>
    <cellStyle name="Normal 2 4 2 3 2 2 2 5 3" xfId="6333" xr:uid="{00000000-0005-0000-0000-0000A90E0000}"/>
    <cellStyle name="Normal 2 4 2 3 2 2 2 5 4" xfId="10997" xr:uid="{6E2AE131-0F15-46ED-B267-D49655430275}"/>
    <cellStyle name="Normal 2 4 2 3 2 2 2 6" xfId="2461" xr:uid="{00000000-0005-0000-0000-0000AA0E0000}"/>
    <cellStyle name="Normal 2 4 2 3 2 2 2 6 2" xfId="6746" xr:uid="{00000000-0005-0000-0000-0000AB0E0000}"/>
    <cellStyle name="Normal 2 4 2 3 2 2 2 6 3" xfId="11410" xr:uid="{2D8CEE78-2ED1-4BA3-826B-414402DEC31A}"/>
    <cellStyle name="Normal 2 4 2 3 2 2 2 7" xfId="4680" xr:uid="{00000000-0005-0000-0000-0000AC0E0000}"/>
    <cellStyle name="Normal 2 4 2 3 2 2 2 7 2" xfId="9335" xr:uid="{996F988F-D8F4-48C1-959C-34FBBF0B2AE0}"/>
    <cellStyle name="Normal 2 4 2 3 2 2 2 8" xfId="8891" xr:uid="{78354F85-DF90-437D-9D7B-6384CAD1860D}"/>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3" xfId="11902" xr:uid="{BCA85A97-1EDC-4F67-B508-BBA626BC931C}"/>
    <cellStyle name="Normal 2 4 2 3 2 2 3 3" xfId="5093" xr:uid="{00000000-0005-0000-0000-0000B00E0000}"/>
    <cellStyle name="Normal 2 4 2 3 2 2 3 4" xfId="9756" xr:uid="{21BCFFBD-E01C-4B6F-9385-B171F700B36A}"/>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3" xfId="12315" xr:uid="{1317A67D-47BE-4CCA-9ED2-74E07ECB32BB}"/>
    <cellStyle name="Normal 2 4 2 3 2 2 4 3" xfId="5506" xr:uid="{00000000-0005-0000-0000-0000B40E0000}"/>
    <cellStyle name="Normal 2 4 2 3 2 2 4 4" xfId="10170" xr:uid="{2E79BDA5-0612-48C9-BD37-FF0DD83C4935}"/>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3" xfId="12728" xr:uid="{B301E521-D473-4E4D-A863-83432D5BBA6D}"/>
    <cellStyle name="Normal 2 4 2 3 2 2 5 3" xfId="5919" xr:uid="{00000000-0005-0000-0000-0000B80E0000}"/>
    <cellStyle name="Normal 2 4 2 3 2 2 5 4" xfId="10583" xr:uid="{BA965747-D5EB-48F7-B0F8-D95C0707414E}"/>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3" xfId="13141" xr:uid="{02139116-2A6C-406A-B9A2-7C2D0B7EFDFD}"/>
    <cellStyle name="Normal 2 4 2 3 2 2 6 3" xfId="6332" xr:uid="{00000000-0005-0000-0000-0000BC0E0000}"/>
    <cellStyle name="Normal 2 4 2 3 2 2 6 4" xfId="10996" xr:uid="{5CB77E52-13F5-474C-A9AE-77F91F283C6C}"/>
    <cellStyle name="Normal 2 4 2 3 2 2 7" xfId="2460" xr:uid="{00000000-0005-0000-0000-0000BD0E0000}"/>
    <cellStyle name="Normal 2 4 2 3 2 2 7 2" xfId="6745" xr:uid="{00000000-0005-0000-0000-0000BE0E0000}"/>
    <cellStyle name="Normal 2 4 2 3 2 2 7 3" xfId="11409" xr:uid="{0E1FEEEE-9AE0-4961-AC93-8B724EAF384A}"/>
    <cellStyle name="Normal 2 4 2 3 2 2 8" xfId="4679" xr:uid="{00000000-0005-0000-0000-0000BF0E0000}"/>
    <cellStyle name="Normal 2 4 2 3 2 2 8 2" xfId="9334" xr:uid="{F5A2899B-E409-4AC8-B5E9-56AC59BC0354}"/>
    <cellStyle name="Normal 2 4 2 3 2 2 9" xfId="8890" xr:uid="{01376C95-01F7-4C74-9951-2BB7B0F57AD4}"/>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3" xfId="11904" xr:uid="{BE33FCC9-B614-4D05-8E71-049BDA464592}"/>
    <cellStyle name="Normal 2 4 2 3 2 3 2 3" xfId="5095" xr:uid="{00000000-0005-0000-0000-0000C40E0000}"/>
    <cellStyle name="Normal 2 4 2 3 2 3 2 4" xfId="9758" xr:uid="{B455460A-4A5B-492C-B065-CD63F6EE35BD}"/>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3" xfId="12317" xr:uid="{AD3180FE-BBFC-4862-A729-162336323009}"/>
    <cellStyle name="Normal 2 4 2 3 2 3 3 3" xfId="5508" xr:uid="{00000000-0005-0000-0000-0000C80E0000}"/>
    <cellStyle name="Normal 2 4 2 3 2 3 3 4" xfId="10172" xr:uid="{1F3E2FEA-F812-49EF-9B8B-82249B8E30C5}"/>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3" xfId="12730" xr:uid="{E8970EE4-3C26-41D9-B5D4-B56D3436D3EA}"/>
    <cellStyle name="Normal 2 4 2 3 2 3 4 3" xfId="5921" xr:uid="{00000000-0005-0000-0000-0000CC0E0000}"/>
    <cellStyle name="Normal 2 4 2 3 2 3 4 4" xfId="10585" xr:uid="{02BA05EF-46E1-4CA8-B605-8E33E46E10E7}"/>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3" xfId="13143" xr:uid="{D905FC45-0E9E-40C3-8EBE-368DCB4D472C}"/>
    <cellStyle name="Normal 2 4 2 3 2 3 5 3" xfId="6334" xr:uid="{00000000-0005-0000-0000-0000D00E0000}"/>
    <cellStyle name="Normal 2 4 2 3 2 3 5 4" xfId="10998" xr:uid="{37349A13-B9B4-47CE-AE9E-9DBD767A2B85}"/>
    <cellStyle name="Normal 2 4 2 3 2 3 6" xfId="2462" xr:uid="{00000000-0005-0000-0000-0000D10E0000}"/>
    <cellStyle name="Normal 2 4 2 3 2 3 6 2" xfId="6747" xr:uid="{00000000-0005-0000-0000-0000D20E0000}"/>
    <cellStyle name="Normal 2 4 2 3 2 3 6 3" xfId="11411" xr:uid="{9FC1FAB9-FFBE-4F39-9C86-88E7DD902B5C}"/>
    <cellStyle name="Normal 2 4 2 3 2 3 7" xfId="4681" xr:uid="{00000000-0005-0000-0000-0000D30E0000}"/>
    <cellStyle name="Normal 2 4 2 3 2 3 7 2" xfId="9336" xr:uid="{3B986B9C-7BF3-4A2C-BBC8-C995742F3B72}"/>
    <cellStyle name="Normal 2 4 2 3 2 3 8" xfId="8892" xr:uid="{2793D8B8-8507-4002-8E2F-45DCC778BA38}"/>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3" xfId="11901" xr:uid="{8EEEE527-C05B-4D7E-BDF9-2F309EABEA44}"/>
    <cellStyle name="Normal 2 4 2 3 2 4 3" xfId="5092" xr:uid="{00000000-0005-0000-0000-0000D70E0000}"/>
    <cellStyle name="Normal 2 4 2 3 2 4 4" xfId="9755" xr:uid="{DE1B5D65-0B6C-41EE-AE35-9B4EC6DEDDE6}"/>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3" xfId="12314" xr:uid="{69040D7D-0EA7-4F66-A1E7-0A464EF2A140}"/>
    <cellStyle name="Normal 2 4 2 3 2 5 3" xfId="5505" xr:uid="{00000000-0005-0000-0000-0000DB0E0000}"/>
    <cellStyle name="Normal 2 4 2 3 2 5 4" xfId="10169" xr:uid="{76D74AAF-C68C-44A6-8B89-9FFCBCD5A0B8}"/>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3" xfId="12727" xr:uid="{5FAD06CF-11AD-4343-95E6-E6C63F8BC452}"/>
    <cellStyle name="Normal 2 4 2 3 2 6 3" xfId="5918" xr:uid="{00000000-0005-0000-0000-0000DF0E0000}"/>
    <cellStyle name="Normal 2 4 2 3 2 6 4" xfId="10582" xr:uid="{8C0EE91B-5A68-4C2B-B2CC-EADE0C59EEC9}"/>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3" xfId="13140" xr:uid="{FD459AE8-CF40-4A4A-B7AA-6A6634CD7425}"/>
    <cellStyle name="Normal 2 4 2 3 2 7 3" xfId="6331" xr:uid="{00000000-0005-0000-0000-0000E30E0000}"/>
    <cellStyle name="Normal 2 4 2 3 2 7 4" xfId="10995" xr:uid="{02780D7D-488F-43B2-9D59-434440675CB5}"/>
    <cellStyle name="Normal 2 4 2 3 2 8" xfId="2459" xr:uid="{00000000-0005-0000-0000-0000E40E0000}"/>
    <cellStyle name="Normal 2 4 2 3 2 8 2" xfId="6744" xr:uid="{00000000-0005-0000-0000-0000E50E0000}"/>
    <cellStyle name="Normal 2 4 2 3 2 8 3" xfId="11408" xr:uid="{EBCB05EA-7483-4E90-A4B5-71E89A7077AC}"/>
    <cellStyle name="Normal 2 4 2 3 2 9" xfId="4678" xr:uid="{00000000-0005-0000-0000-0000E60E0000}"/>
    <cellStyle name="Normal 2 4 2 3 2 9 2" xfId="9333" xr:uid="{30D7EDDC-2E54-4E28-B547-9D7AB2B644E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3" xfId="11906" xr:uid="{B2CB5662-8683-4410-BC18-7CC78D0216C6}"/>
    <cellStyle name="Normal 2 4 2 3 3 2 2 3" xfId="5097" xr:uid="{00000000-0005-0000-0000-0000EC0E0000}"/>
    <cellStyle name="Normal 2 4 2 3 3 2 2 4" xfId="9760" xr:uid="{412603B4-E066-4D2A-8262-1D215D92F28D}"/>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3" xfId="12319" xr:uid="{7B944A0F-0F3D-4237-97ED-655D874ECE81}"/>
    <cellStyle name="Normal 2 4 2 3 3 2 3 3" xfId="5510" xr:uid="{00000000-0005-0000-0000-0000F00E0000}"/>
    <cellStyle name="Normal 2 4 2 3 3 2 3 4" xfId="10174" xr:uid="{BB0E8EED-B174-47CA-AEE3-39B1D595F007}"/>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3" xfId="12732" xr:uid="{76B5D07F-22F9-4DE7-876C-50BCB4114002}"/>
    <cellStyle name="Normal 2 4 2 3 3 2 4 3" xfId="5923" xr:uid="{00000000-0005-0000-0000-0000F40E0000}"/>
    <cellStyle name="Normal 2 4 2 3 3 2 4 4" xfId="10587" xr:uid="{4A4E73EF-092A-4E9C-84EF-89EA7DABEDD4}"/>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3" xfId="13145" xr:uid="{C6E1F9AE-DD7F-4A4F-91AD-D1C201F380EF}"/>
    <cellStyle name="Normal 2 4 2 3 3 2 5 3" xfId="6336" xr:uid="{00000000-0005-0000-0000-0000F80E0000}"/>
    <cellStyle name="Normal 2 4 2 3 3 2 5 4" xfId="11000" xr:uid="{6D69CDA7-D55A-4F25-B8B1-9D8ED2D6CF26}"/>
    <cellStyle name="Normal 2 4 2 3 3 2 6" xfId="2464" xr:uid="{00000000-0005-0000-0000-0000F90E0000}"/>
    <cellStyle name="Normal 2 4 2 3 3 2 6 2" xfId="6749" xr:uid="{00000000-0005-0000-0000-0000FA0E0000}"/>
    <cellStyle name="Normal 2 4 2 3 3 2 6 3" xfId="11413" xr:uid="{D72FBD57-7E92-4105-BD17-775A69D9E1A9}"/>
    <cellStyle name="Normal 2 4 2 3 3 2 7" xfId="4683" xr:uid="{00000000-0005-0000-0000-0000FB0E0000}"/>
    <cellStyle name="Normal 2 4 2 3 3 2 7 2" xfId="9338" xr:uid="{6FD84CA2-B696-4088-81D8-7BD0C52DCA16}"/>
    <cellStyle name="Normal 2 4 2 3 3 2 8" xfId="8894" xr:uid="{71F662C6-06CF-4A2E-96E0-76623265EFEF}"/>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3" xfId="11905" xr:uid="{B37E3D04-1D72-4EC7-9489-12948604D95F}"/>
    <cellStyle name="Normal 2 4 2 3 3 3 3" xfId="5096" xr:uid="{00000000-0005-0000-0000-0000FF0E0000}"/>
    <cellStyle name="Normal 2 4 2 3 3 3 4" xfId="9759" xr:uid="{085782C3-B0F0-468E-821D-6092E637272A}"/>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3" xfId="12318" xr:uid="{920E093F-2F75-43D6-9C64-D972197654E7}"/>
    <cellStyle name="Normal 2 4 2 3 3 4 3" xfId="5509" xr:uid="{00000000-0005-0000-0000-0000030F0000}"/>
    <cellStyle name="Normal 2 4 2 3 3 4 4" xfId="10173" xr:uid="{96A4EA75-850A-4DB4-9D44-38655D0FCB7C}"/>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3" xfId="12731" xr:uid="{8AB87F62-FA7A-413F-BDCC-98D2D8E220AD}"/>
    <cellStyle name="Normal 2 4 2 3 3 5 3" xfId="5922" xr:uid="{00000000-0005-0000-0000-0000070F0000}"/>
    <cellStyle name="Normal 2 4 2 3 3 5 4" xfId="10586" xr:uid="{277E9540-D539-48CF-B73A-41763E1CCD02}"/>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3" xfId="13144" xr:uid="{66AA227B-7194-47E9-A8BE-42836F550F36}"/>
    <cellStyle name="Normal 2 4 2 3 3 6 3" xfId="6335" xr:uid="{00000000-0005-0000-0000-00000B0F0000}"/>
    <cellStyle name="Normal 2 4 2 3 3 6 4" xfId="10999" xr:uid="{4C1791C8-AD17-4862-8BF6-5F7EC6326D00}"/>
    <cellStyle name="Normal 2 4 2 3 3 7" xfId="2463" xr:uid="{00000000-0005-0000-0000-00000C0F0000}"/>
    <cellStyle name="Normal 2 4 2 3 3 7 2" xfId="6748" xr:uid="{00000000-0005-0000-0000-00000D0F0000}"/>
    <cellStyle name="Normal 2 4 2 3 3 7 3" xfId="11412" xr:uid="{ECEF2895-05A2-447E-B9F6-F24B37A0D2A1}"/>
    <cellStyle name="Normal 2 4 2 3 3 8" xfId="4682" xr:uid="{00000000-0005-0000-0000-00000E0F0000}"/>
    <cellStyle name="Normal 2 4 2 3 3 8 2" xfId="9337" xr:uid="{4A87BDB1-4257-4D35-92BA-F0BC1A287A5F}"/>
    <cellStyle name="Normal 2 4 2 3 3 9" xfId="8893" xr:uid="{6D5F2E2E-3611-4DC2-8B59-E880074BC974}"/>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3" xfId="11907" xr:uid="{F8812A7F-8BD2-4355-BC40-0C4A40D67816}"/>
    <cellStyle name="Normal 2 4 2 3 4 2 3" xfId="5098" xr:uid="{00000000-0005-0000-0000-0000130F0000}"/>
    <cellStyle name="Normal 2 4 2 3 4 2 4" xfId="9761" xr:uid="{8299A778-2F5E-49F3-B4BD-980C0BBD0CFD}"/>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3" xfId="12320" xr:uid="{7BED943B-1C0B-42FC-8B72-73EAE101F4A4}"/>
    <cellStyle name="Normal 2 4 2 3 4 3 3" xfId="5511" xr:uid="{00000000-0005-0000-0000-0000170F0000}"/>
    <cellStyle name="Normal 2 4 2 3 4 3 4" xfId="10175" xr:uid="{62BB705B-E598-4F6B-8C58-8278F552B20B}"/>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3" xfId="12733" xr:uid="{9CCEF2FF-BF1A-47A0-BD4C-24B0B10AC627}"/>
    <cellStyle name="Normal 2 4 2 3 4 4 3" xfId="5924" xr:uid="{00000000-0005-0000-0000-00001B0F0000}"/>
    <cellStyle name="Normal 2 4 2 3 4 4 4" xfId="10588" xr:uid="{F9C52EB3-19C4-4E2D-83C5-F4E89676ACA5}"/>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3" xfId="13146" xr:uid="{8BD437E2-E01B-4373-86B5-D0509B5799C0}"/>
    <cellStyle name="Normal 2 4 2 3 4 5 3" xfId="6337" xr:uid="{00000000-0005-0000-0000-00001F0F0000}"/>
    <cellStyle name="Normal 2 4 2 3 4 5 4" xfId="11001" xr:uid="{3EEDDB86-9342-47F4-9A55-5569B8A3AA2E}"/>
    <cellStyle name="Normal 2 4 2 3 4 6" xfId="2465" xr:uid="{00000000-0005-0000-0000-0000200F0000}"/>
    <cellStyle name="Normal 2 4 2 3 4 6 2" xfId="6750" xr:uid="{00000000-0005-0000-0000-0000210F0000}"/>
    <cellStyle name="Normal 2 4 2 3 4 6 3" xfId="11414" xr:uid="{98178268-F251-4807-99AD-197A44469117}"/>
    <cellStyle name="Normal 2 4 2 3 4 7" xfId="4684" xr:uid="{00000000-0005-0000-0000-0000220F0000}"/>
    <cellStyle name="Normal 2 4 2 3 4 7 2" xfId="9339" xr:uid="{49041B88-734B-4B08-9A13-DD98C9CC7181}"/>
    <cellStyle name="Normal 2 4 2 3 4 8" xfId="8895" xr:uid="{ACEFB47B-511A-43AA-A39C-44255685B9BE}"/>
    <cellStyle name="Normal 2 4 2 3 5" xfId="773" xr:uid="{00000000-0005-0000-0000-0000230F0000}"/>
    <cellStyle name="Normal 2 4 2 3 5 2" xfId="3012" xr:uid="{00000000-0005-0000-0000-0000240F0000}"/>
    <cellStyle name="Normal 2 4 2 3 5 2 2" xfId="7236" xr:uid="{00000000-0005-0000-0000-0000250F0000}"/>
    <cellStyle name="Normal 2 4 2 3 5 2 3" xfId="11900" xr:uid="{C9718C4D-F991-442F-A611-012264AFD70A}"/>
    <cellStyle name="Normal 2 4 2 3 5 3" xfId="5091" xr:uid="{00000000-0005-0000-0000-0000260F0000}"/>
    <cellStyle name="Normal 2 4 2 3 5 4" xfId="9754" xr:uid="{19C34254-2711-45B3-A628-D856D8E35ED0}"/>
    <cellStyle name="Normal 2 4 2 3 6" xfId="1195" xr:uid="{00000000-0005-0000-0000-0000270F0000}"/>
    <cellStyle name="Normal 2 4 2 3 6 2" xfId="3425" xr:uid="{00000000-0005-0000-0000-0000280F0000}"/>
    <cellStyle name="Normal 2 4 2 3 6 2 2" xfId="7649" xr:uid="{00000000-0005-0000-0000-0000290F0000}"/>
    <cellStyle name="Normal 2 4 2 3 6 2 3" xfId="12313" xr:uid="{2BB14546-38B0-4E01-8BCA-1D4042C5350D}"/>
    <cellStyle name="Normal 2 4 2 3 6 3" xfId="5504" xr:uid="{00000000-0005-0000-0000-00002A0F0000}"/>
    <cellStyle name="Normal 2 4 2 3 6 4" xfId="10168" xr:uid="{D71879A3-C3E9-47F5-9896-7FEADB8B17B9}"/>
    <cellStyle name="Normal 2 4 2 3 7" xfId="1608" xr:uid="{00000000-0005-0000-0000-00002B0F0000}"/>
    <cellStyle name="Normal 2 4 2 3 7 2" xfId="3838" xr:uid="{00000000-0005-0000-0000-00002C0F0000}"/>
    <cellStyle name="Normal 2 4 2 3 7 2 2" xfId="8062" xr:uid="{00000000-0005-0000-0000-00002D0F0000}"/>
    <cellStyle name="Normal 2 4 2 3 7 2 3" xfId="12726" xr:uid="{CA8BE4C1-5E2C-4A1F-9481-B1AF0EFF547C}"/>
    <cellStyle name="Normal 2 4 2 3 7 3" xfId="5917" xr:uid="{00000000-0005-0000-0000-00002E0F0000}"/>
    <cellStyle name="Normal 2 4 2 3 7 4" xfId="10581" xr:uid="{9ECFA9F0-D16B-4476-A425-740ED77C6852}"/>
    <cellStyle name="Normal 2 4 2 3 8" xfId="2022" xr:uid="{00000000-0005-0000-0000-00002F0F0000}"/>
    <cellStyle name="Normal 2 4 2 3 8 2" xfId="4251" xr:uid="{00000000-0005-0000-0000-0000300F0000}"/>
    <cellStyle name="Normal 2 4 2 3 8 2 2" xfId="8475" xr:uid="{00000000-0005-0000-0000-0000310F0000}"/>
    <cellStyle name="Normal 2 4 2 3 8 2 3" xfId="13139" xr:uid="{CF6421DA-D069-4971-B70C-49C891F6FFC5}"/>
    <cellStyle name="Normal 2 4 2 3 8 3" xfId="6330" xr:uid="{00000000-0005-0000-0000-0000320F0000}"/>
    <cellStyle name="Normal 2 4 2 3 8 4" xfId="10994" xr:uid="{2A86ACC9-465A-4FE8-8A1A-B5190D47C48F}"/>
    <cellStyle name="Normal 2 4 2 3 9" xfId="2458" xr:uid="{00000000-0005-0000-0000-0000330F0000}"/>
    <cellStyle name="Normal 2 4 2 3 9 2" xfId="6743" xr:uid="{00000000-0005-0000-0000-0000340F0000}"/>
    <cellStyle name="Normal 2 4 2 3 9 3" xfId="11407" xr:uid="{F415C772-9EB2-422D-AEA8-C67430313428}"/>
    <cellStyle name="Normal 2 4 2 4" xfId="289" xr:uid="{00000000-0005-0000-0000-0000350F0000}"/>
    <cellStyle name="Normal 2 4 2 4 10" xfId="8896" xr:uid="{622DD688-5A4D-4DDB-B246-6CBED8D44F2B}"/>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3" xfId="11910" xr:uid="{A1EE572F-EC81-4A3D-A424-0C33F8C60905}"/>
    <cellStyle name="Normal 2 4 2 4 2 2 2 3" xfId="5101" xr:uid="{00000000-0005-0000-0000-00003B0F0000}"/>
    <cellStyle name="Normal 2 4 2 4 2 2 2 4" xfId="9764" xr:uid="{470E49D7-6831-4BB9-B78D-2D223F337CFC}"/>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3" xfId="12323" xr:uid="{FB2CD7EA-B4D8-41F6-90AA-1CDC50CED47F}"/>
    <cellStyle name="Normal 2 4 2 4 2 2 3 3" xfId="5514" xr:uid="{00000000-0005-0000-0000-00003F0F0000}"/>
    <cellStyle name="Normal 2 4 2 4 2 2 3 4" xfId="10178" xr:uid="{F5689F5A-ED30-44E6-A59B-8D789106BD1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3" xfId="12736" xr:uid="{3CC2607B-5183-485F-B574-A1301C7865E0}"/>
    <cellStyle name="Normal 2 4 2 4 2 2 4 3" xfId="5927" xr:uid="{00000000-0005-0000-0000-0000430F0000}"/>
    <cellStyle name="Normal 2 4 2 4 2 2 4 4" xfId="10591" xr:uid="{1528C0BE-81B5-494B-BDCD-1B27CC0B7262}"/>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3" xfId="13149" xr:uid="{7A6C1CDC-1AD7-4009-B653-8F742045DBF8}"/>
    <cellStyle name="Normal 2 4 2 4 2 2 5 3" xfId="6340" xr:uid="{00000000-0005-0000-0000-0000470F0000}"/>
    <cellStyle name="Normal 2 4 2 4 2 2 5 4" xfId="11004" xr:uid="{D4EF0811-BC69-4384-809F-8D6C55847150}"/>
    <cellStyle name="Normal 2 4 2 4 2 2 6" xfId="2468" xr:uid="{00000000-0005-0000-0000-0000480F0000}"/>
    <cellStyle name="Normal 2 4 2 4 2 2 6 2" xfId="6753" xr:uid="{00000000-0005-0000-0000-0000490F0000}"/>
    <cellStyle name="Normal 2 4 2 4 2 2 6 3" xfId="11417" xr:uid="{DC011153-0728-431E-B7E9-836BECB86A09}"/>
    <cellStyle name="Normal 2 4 2 4 2 2 7" xfId="4687" xr:uid="{00000000-0005-0000-0000-00004A0F0000}"/>
    <cellStyle name="Normal 2 4 2 4 2 2 7 2" xfId="9342" xr:uid="{AE61CDB0-0C41-4424-AF0D-D92F309B7B50}"/>
    <cellStyle name="Normal 2 4 2 4 2 2 8" xfId="8898" xr:uid="{E854DBA9-BF8C-4E46-8B6E-C77B19FF8146}"/>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3" xfId="11909" xr:uid="{E56D1643-6B6B-42A7-B6D5-9F495D9BA0E1}"/>
    <cellStyle name="Normal 2 4 2 4 2 3 3" xfId="5100" xr:uid="{00000000-0005-0000-0000-00004E0F0000}"/>
    <cellStyle name="Normal 2 4 2 4 2 3 4" xfId="9763" xr:uid="{C6768D96-946A-4298-A584-AE568305C0F3}"/>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3" xfId="12322" xr:uid="{3586E570-0728-4CCB-B310-B066BD581A3F}"/>
    <cellStyle name="Normal 2 4 2 4 2 4 3" xfId="5513" xr:uid="{00000000-0005-0000-0000-0000520F0000}"/>
    <cellStyle name="Normal 2 4 2 4 2 4 4" xfId="10177" xr:uid="{C22DEEE5-0DE8-41D1-83AF-32C023631098}"/>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3" xfId="12735" xr:uid="{E8A79EC0-D219-4434-B577-429BE15136BA}"/>
    <cellStyle name="Normal 2 4 2 4 2 5 3" xfId="5926" xr:uid="{00000000-0005-0000-0000-0000560F0000}"/>
    <cellStyle name="Normal 2 4 2 4 2 5 4" xfId="10590" xr:uid="{91A9626F-9DD1-49DA-8F82-DF58DC0C6D64}"/>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3" xfId="13148" xr:uid="{9AA4BCF5-FCF3-4A84-B7DA-B04FC8720F90}"/>
    <cellStyle name="Normal 2 4 2 4 2 6 3" xfId="6339" xr:uid="{00000000-0005-0000-0000-00005A0F0000}"/>
    <cellStyle name="Normal 2 4 2 4 2 6 4" xfId="11003" xr:uid="{4B3F3C26-4DE1-42EF-AA4C-59E77B52270C}"/>
    <cellStyle name="Normal 2 4 2 4 2 7" xfId="2467" xr:uid="{00000000-0005-0000-0000-00005B0F0000}"/>
    <cellStyle name="Normal 2 4 2 4 2 7 2" xfId="6752" xr:uid="{00000000-0005-0000-0000-00005C0F0000}"/>
    <cellStyle name="Normal 2 4 2 4 2 7 3" xfId="11416" xr:uid="{FAF3CED0-2B20-457B-8004-6A1180892CEB}"/>
    <cellStyle name="Normal 2 4 2 4 2 8" xfId="4686" xr:uid="{00000000-0005-0000-0000-00005D0F0000}"/>
    <cellStyle name="Normal 2 4 2 4 2 8 2" xfId="9341" xr:uid="{EB1DF040-2F30-42EC-88AF-C78999E247BA}"/>
    <cellStyle name="Normal 2 4 2 4 2 9" xfId="8897" xr:uid="{C73BFBD3-A3A9-48B3-A720-3A709D37101F}"/>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3" xfId="11911" xr:uid="{BFB1A640-B135-4EDB-958B-5297443DBD88}"/>
    <cellStyle name="Normal 2 4 2 4 3 2 3" xfId="5102" xr:uid="{00000000-0005-0000-0000-0000620F0000}"/>
    <cellStyle name="Normal 2 4 2 4 3 2 4" xfId="9765" xr:uid="{B23EB084-6CA2-4E45-B196-4D61B4E38943}"/>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3" xfId="12324" xr:uid="{76716ACA-5263-4653-8C8E-2F14AF911489}"/>
    <cellStyle name="Normal 2 4 2 4 3 3 3" xfId="5515" xr:uid="{00000000-0005-0000-0000-0000660F0000}"/>
    <cellStyle name="Normal 2 4 2 4 3 3 4" xfId="10179" xr:uid="{CF1ADA02-A273-490D-8562-88BEFC608335}"/>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3" xfId="12737" xr:uid="{49313996-988B-40B8-9F9A-236F813D3A12}"/>
    <cellStyle name="Normal 2 4 2 4 3 4 3" xfId="5928" xr:uid="{00000000-0005-0000-0000-00006A0F0000}"/>
    <cellStyle name="Normal 2 4 2 4 3 4 4" xfId="10592" xr:uid="{4C5A3EF1-09E1-4EAA-9EC9-72DC0AD87569}"/>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3" xfId="13150" xr:uid="{58D4CDD0-1A54-442F-8B00-4250A50A3E15}"/>
    <cellStyle name="Normal 2 4 2 4 3 5 3" xfId="6341" xr:uid="{00000000-0005-0000-0000-00006E0F0000}"/>
    <cellStyle name="Normal 2 4 2 4 3 5 4" xfId="11005" xr:uid="{1C0B3CB7-7CF4-4AEF-A78C-9B7F5DB79BAC}"/>
    <cellStyle name="Normal 2 4 2 4 3 6" xfId="2469" xr:uid="{00000000-0005-0000-0000-00006F0F0000}"/>
    <cellStyle name="Normal 2 4 2 4 3 6 2" xfId="6754" xr:uid="{00000000-0005-0000-0000-0000700F0000}"/>
    <cellStyle name="Normal 2 4 2 4 3 6 3" xfId="11418" xr:uid="{1F80D1FD-CBCB-4BDF-B425-6172FBFA2317}"/>
    <cellStyle name="Normal 2 4 2 4 3 7" xfId="4688" xr:uid="{00000000-0005-0000-0000-0000710F0000}"/>
    <cellStyle name="Normal 2 4 2 4 3 7 2" xfId="9343" xr:uid="{3F1A4ADE-3969-44F8-8DFC-2DF34172FFD1}"/>
    <cellStyle name="Normal 2 4 2 4 3 8" xfId="8899" xr:uid="{059AF583-2772-4C81-A986-315B183D64A3}"/>
    <cellStyle name="Normal 2 4 2 4 4" xfId="781" xr:uid="{00000000-0005-0000-0000-0000720F0000}"/>
    <cellStyle name="Normal 2 4 2 4 4 2" xfId="3020" xr:uid="{00000000-0005-0000-0000-0000730F0000}"/>
    <cellStyle name="Normal 2 4 2 4 4 2 2" xfId="7244" xr:uid="{00000000-0005-0000-0000-0000740F0000}"/>
    <cellStyle name="Normal 2 4 2 4 4 2 3" xfId="11908" xr:uid="{7A1CCAB3-16D1-471E-8BE3-9FC8E3767575}"/>
    <cellStyle name="Normal 2 4 2 4 4 3" xfId="5099" xr:uid="{00000000-0005-0000-0000-0000750F0000}"/>
    <cellStyle name="Normal 2 4 2 4 4 4" xfId="9762" xr:uid="{33C65379-2E51-4FEC-B246-7164FFB117AD}"/>
    <cellStyle name="Normal 2 4 2 4 5" xfId="1203" xr:uid="{00000000-0005-0000-0000-0000760F0000}"/>
    <cellStyle name="Normal 2 4 2 4 5 2" xfId="3433" xr:uid="{00000000-0005-0000-0000-0000770F0000}"/>
    <cellStyle name="Normal 2 4 2 4 5 2 2" xfId="7657" xr:uid="{00000000-0005-0000-0000-0000780F0000}"/>
    <cellStyle name="Normal 2 4 2 4 5 2 3" xfId="12321" xr:uid="{BE716A07-C053-4A44-8568-73181A55588C}"/>
    <cellStyle name="Normal 2 4 2 4 5 3" xfId="5512" xr:uid="{00000000-0005-0000-0000-0000790F0000}"/>
    <cellStyle name="Normal 2 4 2 4 5 4" xfId="10176" xr:uid="{7CFF7F0F-D90D-43BB-B51F-02B3A0B4EDA1}"/>
    <cellStyle name="Normal 2 4 2 4 6" xfId="1616" xr:uid="{00000000-0005-0000-0000-00007A0F0000}"/>
    <cellStyle name="Normal 2 4 2 4 6 2" xfId="3846" xr:uid="{00000000-0005-0000-0000-00007B0F0000}"/>
    <cellStyle name="Normal 2 4 2 4 6 2 2" xfId="8070" xr:uid="{00000000-0005-0000-0000-00007C0F0000}"/>
    <cellStyle name="Normal 2 4 2 4 6 2 3" xfId="12734" xr:uid="{1A204261-2442-40E6-9860-C190014F5BF3}"/>
    <cellStyle name="Normal 2 4 2 4 6 3" xfId="5925" xr:uid="{00000000-0005-0000-0000-00007D0F0000}"/>
    <cellStyle name="Normal 2 4 2 4 6 4" xfId="10589" xr:uid="{2A2DEE82-2ADD-488E-BF21-87FF8D44791F}"/>
    <cellStyle name="Normal 2 4 2 4 7" xfId="2030" xr:uid="{00000000-0005-0000-0000-00007E0F0000}"/>
    <cellStyle name="Normal 2 4 2 4 7 2" xfId="4259" xr:uid="{00000000-0005-0000-0000-00007F0F0000}"/>
    <cellStyle name="Normal 2 4 2 4 7 2 2" xfId="8483" xr:uid="{00000000-0005-0000-0000-0000800F0000}"/>
    <cellStyle name="Normal 2 4 2 4 7 2 3" xfId="13147" xr:uid="{05991066-D385-412D-B4BF-41C76AE5F2B3}"/>
    <cellStyle name="Normal 2 4 2 4 7 3" xfId="6338" xr:uid="{00000000-0005-0000-0000-0000810F0000}"/>
    <cellStyle name="Normal 2 4 2 4 7 4" xfId="11002" xr:uid="{4A6090FA-865D-480F-A0B5-C92B72155ECE}"/>
    <cellStyle name="Normal 2 4 2 4 8" xfId="2466" xr:uid="{00000000-0005-0000-0000-0000820F0000}"/>
    <cellStyle name="Normal 2 4 2 4 8 2" xfId="6751" xr:uid="{00000000-0005-0000-0000-0000830F0000}"/>
    <cellStyle name="Normal 2 4 2 4 8 3" xfId="11415" xr:uid="{B1B8AEFC-4632-4A9F-B0C3-C32FD915A6B7}"/>
    <cellStyle name="Normal 2 4 2 4 9" xfId="4685" xr:uid="{00000000-0005-0000-0000-0000840F0000}"/>
    <cellStyle name="Normal 2 4 2 4 9 2" xfId="9340" xr:uid="{B7517068-726E-4676-8353-4500F0FC771A}"/>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3" xfId="11913" xr:uid="{167B1D97-FB9F-4E46-AA9C-5B6ADF6DF90C}"/>
    <cellStyle name="Normal 2 4 2 5 2 2 3" xfId="5104" xr:uid="{00000000-0005-0000-0000-00008A0F0000}"/>
    <cellStyle name="Normal 2 4 2 5 2 2 4" xfId="9767" xr:uid="{FDEC88A6-30CB-4775-BFF2-A1AFC386CD67}"/>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3" xfId="12326" xr:uid="{7FEF313A-D821-46CF-9B39-08FE0798EB29}"/>
    <cellStyle name="Normal 2 4 2 5 2 3 3" xfId="5517" xr:uid="{00000000-0005-0000-0000-00008E0F0000}"/>
    <cellStyle name="Normal 2 4 2 5 2 3 4" xfId="10181" xr:uid="{FA6D5870-FC71-4D28-AEF8-561607BDF916}"/>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3" xfId="12739" xr:uid="{E54869DD-04AD-46A7-93E2-C97874BBC78B}"/>
    <cellStyle name="Normal 2 4 2 5 2 4 3" xfId="5930" xr:uid="{00000000-0005-0000-0000-0000920F0000}"/>
    <cellStyle name="Normal 2 4 2 5 2 4 4" xfId="10594" xr:uid="{D11AE0FF-5434-4C87-B149-FB1338974B1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3" xfId="13152" xr:uid="{B88A6BD2-55C4-4F2B-93EA-7C1D3BF1315C}"/>
    <cellStyle name="Normal 2 4 2 5 2 5 3" xfId="6343" xr:uid="{00000000-0005-0000-0000-0000960F0000}"/>
    <cellStyle name="Normal 2 4 2 5 2 5 4" xfId="11007" xr:uid="{A63BA7EF-73CD-4F63-BC72-6E36617C4421}"/>
    <cellStyle name="Normal 2 4 2 5 2 6" xfId="2471" xr:uid="{00000000-0005-0000-0000-0000970F0000}"/>
    <cellStyle name="Normal 2 4 2 5 2 6 2" xfId="6756" xr:uid="{00000000-0005-0000-0000-0000980F0000}"/>
    <cellStyle name="Normal 2 4 2 5 2 6 3" xfId="11420" xr:uid="{B92FF8B1-FD6E-4DF1-AC8A-1D372368EEE5}"/>
    <cellStyle name="Normal 2 4 2 5 2 7" xfId="4690" xr:uid="{00000000-0005-0000-0000-0000990F0000}"/>
    <cellStyle name="Normal 2 4 2 5 2 7 2" xfId="9345" xr:uid="{5370C98E-72FC-4F4D-9025-894289C05E34}"/>
    <cellStyle name="Normal 2 4 2 5 2 8" xfId="8901" xr:uid="{5BEC2F57-53B2-4B62-9338-1195F8801D85}"/>
    <cellStyle name="Normal 2 4 2 5 3" xfId="785" xr:uid="{00000000-0005-0000-0000-00009A0F0000}"/>
    <cellStyle name="Normal 2 4 2 5 3 2" xfId="3024" xr:uid="{00000000-0005-0000-0000-00009B0F0000}"/>
    <cellStyle name="Normal 2 4 2 5 3 2 2" xfId="7248" xr:uid="{00000000-0005-0000-0000-00009C0F0000}"/>
    <cellStyle name="Normal 2 4 2 5 3 2 3" xfId="11912" xr:uid="{AC498E35-9E3B-482E-9975-FA01B4CB138E}"/>
    <cellStyle name="Normal 2 4 2 5 3 3" xfId="5103" xr:uid="{00000000-0005-0000-0000-00009D0F0000}"/>
    <cellStyle name="Normal 2 4 2 5 3 4" xfId="9766" xr:uid="{97D45920-0393-4CB6-BE22-079E8609616A}"/>
    <cellStyle name="Normal 2 4 2 5 4" xfId="1207" xr:uid="{00000000-0005-0000-0000-00009E0F0000}"/>
    <cellStyle name="Normal 2 4 2 5 4 2" xfId="3437" xr:uid="{00000000-0005-0000-0000-00009F0F0000}"/>
    <cellStyle name="Normal 2 4 2 5 4 2 2" xfId="7661" xr:uid="{00000000-0005-0000-0000-0000A00F0000}"/>
    <cellStyle name="Normal 2 4 2 5 4 2 3" xfId="12325" xr:uid="{F9C4F890-6714-4396-95D8-668B8C122A17}"/>
    <cellStyle name="Normal 2 4 2 5 4 3" xfId="5516" xr:uid="{00000000-0005-0000-0000-0000A10F0000}"/>
    <cellStyle name="Normal 2 4 2 5 4 4" xfId="10180" xr:uid="{4EC9976A-BF55-4CBA-AFCC-CA90A5DB2EF2}"/>
    <cellStyle name="Normal 2 4 2 5 5" xfId="1620" xr:uid="{00000000-0005-0000-0000-0000A20F0000}"/>
    <cellStyle name="Normal 2 4 2 5 5 2" xfId="3850" xr:uid="{00000000-0005-0000-0000-0000A30F0000}"/>
    <cellStyle name="Normal 2 4 2 5 5 2 2" xfId="8074" xr:uid="{00000000-0005-0000-0000-0000A40F0000}"/>
    <cellStyle name="Normal 2 4 2 5 5 2 3" xfId="12738" xr:uid="{55E481FB-53DC-4EE1-BE6B-80A162D55765}"/>
    <cellStyle name="Normal 2 4 2 5 5 3" xfId="5929" xr:uid="{00000000-0005-0000-0000-0000A50F0000}"/>
    <cellStyle name="Normal 2 4 2 5 5 4" xfId="10593" xr:uid="{353E3435-E7F6-4F4C-A7F9-E2560CC24E69}"/>
    <cellStyle name="Normal 2 4 2 5 6" xfId="2034" xr:uid="{00000000-0005-0000-0000-0000A60F0000}"/>
    <cellStyle name="Normal 2 4 2 5 6 2" xfId="4263" xr:uid="{00000000-0005-0000-0000-0000A70F0000}"/>
    <cellStyle name="Normal 2 4 2 5 6 2 2" xfId="8487" xr:uid="{00000000-0005-0000-0000-0000A80F0000}"/>
    <cellStyle name="Normal 2 4 2 5 6 2 3" xfId="13151" xr:uid="{7E245F3C-4E1D-48C7-956C-F5E3BD92F6C4}"/>
    <cellStyle name="Normal 2 4 2 5 6 3" xfId="6342" xr:uid="{00000000-0005-0000-0000-0000A90F0000}"/>
    <cellStyle name="Normal 2 4 2 5 6 4" xfId="11006" xr:uid="{E8525E21-2D4E-49E6-8E2E-2A44770886E2}"/>
    <cellStyle name="Normal 2 4 2 5 7" xfId="2470" xr:uid="{00000000-0005-0000-0000-0000AA0F0000}"/>
    <cellStyle name="Normal 2 4 2 5 7 2" xfId="6755" xr:uid="{00000000-0005-0000-0000-0000AB0F0000}"/>
    <cellStyle name="Normal 2 4 2 5 7 3" xfId="11419" xr:uid="{DFE71919-0941-4B36-AF23-734F6D882BAB}"/>
    <cellStyle name="Normal 2 4 2 5 8" xfId="4689" xr:uid="{00000000-0005-0000-0000-0000AC0F0000}"/>
    <cellStyle name="Normal 2 4 2 5 8 2" xfId="9344" xr:uid="{3C8CFA3B-7A78-4B42-B7CE-F18E2767D3D9}"/>
    <cellStyle name="Normal 2 4 2 5 9" xfId="8900" xr:uid="{A3194F9C-B73B-48D6-80B9-6B4FC5069207}"/>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3" xfId="11914" xr:uid="{051532EB-C53D-45B3-9457-E21A4FC97F09}"/>
    <cellStyle name="Normal 2 4 2 6 2 3" xfId="5105" xr:uid="{00000000-0005-0000-0000-0000B10F0000}"/>
    <cellStyle name="Normal 2 4 2 6 2 4" xfId="9768" xr:uid="{E1CF7EBC-FB4E-4213-BEEA-4E4080D81B0D}"/>
    <cellStyle name="Normal 2 4 2 6 3" xfId="1209" xr:uid="{00000000-0005-0000-0000-0000B20F0000}"/>
    <cellStyle name="Normal 2 4 2 6 3 2" xfId="3439" xr:uid="{00000000-0005-0000-0000-0000B30F0000}"/>
    <cellStyle name="Normal 2 4 2 6 3 2 2" xfId="7663" xr:uid="{00000000-0005-0000-0000-0000B40F0000}"/>
    <cellStyle name="Normal 2 4 2 6 3 2 3" xfId="12327" xr:uid="{A6904AAD-CDAE-42BA-B64D-3D83A47E3BE0}"/>
    <cellStyle name="Normal 2 4 2 6 3 3" xfId="5518" xr:uid="{00000000-0005-0000-0000-0000B50F0000}"/>
    <cellStyle name="Normal 2 4 2 6 3 4" xfId="10182" xr:uid="{A05D3CD8-B6A7-4103-96BF-FD46C5BB560F}"/>
    <cellStyle name="Normal 2 4 2 6 4" xfId="1622" xr:uid="{00000000-0005-0000-0000-0000B60F0000}"/>
    <cellStyle name="Normal 2 4 2 6 4 2" xfId="3852" xr:uid="{00000000-0005-0000-0000-0000B70F0000}"/>
    <cellStyle name="Normal 2 4 2 6 4 2 2" xfId="8076" xr:uid="{00000000-0005-0000-0000-0000B80F0000}"/>
    <cellStyle name="Normal 2 4 2 6 4 2 3" xfId="12740" xr:uid="{663E36B7-F0C9-4F99-AF2A-3F8052B393A5}"/>
    <cellStyle name="Normal 2 4 2 6 4 3" xfId="5931" xr:uid="{00000000-0005-0000-0000-0000B90F0000}"/>
    <cellStyle name="Normal 2 4 2 6 4 4" xfId="10595" xr:uid="{B6F483A2-C6C3-4191-BCDC-3B8E408E9332}"/>
    <cellStyle name="Normal 2 4 2 6 5" xfId="2036" xr:uid="{00000000-0005-0000-0000-0000BA0F0000}"/>
    <cellStyle name="Normal 2 4 2 6 5 2" xfId="4265" xr:uid="{00000000-0005-0000-0000-0000BB0F0000}"/>
    <cellStyle name="Normal 2 4 2 6 5 2 2" xfId="8489" xr:uid="{00000000-0005-0000-0000-0000BC0F0000}"/>
    <cellStyle name="Normal 2 4 2 6 5 2 3" xfId="13153" xr:uid="{42957868-5BCF-4924-B9DF-625D3E58C6FC}"/>
    <cellStyle name="Normal 2 4 2 6 5 3" xfId="6344" xr:uid="{00000000-0005-0000-0000-0000BD0F0000}"/>
    <cellStyle name="Normal 2 4 2 6 5 4" xfId="11008" xr:uid="{347D55F1-2AEE-425B-8AD5-03743837CCA6}"/>
    <cellStyle name="Normal 2 4 2 6 6" xfId="2472" xr:uid="{00000000-0005-0000-0000-0000BE0F0000}"/>
    <cellStyle name="Normal 2 4 2 6 6 2" xfId="6757" xr:uid="{00000000-0005-0000-0000-0000BF0F0000}"/>
    <cellStyle name="Normal 2 4 2 6 6 3" xfId="11421" xr:uid="{B05DD491-C8DE-434B-ACD2-104BDB83D0BE}"/>
    <cellStyle name="Normal 2 4 2 6 7" xfId="4691" xr:uid="{00000000-0005-0000-0000-0000C00F0000}"/>
    <cellStyle name="Normal 2 4 2 6 7 2" xfId="9346" xr:uid="{467BCF59-4B05-4AF4-979B-60669ACB04D0}"/>
    <cellStyle name="Normal 2 4 2 6 8" xfId="8902" xr:uid="{C88D5F36-C0E6-4232-B714-7114AF9E5276}"/>
    <cellStyle name="Normal 2 4 2 7" xfId="772" xr:uid="{00000000-0005-0000-0000-0000C10F0000}"/>
    <cellStyle name="Normal 2 4 2 7 2" xfId="3011" xr:uid="{00000000-0005-0000-0000-0000C20F0000}"/>
    <cellStyle name="Normal 2 4 2 7 2 2" xfId="7235" xr:uid="{00000000-0005-0000-0000-0000C30F0000}"/>
    <cellStyle name="Normal 2 4 2 7 2 3" xfId="11899" xr:uid="{7B8CB149-4AE8-4EA7-ABFA-0290BE098721}"/>
    <cellStyle name="Normal 2 4 2 7 3" xfId="5090" xr:uid="{00000000-0005-0000-0000-0000C40F0000}"/>
    <cellStyle name="Normal 2 4 2 7 4" xfId="9753" xr:uid="{27B476AC-1E91-43B2-8772-0C2731AABACF}"/>
    <cellStyle name="Normal 2 4 2 8" xfId="1194" xr:uid="{00000000-0005-0000-0000-0000C50F0000}"/>
    <cellStyle name="Normal 2 4 2 8 2" xfId="3424" xr:uid="{00000000-0005-0000-0000-0000C60F0000}"/>
    <cellStyle name="Normal 2 4 2 8 2 2" xfId="7648" xr:uid="{00000000-0005-0000-0000-0000C70F0000}"/>
    <cellStyle name="Normal 2 4 2 8 2 3" xfId="12312" xr:uid="{ACA08203-EB57-46B8-ADFB-EF74A98EFCCD}"/>
    <cellStyle name="Normal 2 4 2 8 3" xfId="5503" xr:uid="{00000000-0005-0000-0000-0000C80F0000}"/>
    <cellStyle name="Normal 2 4 2 8 4" xfId="10167" xr:uid="{BA6258C5-4FE5-4FAB-AB8A-D27F0ED4EAEB}"/>
    <cellStyle name="Normal 2 4 2 9" xfId="1607" xr:uid="{00000000-0005-0000-0000-0000C90F0000}"/>
    <cellStyle name="Normal 2 4 2 9 2" xfId="3837" xr:uid="{00000000-0005-0000-0000-0000CA0F0000}"/>
    <cellStyle name="Normal 2 4 2 9 2 2" xfId="8061" xr:uid="{00000000-0005-0000-0000-0000CB0F0000}"/>
    <cellStyle name="Normal 2 4 2 9 2 3" xfId="12725" xr:uid="{2888F5EF-5754-418F-A9A5-15189E4D20F6}"/>
    <cellStyle name="Normal 2 4 2 9 3" xfId="5916" xr:uid="{00000000-0005-0000-0000-0000CC0F0000}"/>
    <cellStyle name="Normal 2 4 2 9 4" xfId="10580" xr:uid="{E508DC59-324D-4406-9A5E-CECE52397C9C}"/>
    <cellStyle name="Normal 2 4 3" xfId="296" xr:uid="{00000000-0005-0000-0000-0000CD0F0000}"/>
    <cellStyle name="Normal 2 4 3 10" xfId="8903" xr:uid="{EDB82978-FE03-437C-ABBE-9577B1E0D28F}"/>
    <cellStyle name="Normal 2 4 3 2" xfId="297" xr:uid="{00000000-0005-0000-0000-0000CE0F0000}"/>
    <cellStyle name="Normal 2 4 3 3" xfId="298" xr:uid="{00000000-0005-0000-0000-0000CF0F0000}"/>
    <cellStyle name="Normal 2 4 3 3 10" xfId="8904" xr:uid="{AEF00880-0FAB-4803-A1BA-DA6DCBCA7857}"/>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3" xfId="11918" xr:uid="{24893D50-9D01-48F6-B42F-F03DEA74FE0F}"/>
    <cellStyle name="Normal 2 4 3 3 2 2 2 3" xfId="5109" xr:uid="{00000000-0005-0000-0000-0000D50F0000}"/>
    <cellStyle name="Normal 2 4 3 3 2 2 2 4" xfId="9772" xr:uid="{89CB5446-7DE8-4DEA-8C6E-EF96A3E4C308}"/>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3" xfId="12331" xr:uid="{7B399B52-A806-4E1F-9BFE-01E4304D028C}"/>
    <cellStyle name="Normal 2 4 3 3 2 2 3 3" xfId="5522" xr:uid="{00000000-0005-0000-0000-0000D90F0000}"/>
    <cellStyle name="Normal 2 4 3 3 2 2 3 4" xfId="10186" xr:uid="{8892FF02-878E-4329-AE59-A374741D5DC5}"/>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3" xfId="12744" xr:uid="{C0570683-F079-4F37-BFEE-0D20C35D6537}"/>
    <cellStyle name="Normal 2 4 3 3 2 2 4 3" xfId="5935" xr:uid="{00000000-0005-0000-0000-0000DD0F0000}"/>
    <cellStyle name="Normal 2 4 3 3 2 2 4 4" xfId="10599" xr:uid="{38E7F313-7F92-4ACF-987D-26E0BE00991B}"/>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3" xfId="13157" xr:uid="{04835858-BFFD-4D43-AC64-3B421B87A564}"/>
    <cellStyle name="Normal 2 4 3 3 2 2 5 3" xfId="6348" xr:uid="{00000000-0005-0000-0000-0000E10F0000}"/>
    <cellStyle name="Normal 2 4 3 3 2 2 5 4" xfId="11012" xr:uid="{185040B8-0B52-4376-A468-2E7C05ACABF9}"/>
    <cellStyle name="Normal 2 4 3 3 2 2 6" xfId="2476" xr:uid="{00000000-0005-0000-0000-0000E20F0000}"/>
    <cellStyle name="Normal 2 4 3 3 2 2 6 2" xfId="6761" xr:uid="{00000000-0005-0000-0000-0000E30F0000}"/>
    <cellStyle name="Normal 2 4 3 3 2 2 6 3" xfId="11425" xr:uid="{0F5F1178-657D-4968-B41F-787F154CD7DF}"/>
    <cellStyle name="Normal 2 4 3 3 2 2 7" xfId="4695" xr:uid="{00000000-0005-0000-0000-0000E40F0000}"/>
    <cellStyle name="Normal 2 4 3 3 2 2 7 2" xfId="9350" xr:uid="{EEBA7A3B-1DE6-49DF-A2DE-5CF8744B2369}"/>
    <cellStyle name="Normal 2 4 3 3 2 2 8" xfId="8906" xr:uid="{76062F6B-ED28-4672-8382-389DC9860F88}"/>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3" xfId="11917" xr:uid="{7433C394-3D97-48C5-B127-43B8EE7DFB54}"/>
    <cellStyle name="Normal 2 4 3 3 2 3 3" xfId="5108" xr:uid="{00000000-0005-0000-0000-0000E80F0000}"/>
    <cellStyle name="Normal 2 4 3 3 2 3 4" xfId="9771" xr:uid="{FF299173-79F8-48D7-BE6F-2ABDB6C6C5BE}"/>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3" xfId="12330" xr:uid="{394B8DAE-24AC-493C-BE4A-F561E5BB16EF}"/>
    <cellStyle name="Normal 2 4 3 3 2 4 3" xfId="5521" xr:uid="{00000000-0005-0000-0000-0000EC0F0000}"/>
    <cellStyle name="Normal 2 4 3 3 2 4 4" xfId="10185" xr:uid="{A4A4CE59-37ED-4C04-A94F-8703FEA48E56}"/>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3" xfId="12743" xr:uid="{43AE27FE-2EAD-48EC-A0FC-06D1FB171ACA}"/>
    <cellStyle name="Normal 2 4 3 3 2 5 3" xfId="5934" xr:uid="{00000000-0005-0000-0000-0000F00F0000}"/>
    <cellStyle name="Normal 2 4 3 3 2 5 4" xfId="10598" xr:uid="{ADEF4393-4357-406A-BBFD-8F113E938E9F}"/>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3" xfId="13156" xr:uid="{1D6528A0-578B-4775-9A0B-AEDF13993BB9}"/>
    <cellStyle name="Normal 2 4 3 3 2 6 3" xfId="6347" xr:uid="{00000000-0005-0000-0000-0000F40F0000}"/>
    <cellStyle name="Normal 2 4 3 3 2 6 4" xfId="11011" xr:uid="{6A2B19E7-E09F-4B11-8008-BF0351FF6C0B}"/>
    <cellStyle name="Normal 2 4 3 3 2 7" xfId="2475" xr:uid="{00000000-0005-0000-0000-0000F50F0000}"/>
    <cellStyle name="Normal 2 4 3 3 2 7 2" xfId="6760" xr:uid="{00000000-0005-0000-0000-0000F60F0000}"/>
    <cellStyle name="Normal 2 4 3 3 2 7 3" xfId="11424" xr:uid="{D45BBE35-5565-4F81-A5E4-8BF0886CF1E1}"/>
    <cellStyle name="Normal 2 4 3 3 2 8" xfId="4694" xr:uid="{00000000-0005-0000-0000-0000F70F0000}"/>
    <cellStyle name="Normal 2 4 3 3 2 8 2" xfId="9349" xr:uid="{940773A7-6C39-41F9-90BD-034A5C708391}"/>
    <cellStyle name="Normal 2 4 3 3 2 9" xfId="8905" xr:uid="{3EC0CBD2-E0FD-4CEF-AF4F-AC435992C4D9}"/>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3" xfId="11919" xr:uid="{69672B73-B42D-4B05-9C7A-DB86988505A9}"/>
    <cellStyle name="Normal 2 4 3 3 3 2 3" xfId="5110" xr:uid="{00000000-0005-0000-0000-0000FC0F0000}"/>
    <cellStyle name="Normal 2 4 3 3 3 2 4" xfId="9773" xr:uid="{A4A54794-109F-46E2-9B6E-8FF08B1C9FD2}"/>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3" xfId="12332" xr:uid="{563DD754-AAC1-481F-8A6E-877982B13F34}"/>
    <cellStyle name="Normal 2 4 3 3 3 3 3" xfId="5523" xr:uid="{00000000-0005-0000-0000-000000100000}"/>
    <cellStyle name="Normal 2 4 3 3 3 3 4" xfId="10187" xr:uid="{71661B14-2464-40E4-829D-931C312B6007}"/>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3" xfId="12745" xr:uid="{7FFC5BC0-090F-4DD3-9B28-FA74F63F9089}"/>
    <cellStyle name="Normal 2 4 3 3 3 4 3" xfId="5936" xr:uid="{00000000-0005-0000-0000-000004100000}"/>
    <cellStyle name="Normal 2 4 3 3 3 4 4" xfId="10600" xr:uid="{079C0FE2-764D-438A-89EC-29F2DB972ABB}"/>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3" xfId="13158" xr:uid="{3A919C44-C5E5-4D46-8396-8FAA1A5DB699}"/>
    <cellStyle name="Normal 2 4 3 3 3 5 3" xfId="6349" xr:uid="{00000000-0005-0000-0000-000008100000}"/>
    <cellStyle name="Normal 2 4 3 3 3 5 4" xfId="11013" xr:uid="{3C5493D4-7818-4BB1-9AFE-0DA8453B565A}"/>
    <cellStyle name="Normal 2 4 3 3 3 6" xfId="2477" xr:uid="{00000000-0005-0000-0000-000009100000}"/>
    <cellStyle name="Normal 2 4 3 3 3 6 2" xfId="6762" xr:uid="{00000000-0005-0000-0000-00000A100000}"/>
    <cellStyle name="Normal 2 4 3 3 3 6 3" xfId="11426" xr:uid="{0917A206-B12F-40A6-9CFB-BF4E697838A5}"/>
    <cellStyle name="Normal 2 4 3 3 3 7" xfId="4696" xr:uid="{00000000-0005-0000-0000-00000B100000}"/>
    <cellStyle name="Normal 2 4 3 3 3 7 2" xfId="9351" xr:uid="{943540B2-4DB7-4ED3-8AC1-CA2AB01B89E7}"/>
    <cellStyle name="Normal 2 4 3 3 3 8" xfId="8907" xr:uid="{12882C17-9DF6-4A49-A781-659DEA964027}"/>
    <cellStyle name="Normal 2 4 3 3 4" xfId="789" xr:uid="{00000000-0005-0000-0000-00000C100000}"/>
    <cellStyle name="Normal 2 4 3 3 4 2" xfId="3028" xr:uid="{00000000-0005-0000-0000-00000D100000}"/>
    <cellStyle name="Normal 2 4 3 3 4 2 2" xfId="7252" xr:uid="{00000000-0005-0000-0000-00000E100000}"/>
    <cellStyle name="Normal 2 4 3 3 4 2 3" xfId="11916" xr:uid="{14C0E580-06B3-476F-A6C3-A0CEAB036A6E}"/>
    <cellStyle name="Normal 2 4 3 3 4 3" xfId="5107" xr:uid="{00000000-0005-0000-0000-00000F100000}"/>
    <cellStyle name="Normal 2 4 3 3 4 4" xfId="9770" xr:uid="{6A9E88E3-6877-41F1-A2DB-3B90365E20C3}"/>
    <cellStyle name="Normal 2 4 3 3 5" xfId="1211" xr:uid="{00000000-0005-0000-0000-000010100000}"/>
    <cellStyle name="Normal 2 4 3 3 5 2" xfId="3441" xr:uid="{00000000-0005-0000-0000-000011100000}"/>
    <cellStyle name="Normal 2 4 3 3 5 2 2" xfId="7665" xr:uid="{00000000-0005-0000-0000-000012100000}"/>
    <cellStyle name="Normal 2 4 3 3 5 2 3" xfId="12329" xr:uid="{5000E478-60D5-4B66-AE3E-80BE8FC7AB4C}"/>
    <cellStyle name="Normal 2 4 3 3 5 3" xfId="5520" xr:uid="{00000000-0005-0000-0000-000013100000}"/>
    <cellStyle name="Normal 2 4 3 3 5 4" xfId="10184" xr:uid="{94751A29-9A24-48E0-8854-FA3A55A844A8}"/>
    <cellStyle name="Normal 2 4 3 3 6" xfId="1624" xr:uid="{00000000-0005-0000-0000-000014100000}"/>
    <cellStyle name="Normal 2 4 3 3 6 2" xfId="3854" xr:uid="{00000000-0005-0000-0000-000015100000}"/>
    <cellStyle name="Normal 2 4 3 3 6 2 2" xfId="8078" xr:uid="{00000000-0005-0000-0000-000016100000}"/>
    <cellStyle name="Normal 2 4 3 3 6 2 3" xfId="12742" xr:uid="{A2756BBA-8B1E-4CCE-98B2-5B5C867504B7}"/>
    <cellStyle name="Normal 2 4 3 3 6 3" xfId="5933" xr:uid="{00000000-0005-0000-0000-000017100000}"/>
    <cellStyle name="Normal 2 4 3 3 6 4" xfId="10597" xr:uid="{64AA07B8-B6A2-45D2-B708-D26E8F5EE0D5}"/>
    <cellStyle name="Normal 2 4 3 3 7" xfId="2038" xr:uid="{00000000-0005-0000-0000-000018100000}"/>
    <cellStyle name="Normal 2 4 3 3 7 2" xfId="4267" xr:uid="{00000000-0005-0000-0000-000019100000}"/>
    <cellStyle name="Normal 2 4 3 3 7 2 2" xfId="8491" xr:uid="{00000000-0005-0000-0000-00001A100000}"/>
    <cellStyle name="Normal 2 4 3 3 7 2 3" xfId="13155" xr:uid="{152C3466-9D90-4916-8FBE-81310F5DAD49}"/>
    <cellStyle name="Normal 2 4 3 3 7 3" xfId="6346" xr:uid="{00000000-0005-0000-0000-00001B100000}"/>
    <cellStyle name="Normal 2 4 3 3 7 4" xfId="11010" xr:uid="{00F5139C-1982-4766-9DEE-449C1D34A82C}"/>
    <cellStyle name="Normal 2 4 3 3 8" xfId="2474" xr:uid="{00000000-0005-0000-0000-00001C100000}"/>
    <cellStyle name="Normal 2 4 3 3 8 2" xfId="6759" xr:uid="{00000000-0005-0000-0000-00001D100000}"/>
    <cellStyle name="Normal 2 4 3 3 8 3" xfId="11423" xr:uid="{2B87C4CC-681C-41EB-8657-CF5707E4D955}"/>
    <cellStyle name="Normal 2 4 3 3 9" xfId="4693" xr:uid="{00000000-0005-0000-0000-00001E100000}"/>
    <cellStyle name="Normal 2 4 3 3 9 2" xfId="9348" xr:uid="{CBE12E37-370D-47A8-B99C-CDDCDCA426AC}"/>
    <cellStyle name="Normal 2 4 3 4" xfId="788" xr:uid="{00000000-0005-0000-0000-00001F100000}"/>
    <cellStyle name="Normal 2 4 3 4 2" xfId="3027" xr:uid="{00000000-0005-0000-0000-000020100000}"/>
    <cellStyle name="Normal 2 4 3 4 2 2" xfId="7251" xr:uid="{00000000-0005-0000-0000-000021100000}"/>
    <cellStyle name="Normal 2 4 3 4 2 3" xfId="11915" xr:uid="{F130FD9E-79EB-4661-ADD8-51A346D1AA87}"/>
    <cellStyle name="Normal 2 4 3 4 3" xfId="5106" xr:uid="{00000000-0005-0000-0000-000022100000}"/>
    <cellStyle name="Normal 2 4 3 4 4" xfId="9769" xr:uid="{9E598086-6F98-4B97-8DFC-437718392D84}"/>
    <cellStyle name="Normal 2 4 3 5" xfId="1210" xr:uid="{00000000-0005-0000-0000-000023100000}"/>
    <cellStyle name="Normal 2 4 3 5 2" xfId="3440" xr:uid="{00000000-0005-0000-0000-000024100000}"/>
    <cellStyle name="Normal 2 4 3 5 2 2" xfId="7664" xr:uid="{00000000-0005-0000-0000-000025100000}"/>
    <cellStyle name="Normal 2 4 3 5 2 3" xfId="12328" xr:uid="{E395E4F2-2A76-4E4C-88F3-E92106453A27}"/>
    <cellStyle name="Normal 2 4 3 5 3" xfId="5519" xr:uid="{00000000-0005-0000-0000-000026100000}"/>
    <cellStyle name="Normal 2 4 3 5 4" xfId="10183" xr:uid="{A4583B1C-90AF-4346-847A-A4A8D3C3D722}"/>
    <cellStyle name="Normal 2 4 3 6" xfId="1623" xr:uid="{00000000-0005-0000-0000-000027100000}"/>
    <cellStyle name="Normal 2 4 3 6 2" xfId="3853" xr:uid="{00000000-0005-0000-0000-000028100000}"/>
    <cellStyle name="Normal 2 4 3 6 2 2" xfId="8077" xr:uid="{00000000-0005-0000-0000-000029100000}"/>
    <cellStyle name="Normal 2 4 3 6 2 3" xfId="12741" xr:uid="{A03832C4-DA7E-4DB8-B4F7-4792CFFC8460}"/>
    <cellStyle name="Normal 2 4 3 6 3" xfId="5932" xr:uid="{00000000-0005-0000-0000-00002A100000}"/>
    <cellStyle name="Normal 2 4 3 6 4" xfId="10596" xr:uid="{83FFD1E6-1ED1-4B4F-A897-37F2AE946C6E}"/>
    <cellStyle name="Normal 2 4 3 7" xfId="2037" xr:uid="{00000000-0005-0000-0000-00002B100000}"/>
    <cellStyle name="Normal 2 4 3 7 2" xfId="4266" xr:uid="{00000000-0005-0000-0000-00002C100000}"/>
    <cellStyle name="Normal 2 4 3 7 2 2" xfId="8490" xr:uid="{00000000-0005-0000-0000-00002D100000}"/>
    <cellStyle name="Normal 2 4 3 7 2 3" xfId="13154" xr:uid="{147AF54F-7E33-4291-BFF0-CB6859317D44}"/>
    <cellStyle name="Normal 2 4 3 7 3" xfId="6345" xr:uid="{00000000-0005-0000-0000-00002E100000}"/>
    <cellStyle name="Normal 2 4 3 7 4" xfId="11009" xr:uid="{923FBFEF-FFB4-490D-B05B-30E792F4773F}"/>
    <cellStyle name="Normal 2 4 3 8" xfId="2473" xr:uid="{00000000-0005-0000-0000-00002F100000}"/>
    <cellStyle name="Normal 2 4 3 8 2" xfId="6758" xr:uid="{00000000-0005-0000-0000-000030100000}"/>
    <cellStyle name="Normal 2 4 3 8 3" xfId="11422" xr:uid="{AFD3DA5C-8E5D-4BF9-B41E-2E3DE16771A0}"/>
    <cellStyle name="Normal 2 4 3 9" xfId="4692" xr:uid="{00000000-0005-0000-0000-000031100000}"/>
    <cellStyle name="Normal 2 4 3 9 2" xfId="9347" xr:uid="{50585FE8-A3F3-41A2-BA7B-255FEDBE1F82}"/>
    <cellStyle name="Normal 2 4 4" xfId="302" xr:uid="{00000000-0005-0000-0000-000032100000}"/>
    <cellStyle name="Normal 2 4 5" xfId="303" xr:uid="{00000000-0005-0000-0000-000033100000}"/>
    <cellStyle name="Normal 2 4 5 10" xfId="4697" xr:uid="{00000000-0005-0000-0000-000034100000}"/>
    <cellStyle name="Normal 2 4 5 10 2" xfId="9352" xr:uid="{4C10CAA3-4D23-4418-9E3D-D534839E9D67}"/>
    <cellStyle name="Normal 2 4 5 11" xfId="8908" xr:uid="{CAB8ADF1-3A2C-451D-9F3A-7AC62A04F65C}"/>
    <cellStyle name="Normal 2 4 5 2" xfId="304" xr:uid="{00000000-0005-0000-0000-000035100000}"/>
    <cellStyle name="Normal 2 4 5 2 10" xfId="8909" xr:uid="{61730F1F-2C11-4A42-B72D-2246C632086A}"/>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3" xfId="11923" xr:uid="{D120DC3F-10CD-4D50-A781-D3CDF9344719}"/>
    <cellStyle name="Normal 2 4 5 2 2 2 2 3" xfId="5114" xr:uid="{00000000-0005-0000-0000-00003B100000}"/>
    <cellStyle name="Normal 2 4 5 2 2 2 2 4" xfId="9777" xr:uid="{D88EC5FD-1901-4A68-9187-83D316E34CA8}"/>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3" xfId="12336" xr:uid="{2B641A5F-1944-4BDA-8E4A-56809543B03E}"/>
    <cellStyle name="Normal 2 4 5 2 2 2 3 3" xfId="5527" xr:uid="{00000000-0005-0000-0000-00003F100000}"/>
    <cellStyle name="Normal 2 4 5 2 2 2 3 4" xfId="10191" xr:uid="{184B88F6-CF55-4B7F-BF61-E0F395649815}"/>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3" xfId="12749" xr:uid="{60A318F6-D792-495F-A63C-96B4CCD04263}"/>
    <cellStyle name="Normal 2 4 5 2 2 2 4 3" xfId="5940" xr:uid="{00000000-0005-0000-0000-000043100000}"/>
    <cellStyle name="Normal 2 4 5 2 2 2 4 4" xfId="10604" xr:uid="{68AB4CFA-5C10-41B9-939B-E20F30300754}"/>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3" xfId="13162" xr:uid="{BA8BBBBF-3188-4FB3-9857-86D475750361}"/>
    <cellStyle name="Normal 2 4 5 2 2 2 5 3" xfId="6353" xr:uid="{00000000-0005-0000-0000-000047100000}"/>
    <cellStyle name="Normal 2 4 5 2 2 2 5 4" xfId="11017" xr:uid="{1320FE62-2C35-4D55-A8C2-21A9CFE86A6B}"/>
    <cellStyle name="Normal 2 4 5 2 2 2 6" xfId="2481" xr:uid="{00000000-0005-0000-0000-000048100000}"/>
    <cellStyle name="Normal 2 4 5 2 2 2 6 2" xfId="6766" xr:uid="{00000000-0005-0000-0000-000049100000}"/>
    <cellStyle name="Normal 2 4 5 2 2 2 6 3" xfId="11430" xr:uid="{32E9C5DC-84DF-47F0-A730-F09702FDD483}"/>
    <cellStyle name="Normal 2 4 5 2 2 2 7" xfId="4700" xr:uid="{00000000-0005-0000-0000-00004A100000}"/>
    <cellStyle name="Normal 2 4 5 2 2 2 7 2" xfId="9355" xr:uid="{D6C667A6-EB46-474C-B1A7-8C1E69905994}"/>
    <cellStyle name="Normal 2 4 5 2 2 2 8" xfId="8911" xr:uid="{9E694C7B-6FDD-4CB2-A7EC-E5523769BFDD}"/>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3" xfId="11922" xr:uid="{0E9957F4-76B5-44C3-9517-52D309F42745}"/>
    <cellStyle name="Normal 2 4 5 2 2 3 3" xfId="5113" xr:uid="{00000000-0005-0000-0000-00004E100000}"/>
    <cellStyle name="Normal 2 4 5 2 2 3 4" xfId="9776" xr:uid="{3857F5D1-AD10-4744-96F3-0F7E773A459E}"/>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3" xfId="12335" xr:uid="{DBEAB45F-2CBE-47CD-8E13-6D4589E28655}"/>
    <cellStyle name="Normal 2 4 5 2 2 4 3" xfId="5526" xr:uid="{00000000-0005-0000-0000-000052100000}"/>
    <cellStyle name="Normal 2 4 5 2 2 4 4" xfId="10190" xr:uid="{44C65F82-D0A0-47AD-8461-9A3EE28B0C4C}"/>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3" xfId="12748" xr:uid="{28ABCC16-E988-4BC2-8E34-1C461B2A4BED}"/>
    <cellStyle name="Normal 2 4 5 2 2 5 3" xfId="5939" xr:uid="{00000000-0005-0000-0000-000056100000}"/>
    <cellStyle name="Normal 2 4 5 2 2 5 4" xfId="10603" xr:uid="{F06A180B-A23F-4E45-B75C-01D56F015055}"/>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3" xfId="13161" xr:uid="{7D096926-8C78-41A1-A086-9AF01C7AC5FA}"/>
    <cellStyle name="Normal 2 4 5 2 2 6 3" xfId="6352" xr:uid="{00000000-0005-0000-0000-00005A100000}"/>
    <cellStyle name="Normal 2 4 5 2 2 6 4" xfId="11016" xr:uid="{69F5F180-1F7F-4A26-A3A8-46BC0491E0DB}"/>
    <cellStyle name="Normal 2 4 5 2 2 7" xfId="2480" xr:uid="{00000000-0005-0000-0000-00005B100000}"/>
    <cellStyle name="Normal 2 4 5 2 2 7 2" xfId="6765" xr:uid="{00000000-0005-0000-0000-00005C100000}"/>
    <cellStyle name="Normal 2 4 5 2 2 7 3" xfId="11429" xr:uid="{9EADF014-CAA7-4D39-BCF6-88AAB8A0B8D6}"/>
    <cellStyle name="Normal 2 4 5 2 2 8" xfId="4699" xr:uid="{00000000-0005-0000-0000-00005D100000}"/>
    <cellStyle name="Normal 2 4 5 2 2 8 2" xfId="9354" xr:uid="{038FA80D-7077-495B-BA7E-D6B9D6B02F2B}"/>
    <cellStyle name="Normal 2 4 5 2 2 9" xfId="8910" xr:uid="{4F4CCAFB-BD0A-4F9F-B9B6-2FDC31F9A6E8}"/>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3" xfId="11924" xr:uid="{7E7AC189-47C8-43D6-B3C0-01D29E09ECA9}"/>
    <cellStyle name="Normal 2 4 5 2 3 2 3" xfId="5115" xr:uid="{00000000-0005-0000-0000-000062100000}"/>
    <cellStyle name="Normal 2 4 5 2 3 2 4" xfId="9778" xr:uid="{AC947F76-9F27-48E0-9FE0-34DF52909811}"/>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3" xfId="12337" xr:uid="{6566814C-4002-4759-AD52-503DB1E36439}"/>
    <cellStyle name="Normal 2 4 5 2 3 3 3" xfId="5528" xr:uid="{00000000-0005-0000-0000-000066100000}"/>
    <cellStyle name="Normal 2 4 5 2 3 3 4" xfId="10192" xr:uid="{6976B9AB-7E30-4747-9EBD-279BFE7123AC}"/>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3" xfId="12750" xr:uid="{26FB8DAD-9337-47EB-A0F8-8EA2367445E9}"/>
    <cellStyle name="Normal 2 4 5 2 3 4 3" xfId="5941" xr:uid="{00000000-0005-0000-0000-00006A100000}"/>
    <cellStyle name="Normal 2 4 5 2 3 4 4" xfId="10605" xr:uid="{E123164E-289F-433A-B737-549DA66DAA5D}"/>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3" xfId="13163" xr:uid="{2CA6B767-F281-4E9E-B586-000E2D65036C}"/>
    <cellStyle name="Normal 2 4 5 2 3 5 3" xfId="6354" xr:uid="{00000000-0005-0000-0000-00006E100000}"/>
    <cellStyle name="Normal 2 4 5 2 3 5 4" xfId="11018" xr:uid="{7F43BC77-CF3F-47F3-A6D4-F7A729F83FEB}"/>
    <cellStyle name="Normal 2 4 5 2 3 6" xfId="2482" xr:uid="{00000000-0005-0000-0000-00006F100000}"/>
    <cellStyle name="Normal 2 4 5 2 3 6 2" xfId="6767" xr:uid="{00000000-0005-0000-0000-000070100000}"/>
    <cellStyle name="Normal 2 4 5 2 3 6 3" xfId="11431" xr:uid="{B5DCC5F8-1609-4321-BA91-05FC7E41EE9C}"/>
    <cellStyle name="Normal 2 4 5 2 3 7" xfId="4701" xr:uid="{00000000-0005-0000-0000-000071100000}"/>
    <cellStyle name="Normal 2 4 5 2 3 7 2" xfId="9356" xr:uid="{5AE81FC2-782F-45B4-BC94-18A9CD3ED0D7}"/>
    <cellStyle name="Normal 2 4 5 2 3 8" xfId="8912" xr:uid="{DD15FCA8-2C7C-42AB-BBA9-FE153FE0BB08}"/>
    <cellStyle name="Normal 2 4 5 2 4" xfId="794" xr:uid="{00000000-0005-0000-0000-000072100000}"/>
    <cellStyle name="Normal 2 4 5 2 4 2" xfId="3033" xr:uid="{00000000-0005-0000-0000-000073100000}"/>
    <cellStyle name="Normal 2 4 5 2 4 2 2" xfId="7257" xr:uid="{00000000-0005-0000-0000-000074100000}"/>
    <cellStyle name="Normal 2 4 5 2 4 2 3" xfId="11921" xr:uid="{1BC3FC08-B9FD-40C3-A723-8B6E1B4595D0}"/>
    <cellStyle name="Normal 2 4 5 2 4 3" xfId="5112" xr:uid="{00000000-0005-0000-0000-000075100000}"/>
    <cellStyle name="Normal 2 4 5 2 4 4" xfId="9775" xr:uid="{2E5DE306-FCFE-44BC-AA8E-4FB7A95EE5B5}"/>
    <cellStyle name="Normal 2 4 5 2 5" xfId="1216" xr:uid="{00000000-0005-0000-0000-000076100000}"/>
    <cellStyle name="Normal 2 4 5 2 5 2" xfId="3446" xr:uid="{00000000-0005-0000-0000-000077100000}"/>
    <cellStyle name="Normal 2 4 5 2 5 2 2" xfId="7670" xr:uid="{00000000-0005-0000-0000-000078100000}"/>
    <cellStyle name="Normal 2 4 5 2 5 2 3" xfId="12334" xr:uid="{59557758-FA22-4F57-8268-28FFBE50D038}"/>
    <cellStyle name="Normal 2 4 5 2 5 3" xfId="5525" xr:uid="{00000000-0005-0000-0000-000079100000}"/>
    <cellStyle name="Normal 2 4 5 2 5 4" xfId="10189" xr:uid="{7A898F3A-62AF-4ED5-92D0-31436311A398}"/>
    <cellStyle name="Normal 2 4 5 2 6" xfId="1629" xr:uid="{00000000-0005-0000-0000-00007A100000}"/>
    <cellStyle name="Normal 2 4 5 2 6 2" xfId="3859" xr:uid="{00000000-0005-0000-0000-00007B100000}"/>
    <cellStyle name="Normal 2 4 5 2 6 2 2" xfId="8083" xr:uid="{00000000-0005-0000-0000-00007C100000}"/>
    <cellStyle name="Normal 2 4 5 2 6 2 3" xfId="12747" xr:uid="{ECA50830-B48E-4FC0-9706-9760559B8075}"/>
    <cellStyle name="Normal 2 4 5 2 6 3" xfId="5938" xr:uid="{00000000-0005-0000-0000-00007D100000}"/>
    <cellStyle name="Normal 2 4 5 2 6 4" xfId="10602" xr:uid="{005AD3D6-84EB-46D5-B581-4457CB621845}"/>
    <cellStyle name="Normal 2 4 5 2 7" xfId="2043" xr:uid="{00000000-0005-0000-0000-00007E100000}"/>
    <cellStyle name="Normal 2 4 5 2 7 2" xfId="4272" xr:uid="{00000000-0005-0000-0000-00007F100000}"/>
    <cellStyle name="Normal 2 4 5 2 7 2 2" xfId="8496" xr:uid="{00000000-0005-0000-0000-000080100000}"/>
    <cellStyle name="Normal 2 4 5 2 7 2 3" xfId="13160" xr:uid="{59DC4069-0026-4E95-BE23-56269ABF16E7}"/>
    <cellStyle name="Normal 2 4 5 2 7 3" xfId="6351" xr:uid="{00000000-0005-0000-0000-000081100000}"/>
    <cellStyle name="Normal 2 4 5 2 7 4" xfId="11015" xr:uid="{267AE32E-1147-4DCF-8B49-E4A0E325A51A}"/>
    <cellStyle name="Normal 2 4 5 2 8" xfId="2479" xr:uid="{00000000-0005-0000-0000-000082100000}"/>
    <cellStyle name="Normal 2 4 5 2 8 2" xfId="6764" xr:uid="{00000000-0005-0000-0000-000083100000}"/>
    <cellStyle name="Normal 2 4 5 2 8 3" xfId="11428" xr:uid="{B752B07E-BFBF-4936-8A78-D24F6FBDD326}"/>
    <cellStyle name="Normal 2 4 5 2 9" xfId="4698" xr:uid="{00000000-0005-0000-0000-000084100000}"/>
    <cellStyle name="Normal 2 4 5 2 9 2" xfId="9353" xr:uid="{EBFBA211-C42C-47B3-9212-07A4C630AE0C}"/>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3" xfId="11926" xr:uid="{B7521842-AC73-4B72-A693-BCADC554721C}"/>
    <cellStyle name="Normal 2 4 5 3 2 2 3" xfId="5117" xr:uid="{00000000-0005-0000-0000-00008A100000}"/>
    <cellStyle name="Normal 2 4 5 3 2 2 4" xfId="9780" xr:uid="{751591CB-2812-4842-AC1E-76C46549DFC9}"/>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3" xfId="12339" xr:uid="{D3C00EF8-61C1-423B-A75D-084473644A25}"/>
    <cellStyle name="Normal 2 4 5 3 2 3 3" xfId="5530" xr:uid="{00000000-0005-0000-0000-00008E100000}"/>
    <cellStyle name="Normal 2 4 5 3 2 3 4" xfId="10194" xr:uid="{C14EAB2A-31C1-49C0-BACF-4042EA4CF0EE}"/>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3" xfId="12752" xr:uid="{02C632F8-BCCD-4962-B7F3-3766862D8D02}"/>
    <cellStyle name="Normal 2 4 5 3 2 4 3" xfId="5943" xr:uid="{00000000-0005-0000-0000-000092100000}"/>
    <cellStyle name="Normal 2 4 5 3 2 4 4" xfId="10607" xr:uid="{8D8AAEAE-4AC7-4DE2-9C98-6611B3F2922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3" xfId="13165" xr:uid="{EFBC2E78-1C52-4163-88A3-BDE3CC75720A}"/>
    <cellStyle name="Normal 2 4 5 3 2 5 3" xfId="6356" xr:uid="{00000000-0005-0000-0000-000096100000}"/>
    <cellStyle name="Normal 2 4 5 3 2 5 4" xfId="11020" xr:uid="{24EE88C6-219B-489C-89C0-EA05C88A85A3}"/>
    <cellStyle name="Normal 2 4 5 3 2 6" xfId="2484" xr:uid="{00000000-0005-0000-0000-000097100000}"/>
    <cellStyle name="Normal 2 4 5 3 2 6 2" xfId="6769" xr:uid="{00000000-0005-0000-0000-000098100000}"/>
    <cellStyle name="Normal 2 4 5 3 2 6 3" xfId="11433" xr:uid="{595218FC-1DDC-4565-B39F-D105910C97B0}"/>
    <cellStyle name="Normal 2 4 5 3 2 7" xfId="4703" xr:uid="{00000000-0005-0000-0000-000099100000}"/>
    <cellStyle name="Normal 2 4 5 3 2 7 2" xfId="9358" xr:uid="{7E6794B3-48F0-4C6C-9690-FD9716C4B8E8}"/>
    <cellStyle name="Normal 2 4 5 3 2 8" xfId="8914" xr:uid="{0A2903BF-8BAB-4AB2-A5F5-6CC427010EA6}"/>
    <cellStyle name="Normal 2 4 5 3 3" xfId="798" xr:uid="{00000000-0005-0000-0000-00009A100000}"/>
    <cellStyle name="Normal 2 4 5 3 3 2" xfId="3037" xr:uid="{00000000-0005-0000-0000-00009B100000}"/>
    <cellStyle name="Normal 2 4 5 3 3 2 2" xfId="7261" xr:uid="{00000000-0005-0000-0000-00009C100000}"/>
    <cellStyle name="Normal 2 4 5 3 3 2 3" xfId="11925" xr:uid="{DA6BE7A8-1E11-4C1F-9E0B-E11572D12C31}"/>
    <cellStyle name="Normal 2 4 5 3 3 3" xfId="5116" xr:uid="{00000000-0005-0000-0000-00009D100000}"/>
    <cellStyle name="Normal 2 4 5 3 3 4" xfId="9779" xr:uid="{CEC54494-EB2A-46A2-8F9F-DCD80B36278C}"/>
    <cellStyle name="Normal 2 4 5 3 4" xfId="1220" xr:uid="{00000000-0005-0000-0000-00009E100000}"/>
    <cellStyle name="Normal 2 4 5 3 4 2" xfId="3450" xr:uid="{00000000-0005-0000-0000-00009F100000}"/>
    <cellStyle name="Normal 2 4 5 3 4 2 2" xfId="7674" xr:uid="{00000000-0005-0000-0000-0000A0100000}"/>
    <cellStyle name="Normal 2 4 5 3 4 2 3" xfId="12338" xr:uid="{018E6137-3401-4FCD-B7B3-E4C71CE0FC3B}"/>
    <cellStyle name="Normal 2 4 5 3 4 3" xfId="5529" xr:uid="{00000000-0005-0000-0000-0000A1100000}"/>
    <cellStyle name="Normal 2 4 5 3 4 4" xfId="10193" xr:uid="{B56F221F-D686-4B5E-99C3-7AE72EC0DFE2}"/>
    <cellStyle name="Normal 2 4 5 3 5" xfId="1633" xr:uid="{00000000-0005-0000-0000-0000A2100000}"/>
    <cellStyle name="Normal 2 4 5 3 5 2" xfId="3863" xr:uid="{00000000-0005-0000-0000-0000A3100000}"/>
    <cellStyle name="Normal 2 4 5 3 5 2 2" xfId="8087" xr:uid="{00000000-0005-0000-0000-0000A4100000}"/>
    <cellStyle name="Normal 2 4 5 3 5 2 3" xfId="12751" xr:uid="{9BB2928D-955E-4BCF-9210-025E28BF8C98}"/>
    <cellStyle name="Normal 2 4 5 3 5 3" xfId="5942" xr:uid="{00000000-0005-0000-0000-0000A5100000}"/>
    <cellStyle name="Normal 2 4 5 3 5 4" xfId="10606" xr:uid="{53E6AB2F-6A80-4E4D-ADA5-784DC0CBF4A8}"/>
    <cellStyle name="Normal 2 4 5 3 6" xfId="2047" xr:uid="{00000000-0005-0000-0000-0000A6100000}"/>
    <cellStyle name="Normal 2 4 5 3 6 2" xfId="4276" xr:uid="{00000000-0005-0000-0000-0000A7100000}"/>
    <cellStyle name="Normal 2 4 5 3 6 2 2" xfId="8500" xr:uid="{00000000-0005-0000-0000-0000A8100000}"/>
    <cellStyle name="Normal 2 4 5 3 6 2 3" xfId="13164" xr:uid="{F2C2A4A4-45D4-4888-A85F-D00624DD76C1}"/>
    <cellStyle name="Normal 2 4 5 3 6 3" xfId="6355" xr:uid="{00000000-0005-0000-0000-0000A9100000}"/>
    <cellStyle name="Normal 2 4 5 3 6 4" xfId="11019" xr:uid="{A2741C67-4066-45C7-BFC4-194953974216}"/>
    <cellStyle name="Normal 2 4 5 3 7" xfId="2483" xr:uid="{00000000-0005-0000-0000-0000AA100000}"/>
    <cellStyle name="Normal 2 4 5 3 7 2" xfId="6768" xr:uid="{00000000-0005-0000-0000-0000AB100000}"/>
    <cellStyle name="Normal 2 4 5 3 7 3" xfId="11432" xr:uid="{DDD51ACC-3ACF-4B89-BA8D-B536E9EF534B}"/>
    <cellStyle name="Normal 2 4 5 3 8" xfId="4702" xr:uid="{00000000-0005-0000-0000-0000AC100000}"/>
    <cellStyle name="Normal 2 4 5 3 8 2" xfId="9357" xr:uid="{327DFB43-5C26-4920-9BDE-8A4A06CF3EFE}"/>
    <cellStyle name="Normal 2 4 5 3 9" xfId="8913" xr:uid="{4134CBF1-4C66-44E6-A4D4-8D3FD173C467}"/>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3" xfId="11927" xr:uid="{465B230A-B464-4BCD-B262-D6A93089CB8F}"/>
    <cellStyle name="Normal 2 4 5 4 2 3" xfId="5118" xr:uid="{00000000-0005-0000-0000-0000B1100000}"/>
    <cellStyle name="Normal 2 4 5 4 2 4" xfId="9781" xr:uid="{5C6F1031-5E76-41F5-ADCD-8D0B0F3CE1A9}"/>
    <cellStyle name="Normal 2 4 5 4 3" xfId="1222" xr:uid="{00000000-0005-0000-0000-0000B2100000}"/>
    <cellStyle name="Normal 2 4 5 4 3 2" xfId="3452" xr:uid="{00000000-0005-0000-0000-0000B3100000}"/>
    <cellStyle name="Normal 2 4 5 4 3 2 2" xfId="7676" xr:uid="{00000000-0005-0000-0000-0000B4100000}"/>
    <cellStyle name="Normal 2 4 5 4 3 2 3" xfId="12340" xr:uid="{4BC01CAC-AE2B-4C2B-8103-0D21DF688C04}"/>
    <cellStyle name="Normal 2 4 5 4 3 3" xfId="5531" xr:uid="{00000000-0005-0000-0000-0000B5100000}"/>
    <cellStyle name="Normal 2 4 5 4 3 4" xfId="10195" xr:uid="{E27173CE-5285-425C-B01D-5DE54F476D73}"/>
    <cellStyle name="Normal 2 4 5 4 4" xfId="1635" xr:uid="{00000000-0005-0000-0000-0000B6100000}"/>
    <cellStyle name="Normal 2 4 5 4 4 2" xfId="3865" xr:uid="{00000000-0005-0000-0000-0000B7100000}"/>
    <cellStyle name="Normal 2 4 5 4 4 2 2" xfId="8089" xr:uid="{00000000-0005-0000-0000-0000B8100000}"/>
    <cellStyle name="Normal 2 4 5 4 4 2 3" xfId="12753" xr:uid="{72A3FF9D-0689-42EB-8AD9-B437AA7ED704}"/>
    <cellStyle name="Normal 2 4 5 4 4 3" xfId="5944" xr:uid="{00000000-0005-0000-0000-0000B9100000}"/>
    <cellStyle name="Normal 2 4 5 4 4 4" xfId="10608" xr:uid="{96EC5DA9-C731-41F8-A570-5E474294BD01}"/>
    <cellStyle name="Normal 2 4 5 4 5" xfId="2049" xr:uid="{00000000-0005-0000-0000-0000BA100000}"/>
    <cellStyle name="Normal 2 4 5 4 5 2" xfId="4278" xr:uid="{00000000-0005-0000-0000-0000BB100000}"/>
    <cellStyle name="Normal 2 4 5 4 5 2 2" xfId="8502" xr:uid="{00000000-0005-0000-0000-0000BC100000}"/>
    <cellStyle name="Normal 2 4 5 4 5 2 3" xfId="13166" xr:uid="{9216C1B5-00F5-45B8-93E5-0D1B275C9FE2}"/>
    <cellStyle name="Normal 2 4 5 4 5 3" xfId="6357" xr:uid="{00000000-0005-0000-0000-0000BD100000}"/>
    <cellStyle name="Normal 2 4 5 4 5 4" xfId="11021" xr:uid="{835C47F6-77B4-406C-99E6-84651617BB59}"/>
    <cellStyle name="Normal 2 4 5 4 6" xfId="2485" xr:uid="{00000000-0005-0000-0000-0000BE100000}"/>
    <cellStyle name="Normal 2 4 5 4 6 2" xfId="6770" xr:uid="{00000000-0005-0000-0000-0000BF100000}"/>
    <cellStyle name="Normal 2 4 5 4 6 3" xfId="11434" xr:uid="{14D3968A-D2A7-41DD-93FC-A5527D7FDA12}"/>
    <cellStyle name="Normal 2 4 5 4 7" xfId="4704" xr:uid="{00000000-0005-0000-0000-0000C0100000}"/>
    <cellStyle name="Normal 2 4 5 4 7 2" xfId="9359" xr:uid="{D8988073-DD4C-474B-85AC-8D6CF2BC97EF}"/>
    <cellStyle name="Normal 2 4 5 4 8" xfId="8915" xr:uid="{1ECDD2DB-6E06-4B25-9B0B-CEBCD284B386}"/>
    <cellStyle name="Normal 2 4 5 5" xfId="793" xr:uid="{00000000-0005-0000-0000-0000C1100000}"/>
    <cellStyle name="Normal 2 4 5 5 2" xfId="3032" xr:uid="{00000000-0005-0000-0000-0000C2100000}"/>
    <cellStyle name="Normal 2 4 5 5 2 2" xfId="7256" xr:uid="{00000000-0005-0000-0000-0000C3100000}"/>
    <cellStyle name="Normal 2 4 5 5 2 3" xfId="11920" xr:uid="{771E1CFD-342D-424A-BED4-7E173022E612}"/>
    <cellStyle name="Normal 2 4 5 5 3" xfId="5111" xr:uid="{00000000-0005-0000-0000-0000C4100000}"/>
    <cellStyle name="Normal 2 4 5 5 4" xfId="9774" xr:uid="{123178BA-238D-488D-91AC-D51B04026935}"/>
    <cellStyle name="Normal 2 4 5 6" xfId="1215" xr:uid="{00000000-0005-0000-0000-0000C5100000}"/>
    <cellStyle name="Normal 2 4 5 6 2" xfId="3445" xr:uid="{00000000-0005-0000-0000-0000C6100000}"/>
    <cellStyle name="Normal 2 4 5 6 2 2" xfId="7669" xr:uid="{00000000-0005-0000-0000-0000C7100000}"/>
    <cellStyle name="Normal 2 4 5 6 2 3" xfId="12333" xr:uid="{97168B22-0AAB-4B27-9A20-2E575A6D08E3}"/>
    <cellStyle name="Normal 2 4 5 6 3" xfId="5524" xr:uid="{00000000-0005-0000-0000-0000C8100000}"/>
    <cellStyle name="Normal 2 4 5 6 4" xfId="10188" xr:uid="{C8EC640B-0275-4028-9EAD-D24EADCA831A}"/>
    <cellStyle name="Normal 2 4 5 7" xfId="1628" xr:uid="{00000000-0005-0000-0000-0000C9100000}"/>
    <cellStyle name="Normal 2 4 5 7 2" xfId="3858" xr:uid="{00000000-0005-0000-0000-0000CA100000}"/>
    <cellStyle name="Normal 2 4 5 7 2 2" xfId="8082" xr:uid="{00000000-0005-0000-0000-0000CB100000}"/>
    <cellStyle name="Normal 2 4 5 7 2 3" xfId="12746" xr:uid="{8E94000E-2D73-469A-BB68-68BE55335E8A}"/>
    <cellStyle name="Normal 2 4 5 7 3" xfId="5937" xr:uid="{00000000-0005-0000-0000-0000CC100000}"/>
    <cellStyle name="Normal 2 4 5 7 4" xfId="10601" xr:uid="{8091C069-8C2F-4969-8EB5-53067DF9F980}"/>
    <cellStyle name="Normal 2 4 5 8" xfId="2042" xr:uid="{00000000-0005-0000-0000-0000CD100000}"/>
    <cellStyle name="Normal 2 4 5 8 2" xfId="4271" xr:uid="{00000000-0005-0000-0000-0000CE100000}"/>
    <cellStyle name="Normal 2 4 5 8 2 2" xfId="8495" xr:uid="{00000000-0005-0000-0000-0000CF100000}"/>
    <cellStyle name="Normal 2 4 5 8 2 3" xfId="13159" xr:uid="{4546D21F-39CB-40DC-BBF4-497BE1CA0B66}"/>
    <cellStyle name="Normal 2 4 5 8 3" xfId="6350" xr:uid="{00000000-0005-0000-0000-0000D0100000}"/>
    <cellStyle name="Normal 2 4 5 8 4" xfId="11014" xr:uid="{38E66469-59E2-4576-B26B-2C7ADD78CA40}"/>
    <cellStyle name="Normal 2 4 5 9" xfId="2478" xr:uid="{00000000-0005-0000-0000-0000D1100000}"/>
    <cellStyle name="Normal 2 4 5 9 2" xfId="6763" xr:uid="{00000000-0005-0000-0000-0000D2100000}"/>
    <cellStyle name="Normal 2 4 5 9 3" xfId="11427" xr:uid="{CD26E18B-DE7D-44BB-BDE8-C42CB39BE9E6}"/>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3" xfId="11929" xr:uid="{E2EF4A81-4C16-4067-8415-1C25B71A1CEA}"/>
    <cellStyle name="Normal 2 4 7 2 2 3" xfId="5120" xr:uid="{00000000-0005-0000-0000-0000D9100000}"/>
    <cellStyle name="Normal 2 4 7 2 2 4" xfId="9783" xr:uid="{807C01F4-3E69-4139-882C-6971E5C7975B}"/>
    <cellStyle name="Normal 2 4 7 2 3" xfId="1224" xr:uid="{00000000-0005-0000-0000-0000DA100000}"/>
    <cellStyle name="Normal 2 4 7 2 3 2" xfId="3454" xr:uid="{00000000-0005-0000-0000-0000DB100000}"/>
    <cellStyle name="Normal 2 4 7 2 3 2 2" xfId="7678" xr:uid="{00000000-0005-0000-0000-0000DC100000}"/>
    <cellStyle name="Normal 2 4 7 2 3 2 3" xfId="12342" xr:uid="{31304C02-FAF1-41DD-BF95-15642D137ABB}"/>
    <cellStyle name="Normal 2 4 7 2 3 3" xfId="5533" xr:uid="{00000000-0005-0000-0000-0000DD100000}"/>
    <cellStyle name="Normal 2 4 7 2 3 4" xfId="10197" xr:uid="{9247C940-22A0-4FE7-AFBD-D9F9E9C5B120}"/>
    <cellStyle name="Normal 2 4 7 2 4" xfId="1637" xr:uid="{00000000-0005-0000-0000-0000DE100000}"/>
    <cellStyle name="Normal 2 4 7 2 4 2" xfId="3867" xr:uid="{00000000-0005-0000-0000-0000DF100000}"/>
    <cellStyle name="Normal 2 4 7 2 4 2 2" xfId="8091" xr:uid="{00000000-0005-0000-0000-0000E0100000}"/>
    <cellStyle name="Normal 2 4 7 2 4 2 3" xfId="12755" xr:uid="{D6FD62C8-59B0-46E1-B6A0-D2E91E910099}"/>
    <cellStyle name="Normal 2 4 7 2 4 3" xfId="5946" xr:uid="{00000000-0005-0000-0000-0000E1100000}"/>
    <cellStyle name="Normal 2 4 7 2 4 4" xfId="10610" xr:uid="{924F2701-095C-477B-9B6D-4C44E03DCB22}"/>
    <cellStyle name="Normal 2 4 7 2 5" xfId="2051" xr:uid="{00000000-0005-0000-0000-0000E2100000}"/>
    <cellStyle name="Normal 2 4 7 2 5 2" xfId="4280" xr:uid="{00000000-0005-0000-0000-0000E3100000}"/>
    <cellStyle name="Normal 2 4 7 2 5 2 2" xfId="8504" xr:uid="{00000000-0005-0000-0000-0000E4100000}"/>
    <cellStyle name="Normal 2 4 7 2 5 2 3" xfId="13168" xr:uid="{D95A7DD8-1E54-48F7-AB19-EE66814F4046}"/>
    <cellStyle name="Normal 2 4 7 2 5 3" xfId="6359" xr:uid="{00000000-0005-0000-0000-0000E5100000}"/>
    <cellStyle name="Normal 2 4 7 2 5 4" xfId="11023" xr:uid="{65EC403E-7F08-445E-8740-7E7BE963E4FC}"/>
    <cellStyle name="Normal 2 4 7 2 6" xfId="2487" xr:uid="{00000000-0005-0000-0000-0000E6100000}"/>
    <cellStyle name="Normal 2 4 7 2 6 2" xfId="6772" xr:uid="{00000000-0005-0000-0000-0000E7100000}"/>
    <cellStyle name="Normal 2 4 7 2 6 3" xfId="11436" xr:uid="{41A37ECC-1EAC-4158-9F6B-4055F10369D4}"/>
    <cellStyle name="Normal 2 4 7 2 7" xfId="4706" xr:uid="{00000000-0005-0000-0000-0000E8100000}"/>
    <cellStyle name="Normal 2 4 7 2 7 2" xfId="9361" xr:uid="{67ABDC09-5B42-433E-89B1-796F1FEC974F}"/>
    <cellStyle name="Normal 2 4 7 2 8" xfId="8917" xr:uid="{C32E4A64-9167-4FEC-B910-1692D1F0F6D7}"/>
    <cellStyle name="Normal 2 4 7 3" xfId="801" xr:uid="{00000000-0005-0000-0000-0000E9100000}"/>
    <cellStyle name="Normal 2 4 7 3 2" xfId="3040" xr:uid="{00000000-0005-0000-0000-0000EA100000}"/>
    <cellStyle name="Normal 2 4 7 3 2 2" xfId="7264" xr:uid="{00000000-0005-0000-0000-0000EB100000}"/>
    <cellStyle name="Normal 2 4 7 3 2 3" xfId="11928" xr:uid="{8856CD5B-B89C-4704-8E59-0C8EEB0A8C18}"/>
    <cellStyle name="Normal 2 4 7 3 3" xfId="5119" xr:uid="{00000000-0005-0000-0000-0000EC100000}"/>
    <cellStyle name="Normal 2 4 7 3 4" xfId="9782" xr:uid="{07995ED5-D9E4-43EA-9CED-8BA1340AA2AB}"/>
    <cellStyle name="Normal 2 4 7 4" xfId="1223" xr:uid="{00000000-0005-0000-0000-0000ED100000}"/>
    <cellStyle name="Normal 2 4 7 4 2" xfId="3453" xr:uid="{00000000-0005-0000-0000-0000EE100000}"/>
    <cellStyle name="Normal 2 4 7 4 2 2" xfId="7677" xr:uid="{00000000-0005-0000-0000-0000EF100000}"/>
    <cellStyle name="Normal 2 4 7 4 2 3" xfId="12341" xr:uid="{A5B4C834-E28B-4E8A-9C69-5277C16D6363}"/>
    <cellStyle name="Normal 2 4 7 4 3" xfId="5532" xr:uid="{00000000-0005-0000-0000-0000F0100000}"/>
    <cellStyle name="Normal 2 4 7 4 4" xfId="10196" xr:uid="{A737EBF1-BE2C-4643-AA69-60A0A90D3AC9}"/>
    <cellStyle name="Normal 2 4 7 5" xfId="1636" xr:uid="{00000000-0005-0000-0000-0000F1100000}"/>
    <cellStyle name="Normal 2 4 7 5 2" xfId="3866" xr:uid="{00000000-0005-0000-0000-0000F2100000}"/>
    <cellStyle name="Normal 2 4 7 5 2 2" xfId="8090" xr:uid="{00000000-0005-0000-0000-0000F3100000}"/>
    <cellStyle name="Normal 2 4 7 5 2 3" xfId="12754" xr:uid="{EF04523B-A21F-4292-B8F1-E7B75302A9CE}"/>
    <cellStyle name="Normal 2 4 7 5 3" xfId="5945" xr:uid="{00000000-0005-0000-0000-0000F4100000}"/>
    <cellStyle name="Normal 2 4 7 5 4" xfId="10609" xr:uid="{CDDFB1F0-B55E-44AF-AAB9-77671B66CFCE}"/>
    <cellStyle name="Normal 2 4 7 6" xfId="2050" xr:uid="{00000000-0005-0000-0000-0000F5100000}"/>
    <cellStyle name="Normal 2 4 7 6 2" xfId="4279" xr:uid="{00000000-0005-0000-0000-0000F6100000}"/>
    <cellStyle name="Normal 2 4 7 6 2 2" xfId="8503" xr:uid="{00000000-0005-0000-0000-0000F7100000}"/>
    <cellStyle name="Normal 2 4 7 6 2 3" xfId="13167" xr:uid="{E5F96496-30E6-4FE6-8566-B65F2ED6D6AC}"/>
    <cellStyle name="Normal 2 4 7 6 3" xfId="6358" xr:uid="{00000000-0005-0000-0000-0000F8100000}"/>
    <cellStyle name="Normal 2 4 7 6 4" xfId="11022" xr:uid="{E688C4BE-04E1-4EBF-997E-AEE9E850F8AD}"/>
    <cellStyle name="Normal 2 4 7 7" xfId="2486" xr:uid="{00000000-0005-0000-0000-0000F9100000}"/>
    <cellStyle name="Normal 2 4 7 7 2" xfId="6771" xr:uid="{00000000-0005-0000-0000-0000FA100000}"/>
    <cellStyle name="Normal 2 4 7 7 3" xfId="11435" xr:uid="{034E8A95-5A33-4BCE-98FA-B7D754B23079}"/>
    <cellStyle name="Normal 2 4 7 8" xfId="4705" xr:uid="{00000000-0005-0000-0000-0000FB100000}"/>
    <cellStyle name="Normal 2 4 7 8 2" xfId="9360" xr:uid="{65DD6944-2AC0-4BF1-9B06-F3E9754D99BF}"/>
    <cellStyle name="Normal 2 4 7 9" xfId="8916" xr:uid="{2AD8DAD8-242A-4CD5-B428-DD9CC6F0B3C3}"/>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3" xfId="11930" xr:uid="{E4202975-BA1E-4F85-BF3F-6E4F31742B75}"/>
    <cellStyle name="Normal 2 4 8 2 3" xfId="5121" xr:uid="{00000000-0005-0000-0000-000000110000}"/>
    <cellStyle name="Normal 2 4 8 2 4" xfId="9784" xr:uid="{66C92E81-04CB-4F89-B71F-F919A6FC4EBE}"/>
    <cellStyle name="Normal 2 4 8 3" xfId="1225" xr:uid="{00000000-0005-0000-0000-000001110000}"/>
    <cellStyle name="Normal 2 4 8 3 2" xfId="3455" xr:uid="{00000000-0005-0000-0000-000002110000}"/>
    <cellStyle name="Normal 2 4 8 3 2 2" xfId="7679" xr:uid="{00000000-0005-0000-0000-000003110000}"/>
    <cellStyle name="Normal 2 4 8 3 2 3" xfId="12343" xr:uid="{A5E10698-4A6A-45E9-A76F-C5F7E040565C}"/>
    <cellStyle name="Normal 2 4 8 3 3" xfId="5534" xr:uid="{00000000-0005-0000-0000-000004110000}"/>
    <cellStyle name="Normal 2 4 8 3 4" xfId="10198" xr:uid="{F2B12D18-9D86-43CA-8D09-6FE5CBF9C71F}"/>
    <cellStyle name="Normal 2 4 8 4" xfId="1638" xr:uid="{00000000-0005-0000-0000-000005110000}"/>
    <cellStyle name="Normal 2 4 8 4 2" xfId="3868" xr:uid="{00000000-0005-0000-0000-000006110000}"/>
    <cellStyle name="Normal 2 4 8 4 2 2" xfId="8092" xr:uid="{00000000-0005-0000-0000-000007110000}"/>
    <cellStyle name="Normal 2 4 8 4 2 3" xfId="12756" xr:uid="{EDC45E63-4DB9-4D6A-AA1E-272D341E8994}"/>
    <cellStyle name="Normal 2 4 8 4 3" xfId="5947" xr:uid="{00000000-0005-0000-0000-000008110000}"/>
    <cellStyle name="Normal 2 4 8 4 4" xfId="10611" xr:uid="{1F016CDA-1F80-4911-A910-6ED8864894EB}"/>
    <cellStyle name="Normal 2 4 8 5" xfId="2052" xr:uid="{00000000-0005-0000-0000-000009110000}"/>
    <cellStyle name="Normal 2 4 8 5 2" xfId="4281" xr:uid="{00000000-0005-0000-0000-00000A110000}"/>
    <cellStyle name="Normal 2 4 8 5 2 2" xfId="8505" xr:uid="{00000000-0005-0000-0000-00000B110000}"/>
    <cellStyle name="Normal 2 4 8 5 2 3" xfId="13169" xr:uid="{177D0749-B6E4-47E2-A50A-D345A05C2F4F}"/>
    <cellStyle name="Normal 2 4 8 5 3" xfId="6360" xr:uid="{00000000-0005-0000-0000-00000C110000}"/>
    <cellStyle name="Normal 2 4 8 5 4" xfId="11024" xr:uid="{C36BD3BC-E788-4999-B6D4-C06DFD942CF6}"/>
    <cellStyle name="Normal 2 4 8 6" xfId="2488" xr:uid="{00000000-0005-0000-0000-00000D110000}"/>
    <cellStyle name="Normal 2 4 8 6 2" xfId="6773" xr:uid="{00000000-0005-0000-0000-00000E110000}"/>
    <cellStyle name="Normal 2 4 8 6 3" xfId="11437" xr:uid="{954ED78E-B4E8-4C12-9BE6-FC21EEF50963}"/>
    <cellStyle name="Normal 2 4 8 7" xfId="4707" xr:uid="{00000000-0005-0000-0000-00000F110000}"/>
    <cellStyle name="Normal 2 4 8 7 2" xfId="9362" xr:uid="{0D98AA2C-BE93-4AAF-8EE1-FB619B36EAB9}"/>
    <cellStyle name="Normal 2 4 8 8" xfId="8918" xr:uid="{22897EE1-3D8A-4F7B-B277-711E94A43B95}"/>
    <cellStyle name="Normal 2 5" xfId="315" xr:uid="{00000000-0005-0000-0000-000010110000}"/>
    <cellStyle name="Normal 2 5 10" xfId="4708" xr:uid="{00000000-0005-0000-0000-000011110000}"/>
    <cellStyle name="Normal 2 5 10 2" xfId="9363" xr:uid="{8820E9C9-1753-4CBB-A2D9-5921006B5CFF}"/>
    <cellStyle name="Normal 2 5 11" xfId="8919" xr:uid="{CB73B9EA-67C3-4A36-99FE-4B1B2C3A439A}"/>
    <cellStyle name="Normal 2 5 2" xfId="316" xr:uid="{00000000-0005-0000-0000-000012110000}"/>
    <cellStyle name="Normal 2 5 3" xfId="317" xr:uid="{00000000-0005-0000-0000-000013110000}"/>
    <cellStyle name="Normal 2 5 4" xfId="318" xr:uid="{00000000-0005-0000-0000-000014110000}"/>
    <cellStyle name="Normal 2 5 4 10" xfId="8920" xr:uid="{D8ED4B51-CE52-4A68-BA51-51A374D6622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3" xfId="11934" xr:uid="{35AADF28-17DE-492A-81CC-16E9E1A4018D}"/>
    <cellStyle name="Normal 2 5 4 2 2 2 3" xfId="5125" xr:uid="{00000000-0005-0000-0000-00001A110000}"/>
    <cellStyle name="Normal 2 5 4 2 2 2 4" xfId="9788" xr:uid="{63A610D8-E75A-480A-AF83-A930D74BA82E}"/>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3" xfId="12347" xr:uid="{52F4DF0A-FEC3-4E60-B8C5-F312F1DAF25F}"/>
    <cellStyle name="Normal 2 5 4 2 2 3 3" xfId="5538" xr:uid="{00000000-0005-0000-0000-00001E110000}"/>
    <cellStyle name="Normal 2 5 4 2 2 3 4" xfId="10202" xr:uid="{F561E904-D587-4A8F-8939-9CDA46423004}"/>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3" xfId="12760" xr:uid="{A835E38F-D3D1-4485-A5A1-F71BDFD07471}"/>
    <cellStyle name="Normal 2 5 4 2 2 4 3" xfId="5951" xr:uid="{00000000-0005-0000-0000-000022110000}"/>
    <cellStyle name="Normal 2 5 4 2 2 4 4" xfId="10615" xr:uid="{B13453B8-5410-435F-B4B8-172250A456B6}"/>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3" xfId="13173" xr:uid="{C85C8197-E150-408F-85F8-A8835F2311CA}"/>
    <cellStyle name="Normal 2 5 4 2 2 5 3" xfId="6364" xr:uid="{00000000-0005-0000-0000-000026110000}"/>
    <cellStyle name="Normal 2 5 4 2 2 5 4" xfId="11028" xr:uid="{E2ADC6F1-7766-422D-BA15-576D17EE7DCD}"/>
    <cellStyle name="Normal 2 5 4 2 2 6" xfId="2492" xr:uid="{00000000-0005-0000-0000-000027110000}"/>
    <cellStyle name="Normal 2 5 4 2 2 6 2" xfId="6777" xr:uid="{00000000-0005-0000-0000-000028110000}"/>
    <cellStyle name="Normal 2 5 4 2 2 6 3" xfId="11441" xr:uid="{B23710CA-3799-4B44-BBFC-16E385E4EA3A}"/>
    <cellStyle name="Normal 2 5 4 2 2 7" xfId="4711" xr:uid="{00000000-0005-0000-0000-000029110000}"/>
    <cellStyle name="Normal 2 5 4 2 2 7 2" xfId="9366" xr:uid="{7930D180-C5FC-4F85-9C65-A0E293FC9620}"/>
    <cellStyle name="Normal 2 5 4 2 2 8" xfId="8922" xr:uid="{7452463D-8F78-4F59-AD9F-67DEA545D8B5}"/>
    <cellStyle name="Normal 2 5 4 2 3" xfId="806" xr:uid="{00000000-0005-0000-0000-00002A110000}"/>
    <cellStyle name="Normal 2 5 4 2 3 2" xfId="3045" xr:uid="{00000000-0005-0000-0000-00002B110000}"/>
    <cellStyle name="Normal 2 5 4 2 3 2 2" xfId="7269" xr:uid="{00000000-0005-0000-0000-00002C110000}"/>
    <cellStyle name="Normal 2 5 4 2 3 2 3" xfId="11933" xr:uid="{E83F8779-3CB0-470F-8852-4E642BFE11DA}"/>
    <cellStyle name="Normal 2 5 4 2 3 3" xfId="5124" xr:uid="{00000000-0005-0000-0000-00002D110000}"/>
    <cellStyle name="Normal 2 5 4 2 3 4" xfId="9787" xr:uid="{6C48BE9C-7E41-46F1-A082-7A25A1551EDF}"/>
    <cellStyle name="Normal 2 5 4 2 4" xfId="1228" xr:uid="{00000000-0005-0000-0000-00002E110000}"/>
    <cellStyle name="Normal 2 5 4 2 4 2" xfId="3458" xr:uid="{00000000-0005-0000-0000-00002F110000}"/>
    <cellStyle name="Normal 2 5 4 2 4 2 2" xfId="7682" xr:uid="{00000000-0005-0000-0000-000030110000}"/>
    <cellStyle name="Normal 2 5 4 2 4 2 3" xfId="12346" xr:uid="{FBEB4D15-3B0D-4462-A434-6F2FECBB5FE3}"/>
    <cellStyle name="Normal 2 5 4 2 4 3" xfId="5537" xr:uid="{00000000-0005-0000-0000-000031110000}"/>
    <cellStyle name="Normal 2 5 4 2 4 4" xfId="10201" xr:uid="{76CBE58F-8A5A-490E-A117-2EE36004D7C6}"/>
    <cellStyle name="Normal 2 5 4 2 5" xfId="1641" xr:uid="{00000000-0005-0000-0000-000032110000}"/>
    <cellStyle name="Normal 2 5 4 2 5 2" xfId="3871" xr:uid="{00000000-0005-0000-0000-000033110000}"/>
    <cellStyle name="Normal 2 5 4 2 5 2 2" xfId="8095" xr:uid="{00000000-0005-0000-0000-000034110000}"/>
    <cellStyle name="Normal 2 5 4 2 5 2 3" xfId="12759" xr:uid="{D1861968-A6A2-47DA-9862-D896C11BC3EF}"/>
    <cellStyle name="Normal 2 5 4 2 5 3" xfId="5950" xr:uid="{00000000-0005-0000-0000-000035110000}"/>
    <cellStyle name="Normal 2 5 4 2 5 4" xfId="10614" xr:uid="{D6D168D0-56AF-4405-B829-654F9F22D1B5}"/>
    <cellStyle name="Normal 2 5 4 2 6" xfId="2055" xr:uid="{00000000-0005-0000-0000-000036110000}"/>
    <cellStyle name="Normal 2 5 4 2 6 2" xfId="4284" xr:uid="{00000000-0005-0000-0000-000037110000}"/>
    <cellStyle name="Normal 2 5 4 2 6 2 2" xfId="8508" xr:uid="{00000000-0005-0000-0000-000038110000}"/>
    <cellStyle name="Normal 2 5 4 2 6 2 3" xfId="13172" xr:uid="{13C9CC7F-0027-405A-BF82-9DEE07A88634}"/>
    <cellStyle name="Normal 2 5 4 2 6 3" xfId="6363" xr:uid="{00000000-0005-0000-0000-000039110000}"/>
    <cellStyle name="Normal 2 5 4 2 6 4" xfId="11027" xr:uid="{E891E393-588A-49CD-84AD-A3DABAB8AD3D}"/>
    <cellStyle name="Normal 2 5 4 2 7" xfId="2491" xr:uid="{00000000-0005-0000-0000-00003A110000}"/>
    <cellStyle name="Normal 2 5 4 2 7 2" xfId="6776" xr:uid="{00000000-0005-0000-0000-00003B110000}"/>
    <cellStyle name="Normal 2 5 4 2 7 3" xfId="11440" xr:uid="{4F99BB13-AB5E-4C3C-872D-09628F3D732E}"/>
    <cellStyle name="Normal 2 5 4 2 8" xfId="4710" xr:uid="{00000000-0005-0000-0000-00003C110000}"/>
    <cellStyle name="Normal 2 5 4 2 8 2" xfId="9365" xr:uid="{AC84084E-3D7C-4B35-81BE-8CBB8F2E8A82}"/>
    <cellStyle name="Normal 2 5 4 2 9" xfId="8921" xr:uid="{B4A3801E-5C53-467E-A907-9F92ABBB607F}"/>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3" xfId="11935" xr:uid="{733666CA-0655-4D17-8324-B0EF088CF301}"/>
    <cellStyle name="Normal 2 5 4 3 2 3" xfId="5126" xr:uid="{00000000-0005-0000-0000-000041110000}"/>
    <cellStyle name="Normal 2 5 4 3 2 4" xfId="9789" xr:uid="{BCC31D5D-F70C-422F-A416-CCBBD36DF22C}"/>
    <cellStyle name="Normal 2 5 4 3 3" xfId="1230" xr:uid="{00000000-0005-0000-0000-000042110000}"/>
    <cellStyle name="Normal 2 5 4 3 3 2" xfId="3460" xr:uid="{00000000-0005-0000-0000-000043110000}"/>
    <cellStyle name="Normal 2 5 4 3 3 2 2" xfId="7684" xr:uid="{00000000-0005-0000-0000-000044110000}"/>
    <cellStyle name="Normal 2 5 4 3 3 2 3" xfId="12348" xr:uid="{571FBE8A-40CD-4E40-AC3F-27A5C90EE065}"/>
    <cellStyle name="Normal 2 5 4 3 3 3" xfId="5539" xr:uid="{00000000-0005-0000-0000-000045110000}"/>
    <cellStyle name="Normal 2 5 4 3 3 4" xfId="10203" xr:uid="{5E477344-23E0-4DA7-BC57-59734D75B963}"/>
    <cellStyle name="Normal 2 5 4 3 4" xfId="1643" xr:uid="{00000000-0005-0000-0000-000046110000}"/>
    <cellStyle name="Normal 2 5 4 3 4 2" xfId="3873" xr:uid="{00000000-0005-0000-0000-000047110000}"/>
    <cellStyle name="Normal 2 5 4 3 4 2 2" xfId="8097" xr:uid="{00000000-0005-0000-0000-000048110000}"/>
    <cellStyle name="Normal 2 5 4 3 4 2 3" xfId="12761" xr:uid="{A20E9E0D-BBC3-451E-BD01-901C4813F342}"/>
    <cellStyle name="Normal 2 5 4 3 4 3" xfId="5952" xr:uid="{00000000-0005-0000-0000-000049110000}"/>
    <cellStyle name="Normal 2 5 4 3 4 4" xfId="10616" xr:uid="{E3E17DA0-5AA7-4F04-8BD7-05C455C10A2C}"/>
    <cellStyle name="Normal 2 5 4 3 5" xfId="2057" xr:uid="{00000000-0005-0000-0000-00004A110000}"/>
    <cellStyle name="Normal 2 5 4 3 5 2" xfId="4286" xr:uid="{00000000-0005-0000-0000-00004B110000}"/>
    <cellStyle name="Normal 2 5 4 3 5 2 2" xfId="8510" xr:uid="{00000000-0005-0000-0000-00004C110000}"/>
    <cellStyle name="Normal 2 5 4 3 5 2 3" xfId="13174" xr:uid="{896BBB8C-ADE8-41E4-9AD9-C600DF2A9ECB}"/>
    <cellStyle name="Normal 2 5 4 3 5 3" xfId="6365" xr:uid="{00000000-0005-0000-0000-00004D110000}"/>
    <cellStyle name="Normal 2 5 4 3 5 4" xfId="11029" xr:uid="{800C6338-0285-4155-837F-2893CF7730CE}"/>
    <cellStyle name="Normal 2 5 4 3 6" xfId="2493" xr:uid="{00000000-0005-0000-0000-00004E110000}"/>
    <cellStyle name="Normal 2 5 4 3 6 2" xfId="6778" xr:uid="{00000000-0005-0000-0000-00004F110000}"/>
    <cellStyle name="Normal 2 5 4 3 6 3" xfId="11442" xr:uid="{93F559BE-7D9D-4DAB-AA27-33C628F8CA91}"/>
    <cellStyle name="Normal 2 5 4 3 7" xfId="4712" xr:uid="{00000000-0005-0000-0000-000050110000}"/>
    <cellStyle name="Normal 2 5 4 3 7 2" xfId="9367" xr:uid="{AAEC8DE4-2EB1-4467-B7BF-A77807BC29CD}"/>
    <cellStyle name="Normal 2 5 4 3 8" xfId="8923" xr:uid="{DDDC82A4-672F-44B6-94CB-D340287659E2}"/>
    <cellStyle name="Normal 2 5 4 4" xfId="805" xr:uid="{00000000-0005-0000-0000-000051110000}"/>
    <cellStyle name="Normal 2 5 4 4 2" xfId="3044" xr:uid="{00000000-0005-0000-0000-000052110000}"/>
    <cellStyle name="Normal 2 5 4 4 2 2" xfId="7268" xr:uid="{00000000-0005-0000-0000-000053110000}"/>
    <cellStyle name="Normal 2 5 4 4 2 3" xfId="11932" xr:uid="{4F7C72B3-B801-48EC-9410-0F174E1CB091}"/>
    <cellStyle name="Normal 2 5 4 4 3" xfId="5123" xr:uid="{00000000-0005-0000-0000-000054110000}"/>
    <cellStyle name="Normal 2 5 4 4 4" xfId="9786" xr:uid="{AFFD3F41-7639-461E-B9EF-1D231F1F9920}"/>
    <cellStyle name="Normal 2 5 4 5" xfId="1227" xr:uid="{00000000-0005-0000-0000-000055110000}"/>
    <cellStyle name="Normal 2 5 4 5 2" xfId="3457" xr:uid="{00000000-0005-0000-0000-000056110000}"/>
    <cellStyle name="Normal 2 5 4 5 2 2" xfId="7681" xr:uid="{00000000-0005-0000-0000-000057110000}"/>
    <cellStyle name="Normal 2 5 4 5 2 3" xfId="12345" xr:uid="{0CC351B7-459D-432B-9AD1-94EE4924843B}"/>
    <cellStyle name="Normal 2 5 4 5 3" xfId="5536" xr:uid="{00000000-0005-0000-0000-000058110000}"/>
    <cellStyle name="Normal 2 5 4 5 4" xfId="10200" xr:uid="{6ED5A7A7-BB3A-45E0-8E8E-675F778F9542}"/>
    <cellStyle name="Normal 2 5 4 6" xfId="1640" xr:uid="{00000000-0005-0000-0000-000059110000}"/>
    <cellStyle name="Normal 2 5 4 6 2" xfId="3870" xr:uid="{00000000-0005-0000-0000-00005A110000}"/>
    <cellStyle name="Normal 2 5 4 6 2 2" xfId="8094" xr:uid="{00000000-0005-0000-0000-00005B110000}"/>
    <cellStyle name="Normal 2 5 4 6 2 3" xfId="12758" xr:uid="{AC17F0BE-CEEA-43D3-9D5F-ADD1AEDBADDA}"/>
    <cellStyle name="Normal 2 5 4 6 3" xfId="5949" xr:uid="{00000000-0005-0000-0000-00005C110000}"/>
    <cellStyle name="Normal 2 5 4 6 4" xfId="10613" xr:uid="{298EDBEB-3185-47C0-A85E-4C363118C136}"/>
    <cellStyle name="Normal 2 5 4 7" xfId="2054" xr:uid="{00000000-0005-0000-0000-00005D110000}"/>
    <cellStyle name="Normal 2 5 4 7 2" xfId="4283" xr:uid="{00000000-0005-0000-0000-00005E110000}"/>
    <cellStyle name="Normal 2 5 4 7 2 2" xfId="8507" xr:uid="{00000000-0005-0000-0000-00005F110000}"/>
    <cellStyle name="Normal 2 5 4 7 2 3" xfId="13171" xr:uid="{41DA9CA2-D7E6-46D3-9B64-71FBFEA7739B}"/>
    <cellStyle name="Normal 2 5 4 7 3" xfId="6362" xr:uid="{00000000-0005-0000-0000-000060110000}"/>
    <cellStyle name="Normal 2 5 4 7 4" xfId="11026" xr:uid="{14EDE9D9-F188-4010-A818-DDD2AA864476}"/>
    <cellStyle name="Normal 2 5 4 8" xfId="2490" xr:uid="{00000000-0005-0000-0000-000061110000}"/>
    <cellStyle name="Normal 2 5 4 8 2" xfId="6775" xr:uid="{00000000-0005-0000-0000-000062110000}"/>
    <cellStyle name="Normal 2 5 4 8 3" xfId="11439" xr:uid="{CE653B38-78C5-4743-909E-08F4A72554A3}"/>
    <cellStyle name="Normal 2 5 4 9" xfId="4709" xr:uid="{00000000-0005-0000-0000-000063110000}"/>
    <cellStyle name="Normal 2 5 4 9 2" xfId="9364" xr:uid="{D94686CE-16C1-475B-A57C-2221F923C94C}"/>
    <cellStyle name="Normal 2 5 5" xfId="804" xr:uid="{00000000-0005-0000-0000-000064110000}"/>
    <cellStyle name="Normal 2 5 5 2" xfId="3043" xr:uid="{00000000-0005-0000-0000-000065110000}"/>
    <cellStyle name="Normal 2 5 5 2 2" xfId="7267" xr:uid="{00000000-0005-0000-0000-000066110000}"/>
    <cellStyle name="Normal 2 5 5 2 3" xfId="11931" xr:uid="{2EF91F80-0E5E-4C0A-852F-0984FBDFC4D4}"/>
    <cellStyle name="Normal 2 5 5 3" xfId="5122" xr:uid="{00000000-0005-0000-0000-000067110000}"/>
    <cellStyle name="Normal 2 5 5 4" xfId="9785" xr:uid="{8498B33A-BEDC-47A1-A3B4-E21173322C07}"/>
    <cellStyle name="Normal 2 5 6" xfId="1226" xr:uid="{00000000-0005-0000-0000-000068110000}"/>
    <cellStyle name="Normal 2 5 6 2" xfId="3456" xr:uid="{00000000-0005-0000-0000-000069110000}"/>
    <cellStyle name="Normal 2 5 6 2 2" xfId="7680" xr:uid="{00000000-0005-0000-0000-00006A110000}"/>
    <cellStyle name="Normal 2 5 6 2 3" xfId="12344" xr:uid="{20A40000-19D8-4159-B38D-A9D279B3B47F}"/>
    <cellStyle name="Normal 2 5 6 3" xfId="5535" xr:uid="{00000000-0005-0000-0000-00006B110000}"/>
    <cellStyle name="Normal 2 5 6 4" xfId="10199" xr:uid="{9954B173-CB0D-4707-81E0-60467D4B3B36}"/>
    <cellStyle name="Normal 2 5 7" xfId="1639" xr:uid="{00000000-0005-0000-0000-00006C110000}"/>
    <cellStyle name="Normal 2 5 7 2" xfId="3869" xr:uid="{00000000-0005-0000-0000-00006D110000}"/>
    <cellStyle name="Normal 2 5 7 2 2" xfId="8093" xr:uid="{00000000-0005-0000-0000-00006E110000}"/>
    <cellStyle name="Normal 2 5 7 2 3" xfId="12757" xr:uid="{997BE9C2-73ED-48E1-96B8-2AD27A933BA4}"/>
    <cellStyle name="Normal 2 5 7 3" xfId="5948" xr:uid="{00000000-0005-0000-0000-00006F110000}"/>
    <cellStyle name="Normal 2 5 7 4" xfId="10612" xr:uid="{F1142252-3F4D-4985-9727-1862CA2C024C}"/>
    <cellStyle name="Normal 2 5 8" xfId="2053" xr:uid="{00000000-0005-0000-0000-000070110000}"/>
    <cellStyle name="Normal 2 5 8 2" xfId="4282" xr:uid="{00000000-0005-0000-0000-000071110000}"/>
    <cellStyle name="Normal 2 5 8 2 2" xfId="8506" xr:uid="{00000000-0005-0000-0000-000072110000}"/>
    <cellStyle name="Normal 2 5 8 2 3" xfId="13170" xr:uid="{50EAD851-DBF6-467D-898E-76FCB1461E5B}"/>
    <cellStyle name="Normal 2 5 8 3" xfId="6361" xr:uid="{00000000-0005-0000-0000-000073110000}"/>
    <cellStyle name="Normal 2 5 8 4" xfId="11025" xr:uid="{52122EE5-4CA7-4727-9A18-55652DFE96B9}"/>
    <cellStyle name="Normal 2 5 9" xfId="2489" xr:uid="{00000000-0005-0000-0000-000074110000}"/>
    <cellStyle name="Normal 2 5 9 2" xfId="6774" xr:uid="{00000000-0005-0000-0000-000075110000}"/>
    <cellStyle name="Normal 2 5 9 3" xfId="11438" xr:uid="{0DB52CA0-3D28-4D03-BE72-A145ADAE2384}"/>
    <cellStyle name="Normal 2 6" xfId="322" xr:uid="{00000000-0005-0000-0000-000076110000}"/>
    <cellStyle name="Normal 2 7" xfId="770" xr:uid="{00000000-0005-0000-0000-000077110000}"/>
    <cellStyle name="Normal 2 8" xfId="4496" xr:uid="{00000000-0005-0000-0000-000078110000}"/>
    <cellStyle name="Normal 2 8 2" xfId="9329" xr:uid="{2EE52AD6-293E-460C-AF7D-F6EBFDA66484}"/>
    <cellStyle name="Normal 3" xfId="323" xr:uid="{00000000-0005-0000-0000-000079110000}"/>
    <cellStyle name="Normal 3 2" xfId="324" xr:uid="{00000000-0005-0000-0000-00007A110000}"/>
    <cellStyle name="Normal 3 2 10" xfId="8924" xr:uid="{CB745B65-F4AD-4875-87E5-EBBC0412B1FB}"/>
    <cellStyle name="Normal 3 2 2" xfId="325" xr:uid="{00000000-0005-0000-0000-00007B110000}"/>
    <cellStyle name="Normal 3 2 2 2" xfId="811" xr:uid="{00000000-0005-0000-0000-00007C110000}"/>
    <cellStyle name="Normal 3 2 2 3" xfId="9370" xr:uid="{EF06086E-12BA-4B07-AE31-1A4F02EA5565}"/>
    <cellStyle name="Normal 3 2 3" xfId="326" xr:uid="{00000000-0005-0000-0000-00007D110000}"/>
    <cellStyle name="Normal 3 2 3 10" xfId="8925" xr:uid="{257AE296-2420-4CC5-9CB2-D68CFFF15A46}"/>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3" xfId="11939" xr:uid="{7B3E4EEF-AFEE-40F7-8C11-4B101F7FCB82}"/>
    <cellStyle name="Normal 3 2 3 2 2 2 3" xfId="5130" xr:uid="{00000000-0005-0000-0000-000083110000}"/>
    <cellStyle name="Normal 3 2 3 2 2 2 4" xfId="9793" xr:uid="{E36430F1-5E70-421B-A5BD-551C75467805}"/>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3" xfId="12352" xr:uid="{5B7BB047-7518-42A4-B292-280E98DE1D63}"/>
    <cellStyle name="Normal 3 2 3 2 2 3 3" xfId="5543" xr:uid="{00000000-0005-0000-0000-000087110000}"/>
    <cellStyle name="Normal 3 2 3 2 2 3 4" xfId="10207" xr:uid="{219A4896-C7BC-4F54-82A2-5915ADCDA41F}"/>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3" xfId="12765" xr:uid="{A9136F7F-6E2A-41D2-8A9E-1B82BC68649C}"/>
    <cellStyle name="Normal 3 2 3 2 2 4 3" xfId="5956" xr:uid="{00000000-0005-0000-0000-00008B110000}"/>
    <cellStyle name="Normal 3 2 3 2 2 4 4" xfId="10620" xr:uid="{B87F4AC7-920D-4D15-A4B6-374DCAB73351}"/>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3" xfId="13178" xr:uid="{B42B3A49-C6CA-462D-AFEB-42FD39ECAFC8}"/>
    <cellStyle name="Normal 3 2 3 2 2 5 3" xfId="6369" xr:uid="{00000000-0005-0000-0000-00008F110000}"/>
    <cellStyle name="Normal 3 2 3 2 2 5 4" xfId="11033" xr:uid="{D2175A0E-0B7A-4DAC-8C80-17685049FAE5}"/>
    <cellStyle name="Normal 3 2 3 2 2 6" xfId="2497" xr:uid="{00000000-0005-0000-0000-000090110000}"/>
    <cellStyle name="Normal 3 2 3 2 2 6 2" xfId="6782" xr:uid="{00000000-0005-0000-0000-000091110000}"/>
    <cellStyle name="Normal 3 2 3 2 2 6 3" xfId="11446" xr:uid="{05EEA6E8-CC8F-47FA-9862-8865821843FC}"/>
    <cellStyle name="Normal 3 2 3 2 2 7" xfId="4716" xr:uid="{00000000-0005-0000-0000-000092110000}"/>
    <cellStyle name="Normal 3 2 3 2 2 7 2" xfId="9373" xr:uid="{324A9474-4B35-4587-A741-5D1028878379}"/>
    <cellStyle name="Normal 3 2 3 2 2 8" xfId="8927" xr:uid="{CDC73B74-57CC-4493-81EC-6DB8ACC72A12}"/>
    <cellStyle name="Normal 3 2 3 2 3" xfId="813" xr:uid="{00000000-0005-0000-0000-000093110000}"/>
    <cellStyle name="Normal 3 2 3 2 3 2" xfId="3050" xr:uid="{00000000-0005-0000-0000-000094110000}"/>
    <cellStyle name="Normal 3 2 3 2 3 2 2" xfId="7274" xr:uid="{00000000-0005-0000-0000-000095110000}"/>
    <cellStyle name="Normal 3 2 3 2 3 2 3" xfId="11938" xr:uid="{F20608C5-BBA6-439B-AF02-D65DCD4E726E}"/>
    <cellStyle name="Normal 3 2 3 2 3 3" xfId="5129" xr:uid="{00000000-0005-0000-0000-000096110000}"/>
    <cellStyle name="Normal 3 2 3 2 3 4" xfId="9792" xr:uid="{64D31865-0FE1-4655-A5AC-8186D78FD632}"/>
    <cellStyle name="Normal 3 2 3 2 4" xfId="1233" xr:uid="{00000000-0005-0000-0000-000097110000}"/>
    <cellStyle name="Normal 3 2 3 2 4 2" xfId="3463" xr:uid="{00000000-0005-0000-0000-000098110000}"/>
    <cellStyle name="Normal 3 2 3 2 4 2 2" xfId="7687" xr:uid="{00000000-0005-0000-0000-000099110000}"/>
    <cellStyle name="Normal 3 2 3 2 4 2 3" xfId="12351" xr:uid="{DD64E1BB-5D24-4E6B-8B2A-61CEB3AED87F}"/>
    <cellStyle name="Normal 3 2 3 2 4 3" xfId="5542" xr:uid="{00000000-0005-0000-0000-00009A110000}"/>
    <cellStyle name="Normal 3 2 3 2 4 4" xfId="10206" xr:uid="{93483033-32DC-4CD2-BC1A-09146A377958}"/>
    <cellStyle name="Normal 3 2 3 2 5" xfId="1646" xr:uid="{00000000-0005-0000-0000-00009B110000}"/>
    <cellStyle name="Normal 3 2 3 2 5 2" xfId="3876" xr:uid="{00000000-0005-0000-0000-00009C110000}"/>
    <cellStyle name="Normal 3 2 3 2 5 2 2" xfId="8100" xr:uid="{00000000-0005-0000-0000-00009D110000}"/>
    <cellStyle name="Normal 3 2 3 2 5 2 3" xfId="12764" xr:uid="{477029EB-38CA-4814-B8A1-B38B5DF133B1}"/>
    <cellStyle name="Normal 3 2 3 2 5 3" xfId="5955" xr:uid="{00000000-0005-0000-0000-00009E110000}"/>
    <cellStyle name="Normal 3 2 3 2 5 4" xfId="10619" xr:uid="{B952615E-9D4F-4093-B65C-AF97E17E308B}"/>
    <cellStyle name="Normal 3 2 3 2 6" xfId="2060" xr:uid="{00000000-0005-0000-0000-00009F110000}"/>
    <cellStyle name="Normal 3 2 3 2 6 2" xfId="4289" xr:uid="{00000000-0005-0000-0000-0000A0110000}"/>
    <cellStyle name="Normal 3 2 3 2 6 2 2" xfId="8513" xr:uid="{00000000-0005-0000-0000-0000A1110000}"/>
    <cellStyle name="Normal 3 2 3 2 6 2 3" xfId="13177" xr:uid="{48C911AB-8AFC-4909-B6B3-D78B197D9509}"/>
    <cellStyle name="Normal 3 2 3 2 6 3" xfId="6368" xr:uid="{00000000-0005-0000-0000-0000A2110000}"/>
    <cellStyle name="Normal 3 2 3 2 6 4" xfId="11032" xr:uid="{E58D9676-0B5E-46E7-A3BE-441D3ABDE7ED}"/>
    <cellStyle name="Normal 3 2 3 2 7" xfId="2496" xr:uid="{00000000-0005-0000-0000-0000A3110000}"/>
    <cellStyle name="Normal 3 2 3 2 7 2" xfId="6781" xr:uid="{00000000-0005-0000-0000-0000A4110000}"/>
    <cellStyle name="Normal 3 2 3 2 7 3" xfId="11445" xr:uid="{484FBBB0-638B-4CFB-8988-BD99B83DB2C6}"/>
    <cellStyle name="Normal 3 2 3 2 8" xfId="4715" xr:uid="{00000000-0005-0000-0000-0000A5110000}"/>
    <cellStyle name="Normal 3 2 3 2 8 2" xfId="9372" xr:uid="{DED23739-E64A-4757-86BF-B5CECFC7CA50}"/>
    <cellStyle name="Normal 3 2 3 2 9" xfId="8926" xr:uid="{9FF92A6D-8D30-4AE5-BFB9-DC4D045D35B5}"/>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3" xfId="11940" xr:uid="{45E803DB-9CE9-40E3-A098-A9E07B40C458}"/>
    <cellStyle name="Normal 3 2 3 3 2 3" xfId="5131" xr:uid="{00000000-0005-0000-0000-0000AA110000}"/>
    <cellStyle name="Normal 3 2 3 3 2 4" xfId="9794" xr:uid="{C6972D98-04D3-48EB-AE02-DA601B3E8931}"/>
    <cellStyle name="Normal 3 2 3 3 3" xfId="1235" xr:uid="{00000000-0005-0000-0000-0000AB110000}"/>
    <cellStyle name="Normal 3 2 3 3 3 2" xfId="3465" xr:uid="{00000000-0005-0000-0000-0000AC110000}"/>
    <cellStyle name="Normal 3 2 3 3 3 2 2" xfId="7689" xr:uid="{00000000-0005-0000-0000-0000AD110000}"/>
    <cellStyle name="Normal 3 2 3 3 3 2 3" xfId="12353" xr:uid="{AEE5210D-3220-47B2-A1A4-D9A1CB5CABBD}"/>
    <cellStyle name="Normal 3 2 3 3 3 3" xfId="5544" xr:uid="{00000000-0005-0000-0000-0000AE110000}"/>
    <cellStyle name="Normal 3 2 3 3 3 4" xfId="10208" xr:uid="{90482487-3F0D-4554-8D37-3D34EF7F5BC2}"/>
    <cellStyle name="Normal 3 2 3 3 4" xfId="1648" xr:uid="{00000000-0005-0000-0000-0000AF110000}"/>
    <cellStyle name="Normal 3 2 3 3 4 2" xfId="3878" xr:uid="{00000000-0005-0000-0000-0000B0110000}"/>
    <cellStyle name="Normal 3 2 3 3 4 2 2" xfId="8102" xr:uid="{00000000-0005-0000-0000-0000B1110000}"/>
    <cellStyle name="Normal 3 2 3 3 4 2 3" xfId="12766" xr:uid="{BD33F8B8-A4AF-4257-8CD3-701D001EE34F}"/>
    <cellStyle name="Normal 3 2 3 3 4 3" xfId="5957" xr:uid="{00000000-0005-0000-0000-0000B2110000}"/>
    <cellStyle name="Normal 3 2 3 3 4 4" xfId="10621" xr:uid="{B5AC1275-85A3-4479-9F16-7C9A493621EE}"/>
    <cellStyle name="Normal 3 2 3 3 5" xfId="2062" xr:uid="{00000000-0005-0000-0000-0000B3110000}"/>
    <cellStyle name="Normal 3 2 3 3 5 2" xfId="4291" xr:uid="{00000000-0005-0000-0000-0000B4110000}"/>
    <cellStyle name="Normal 3 2 3 3 5 2 2" xfId="8515" xr:uid="{00000000-0005-0000-0000-0000B5110000}"/>
    <cellStyle name="Normal 3 2 3 3 5 2 3" xfId="13179" xr:uid="{F035E4A9-CF4F-4F0D-B48F-250035316C00}"/>
    <cellStyle name="Normal 3 2 3 3 5 3" xfId="6370" xr:uid="{00000000-0005-0000-0000-0000B6110000}"/>
    <cellStyle name="Normal 3 2 3 3 5 4" xfId="11034" xr:uid="{877718B8-7AB6-4BCB-ADE2-44F88D5D79B4}"/>
    <cellStyle name="Normal 3 2 3 3 6" xfId="2498" xr:uid="{00000000-0005-0000-0000-0000B7110000}"/>
    <cellStyle name="Normal 3 2 3 3 6 2" xfId="6783" xr:uid="{00000000-0005-0000-0000-0000B8110000}"/>
    <cellStyle name="Normal 3 2 3 3 6 3" xfId="11447" xr:uid="{483F8F83-BF7D-4D72-ADBF-73E5162BAF62}"/>
    <cellStyle name="Normal 3 2 3 3 7" xfId="4717" xr:uid="{00000000-0005-0000-0000-0000B9110000}"/>
    <cellStyle name="Normal 3 2 3 3 7 2" xfId="9374" xr:uid="{966E4C51-6515-4133-A3EC-BB5130DE0C0C}"/>
    <cellStyle name="Normal 3 2 3 3 8" xfId="8928" xr:uid="{4A45D586-69E7-4B3F-8D07-A65BA4C3FDB7}"/>
    <cellStyle name="Normal 3 2 3 4" xfId="812" xr:uid="{00000000-0005-0000-0000-0000BA110000}"/>
    <cellStyle name="Normal 3 2 3 4 2" xfId="3049" xr:uid="{00000000-0005-0000-0000-0000BB110000}"/>
    <cellStyle name="Normal 3 2 3 4 2 2" xfId="7273" xr:uid="{00000000-0005-0000-0000-0000BC110000}"/>
    <cellStyle name="Normal 3 2 3 4 2 3" xfId="11937" xr:uid="{D3CB363F-A78C-435A-B857-DEED5DF7EDB9}"/>
    <cellStyle name="Normal 3 2 3 4 3" xfId="5128" xr:uid="{00000000-0005-0000-0000-0000BD110000}"/>
    <cellStyle name="Normal 3 2 3 4 4" xfId="9791" xr:uid="{50BADF9B-D98A-41E3-A22D-8E1BDF2B57EC}"/>
    <cellStyle name="Normal 3 2 3 5" xfId="1232" xr:uid="{00000000-0005-0000-0000-0000BE110000}"/>
    <cellStyle name="Normal 3 2 3 5 2" xfId="3462" xr:uid="{00000000-0005-0000-0000-0000BF110000}"/>
    <cellStyle name="Normal 3 2 3 5 2 2" xfId="7686" xr:uid="{00000000-0005-0000-0000-0000C0110000}"/>
    <cellStyle name="Normal 3 2 3 5 2 3" xfId="12350" xr:uid="{99D62A6F-90FA-46C9-BB40-406E4D33AF65}"/>
    <cellStyle name="Normal 3 2 3 5 3" xfId="5541" xr:uid="{00000000-0005-0000-0000-0000C1110000}"/>
    <cellStyle name="Normal 3 2 3 5 4" xfId="10205" xr:uid="{87BBDDEF-1BB9-44DF-AEC1-97DD9B731AFB}"/>
    <cellStyle name="Normal 3 2 3 6" xfId="1645" xr:uid="{00000000-0005-0000-0000-0000C2110000}"/>
    <cellStyle name="Normal 3 2 3 6 2" xfId="3875" xr:uid="{00000000-0005-0000-0000-0000C3110000}"/>
    <cellStyle name="Normal 3 2 3 6 2 2" xfId="8099" xr:uid="{00000000-0005-0000-0000-0000C4110000}"/>
    <cellStyle name="Normal 3 2 3 6 2 3" xfId="12763" xr:uid="{BE2A842E-795C-4702-AF92-EC0A00082BD5}"/>
    <cellStyle name="Normal 3 2 3 6 3" xfId="5954" xr:uid="{00000000-0005-0000-0000-0000C5110000}"/>
    <cellStyle name="Normal 3 2 3 6 4" xfId="10618" xr:uid="{33326EE2-9E85-492B-A9A5-314B9D5FE6C1}"/>
    <cellStyle name="Normal 3 2 3 7" xfId="2059" xr:uid="{00000000-0005-0000-0000-0000C6110000}"/>
    <cellStyle name="Normal 3 2 3 7 2" xfId="4288" xr:uid="{00000000-0005-0000-0000-0000C7110000}"/>
    <cellStyle name="Normal 3 2 3 7 2 2" xfId="8512" xr:uid="{00000000-0005-0000-0000-0000C8110000}"/>
    <cellStyle name="Normal 3 2 3 7 2 3" xfId="13176" xr:uid="{72D0CDEE-6F54-43D9-8D9B-9B1EDA6B8130}"/>
    <cellStyle name="Normal 3 2 3 7 3" xfId="6367" xr:uid="{00000000-0005-0000-0000-0000C9110000}"/>
    <cellStyle name="Normal 3 2 3 7 4" xfId="11031" xr:uid="{6E35783C-CB97-47A8-B633-4FDA7A2858C0}"/>
    <cellStyle name="Normal 3 2 3 8" xfId="2495" xr:uid="{00000000-0005-0000-0000-0000CA110000}"/>
    <cellStyle name="Normal 3 2 3 8 2" xfId="6780" xr:uid="{00000000-0005-0000-0000-0000CB110000}"/>
    <cellStyle name="Normal 3 2 3 8 3" xfId="11444" xr:uid="{4BCDFDD5-F826-409B-B7B7-6EC01C11FD19}"/>
    <cellStyle name="Normal 3 2 3 9" xfId="4714" xr:uid="{00000000-0005-0000-0000-0000CC110000}"/>
    <cellStyle name="Normal 3 2 3 9 2" xfId="9371" xr:uid="{0FBBB6CA-BB7A-4EB4-93EF-5A5A758340E7}"/>
    <cellStyle name="Normal 3 2 4" xfId="810" xr:uid="{00000000-0005-0000-0000-0000CD110000}"/>
    <cellStyle name="Normal 3 2 4 2" xfId="3048" xr:uid="{00000000-0005-0000-0000-0000CE110000}"/>
    <cellStyle name="Normal 3 2 4 2 2" xfId="7272" xr:uid="{00000000-0005-0000-0000-0000CF110000}"/>
    <cellStyle name="Normal 3 2 4 2 3" xfId="11936" xr:uid="{4019CB7C-CDAC-41FA-AF78-CBAC4F9EEC40}"/>
    <cellStyle name="Normal 3 2 4 3" xfId="5127" xr:uid="{00000000-0005-0000-0000-0000D0110000}"/>
    <cellStyle name="Normal 3 2 4 4" xfId="9790" xr:uid="{593D6F4B-6AC3-45DC-9CF4-E828D73039DA}"/>
    <cellStyle name="Normal 3 2 5" xfId="1231" xr:uid="{00000000-0005-0000-0000-0000D1110000}"/>
    <cellStyle name="Normal 3 2 5 2" xfId="3461" xr:uid="{00000000-0005-0000-0000-0000D2110000}"/>
    <cellStyle name="Normal 3 2 5 2 2" xfId="7685" xr:uid="{00000000-0005-0000-0000-0000D3110000}"/>
    <cellStyle name="Normal 3 2 5 2 3" xfId="12349" xr:uid="{BED97060-3279-4804-869F-678F422B1EFF}"/>
    <cellStyle name="Normal 3 2 5 3" xfId="5540" xr:uid="{00000000-0005-0000-0000-0000D4110000}"/>
    <cellStyle name="Normal 3 2 5 4" xfId="10204" xr:uid="{D6E3E92A-E85F-4C63-B529-B2AE863C7504}"/>
    <cellStyle name="Normal 3 2 6" xfId="1644" xr:uid="{00000000-0005-0000-0000-0000D5110000}"/>
    <cellStyle name="Normal 3 2 6 2" xfId="3874" xr:uid="{00000000-0005-0000-0000-0000D6110000}"/>
    <cellStyle name="Normal 3 2 6 2 2" xfId="8098" xr:uid="{00000000-0005-0000-0000-0000D7110000}"/>
    <cellStyle name="Normal 3 2 6 2 3" xfId="12762" xr:uid="{18A0F68D-FCAA-4E5F-A968-60755EBF3FC7}"/>
    <cellStyle name="Normal 3 2 6 3" xfId="5953" xr:uid="{00000000-0005-0000-0000-0000D8110000}"/>
    <cellStyle name="Normal 3 2 6 4" xfId="10617" xr:uid="{511F27F6-AFF4-48A4-8B5B-7B5ED3200F96}"/>
    <cellStyle name="Normal 3 2 7" xfId="2058" xr:uid="{00000000-0005-0000-0000-0000D9110000}"/>
    <cellStyle name="Normal 3 2 7 2" xfId="4287" xr:uid="{00000000-0005-0000-0000-0000DA110000}"/>
    <cellStyle name="Normal 3 2 7 2 2" xfId="8511" xr:uid="{00000000-0005-0000-0000-0000DB110000}"/>
    <cellStyle name="Normal 3 2 7 2 3" xfId="13175" xr:uid="{81834A8B-45A8-4A2A-B115-4D60A9CB6721}"/>
    <cellStyle name="Normal 3 2 7 3" xfId="6366" xr:uid="{00000000-0005-0000-0000-0000DC110000}"/>
    <cellStyle name="Normal 3 2 7 4" xfId="11030" xr:uid="{641A69E2-1DA6-4944-B162-018F8D58CC5D}"/>
    <cellStyle name="Normal 3 2 8" xfId="2494" xr:uid="{00000000-0005-0000-0000-0000DD110000}"/>
    <cellStyle name="Normal 3 2 8 2" xfId="6779" xr:uid="{00000000-0005-0000-0000-0000DE110000}"/>
    <cellStyle name="Normal 3 2 8 3" xfId="11443" xr:uid="{2D06DC41-4935-4277-BD01-9BE42A26766E}"/>
    <cellStyle name="Normal 3 2 9" xfId="4713" xr:uid="{00000000-0005-0000-0000-0000DF110000}"/>
    <cellStyle name="Normal 3 2 9 2" xfId="9369" xr:uid="{BC9710D1-E18A-4291-83C3-81A3F3EC3145}"/>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3 7" xfId="9368" xr:uid="{CA78D416-F2A1-4AF3-9335-65940DF4C24E}"/>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3" xfId="13180" xr:uid="{6D216098-FEC8-4106-A8CE-5F1900EFCD62}"/>
    <cellStyle name="Normal 4 2 2 10 3" xfId="6371" xr:uid="{00000000-0005-0000-0000-0000EC110000}"/>
    <cellStyle name="Normal 4 2 2 10 4" xfId="11035" xr:uid="{C24B16A5-FEA5-4B8F-A891-95DBF4E593BF}"/>
    <cellStyle name="Normal 4 2 2 11" xfId="2499" xr:uid="{00000000-0005-0000-0000-0000ED110000}"/>
    <cellStyle name="Normal 4 2 2 11 2" xfId="6784" xr:uid="{00000000-0005-0000-0000-0000EE110000}"/>
    <cellStyle name="Normal 4 2 2 11 3" xfId="11448" xr:uid="{C54D41CF-D2DE-4A8A-BD46-50C7BF75E520}"/>
    <cellStyle name="Normal 4 2 2 12" xfId="4719" xr:uid="{00000000-0005-0000-0000-0000EF110000}"/>
    <cellStyle name="Normal 4 2 2 12 2" xfId="9376" xr:uid="{11AC1A83-FD6F-480A-9DCB-35010B449DE0}"/>
    <cellStyle name="Normal 4 2 2 13" xfId="8929" xr:uid="{5B91DC9B-5CD6-42E8-81A8-2E0F2B9F22EB}"/>
    <cellStyle name="Normal 4 2 2 2" xfId="338" xr:uid="{00000000-0005-0000-0000-0000F0110000}"/>
    <cellStyle name="Normal 4 2 2 3" xfId="339" xr:uid="{00000000-0005-0000-0000-0000F1110000}"/>
    <cellStyle name="Normal 4 2 2 3 10" xfId="4720" xr:uid="{00000000-0005-0000-0000-0000F2110000}"/>
    <cellStyle name="Normal 4 2 2 3 10 2" xfId="9377" xr:uid="{FFA704B3-E615-4A34-8DB7-DDCA632075D1}"/>
    <cellStyle name="Normal 4 2 2 3 11" xfId="8930" xr:uid="{BF11C546-6A38-4C87-9ED1-7DC9269735F8}"/>
    <cellStyle name="Normal 4 2 2 3 2" xfId="340" xr:uid="{00000000-0005-0000-0000-0000F3110000}"/>
    <cellStyle name="Normal 4 2 2 3 2 10" xfId="8931" xr:uid="{3D23B78A-1952-4340-9B89-3B5B07AF1AC3}"/>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3" xfId="11945" xr:uid="{9810CEAA-9744-485F-B465-BD4513999A38}"/>
    <cellStyle name="Normal 4 2 2 3 2 2 2 2 3" xfId="5136" xr:uid="{00000000-0005-0000-0000-0000F9110000}"/>
    <cellStyle name="Normal 4 2 2 3 2 2 2 2 4" xfId="9799" xr:uid="{CC68A8AC-7055-4A08-B8C5-DFA323B42701}"/>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3" xfId="12358" xr:uid="{1CDB1A48-5B65-489C-93A2-99091018AC08}"/>
    <cellStyle name="Normal 4 2 2 3 2 2 2 3 3" xfId="5549" xr:uid="{00000000-0005-0000-0000-0000FD110000}"/>
    <cellStyle name="Normal 4 2 2 3 2 2 2 3 4" xfId="10213" xr:uid="{3340D60E-4F9A-4EA7-95F8-C44A95902587}"/>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3" xfId="12771" xr:uid="{82A42CCA-1EE1-4CFB-87D1-4BAD692778D6}"/>
    <cellStyle name="Normal 4 2 2 3 2 2 2 4 3" xfId="5962" xr:uid="{00000000-0005-0000-0000-000001120000}"/>
    <cellStyle name="Normal 4 2 2 3 2 2 2 4 4" xfId="10626" xr:uid="{9A32AB28-523C-4893-9165-EA89570EA279}"/>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3" xfId="13184" xr:uid="{8F487B84-7DC1-456E-A2FE-C3DC5EC5B13D}"/>
    <cellStyle name="Normal 4 2 2 3 2 2 2 5 3" xfId="6375" xr:uid="{00000000-0005-0000-0000-000005120000}"/>
    <cellStyle name="Normal 4 2 2 3 2 2 2 5 4" xfId="11039" xr:uid="{A335C022-CBFA-4238-8583-7EA887C18552}"/>
    <cellStyle name="Normal 4 2 2 3 2 2 2 6" xfId="2503" xr:uid="{00000000-0005-0000-0000-000006120000}"/>
    <cellStyle name="Normal 4 2 2 3 2 2 2 6 2" xfId="6788" xr:uid="{00000000-0005-0000-0000-000007120000}"/>
    <cellStyle name="Normal 4 2 2 3 2 2 2 6 3" xfId="11452" xr:uid="{61C7D34A-94C2-4A39-8423-F93A35DF33B0}"/>
    <cellStyle name="Normal 4 2 2 3 2 2 2 7" xfId="4723" xr:uid="{00000000-0005-0000-0000-000008120000}"/>
    <cellStyle name="Normal 4 2 2 3 2 2 2 7 2" xfId="9380" xr:uid="{ECDC923D-1544-41DF-963E-C6755A2DB11A}"/>
    <cellStyle name="Normal 4 2 2 3 2 2 2 8" xfId="8933" xr:uid="{8E29D303-A940-40EE-90E5-381C1C6A5F69}"/>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3" xfId="11944" xr:uid="{8CDA0185-9695-4E18-BB2B-FCB72044F6AF}"/>
    <cellStyle name="Normal 4 2 2 3 2 2 3 3" xfId="5135" xr:uid="{00000000-0005-0000-0000-00000C120000}"/>
    <cellStyle name="Normal 4 2 2 3 2 2 3 4" xfId="9798" xr:uid="{EA920C4A-02CE-442A-B3BA-9D986BED4339}"/>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3" xfId="12357" xr:uid="{35FF9E2D-1CE0-4CD0-A5BA-3740B33D895C}"/>
    <cellStyle name="Normal 4 2 2 3 2 2 4 3" xfId="5548" xr:uid="{00000000-0005-0000-0000-000010120000}"/>
    <cellStyle name="Normal 4 2 2 3 2 2 4 4" xfId="10212" xr:uid="{311F2B2E-B08C-4670-8CBC-CB14FB801D0A}"/>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3" xfId="12770" xr:uid="{65C8486D-B8D9-41F6-B824-A60DD49A26D1}"/>
    <cellStyle name="Normal 4 2 2 3 2 2 5 3" xfId="5961" xr:uid="{00000000-0005-0000-0000-000014120000}"/>
    <cellStyle name="Normal 4 2 2 3 2 2 5 4" xfId="10625" xr:uid="{9BFD84E4-174A-4466-BC59-70824A9EAB27}"/>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3" xfId="13183" xr:uid="{2E4E3D33-EF30-4D7F-938A-61BEF51D6D19}"/>
    <cellStyle name="Normal 4 2 2 3 2 2 6 3" xfId="6374" xr:uid="{00000000-0005-0000-0000-000018120000}"/>
    <cellStyle name="Normal 4 2 2 3 2 2 6 4" xfId="11038" xr:uid="{12B9F7B5-7F35-4487-8DF1-42966344DC1E}"/>
    <cellStyle name="Normal 4 2 2 3 2 2 7" xfId="2502" xr:uid="{00000000-0005-0000-0000-000019120000}"/>
    <cellStyle name="Normal 4 2 2 3 2 2 7 2" xfId="6787" xr:uid="{00000000-0005-0000-0000-00001A120000}"/>
    <cellStyle name="Normal 4 2 2 3 2 2 7 3" xfId="11451" xr:uid="{2C76194F-616F-4235-B581-E53643A85C27}"/>
    <cellStyle name="Normal 4 2 2 3 2 2 8" xfId="4722" xr:uid="{00000000-0005-0000-0000-00001B120000}"/>
    <cellStyle name="Normal 4 2 2 3 2 2 8 2" xfId="9379" xr:uid="{01FDDF2E-8FF3-441D-82E9-0F2F28B76618}"/>
    <cellStyle name="Normal 4 2 2 3 2 2 9" xfId="8932" xr:uid="{AF84C198-9AB8-4706-9177-3E32FB94796C}"/>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3" xfId="11946" xr:uid="{F2ED1D88-9396-40C2-8292-2143FE19ED69}"/>
    <cellStyle name="Normal 4 2 2 3 2 3 2 3" xfId="5137" xr:uid="{00000000-0005-0000-0000-000020120000}"/>
    <cellStyle name="Normal 4 2 2 3 2 3 2 4" xfId="9800" xr:uid="{B7BC3C88-5617-4F11-8210-1F93ACADCD5F}"/>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3" xfId="12359" xr:uid="{D3A6F7B4-FBC1-4BFB-954F-FC764CF47CD9}"/>
    <cellStyle name="Normal 4 2 2 3 2 3 3 3" xfId="5550" xr:uid="{00000000-0005-0000-0000-000024120000}"/>
    <cellStyle name="Normal 4 2 2 3 2 3 3 4" xfId="10214" xr:uid="{52FF0875-98F0-4F1E-8FF7-6DB245DB4A17}"/>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3" xfId="12772" xr:uid="{2B7F4ED0-5100-4B92-AE75-FC7CA8F689C2}"/>
    <cellStyle name="Normal 4 2 2 3 2 3 4 3" xfId="5963" xr:uid="{00000000-0005-0000-0000-000028120000}"/>
    <cellStyle name="Normal 4 2 2 3 2 3 4 4" xfId="10627" xr:uid="{EE68557F-6FD7-4ED1-B3EB-DB94A08630C4}"/>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3" xfId="13185" xr:uid="{C0A6E3EC-3DB6-4A02-9B21-1C9C7D4DEA30}"/>
    <cellStyle name="Normal 4 2 2 3 2 3 5 3" xfId="6376" xr:uid="{00000000-0005-0000-0000-00002C120000}"/>
    <cellStyle name="Normal 4 2 2 3 2 3 5 4" xfId="11040" xr:uid="{67F942A7-D06A-457C-9ACA-DDE9A77DC082}"/>
    <cellStyle name="Normal 4 2 2 3 2 3 6" xfId="2504" xr:uid="{00000000-0005-0000-0000-00002D120000}"/>
    <cellStyle name="Normal 4 2 2 3 2 3 6 2" xfId="6789" xr:uid="{00000000-0005-0000-0000-00002E120000}"/>
    <cellStyle name="Normal 4 2 2 3 2 3 6 3" xfId="11453" xr:uid="{BA53D6FB-87D2-4A36-B5BC-7436365976FF}"/>
    <cellStyle name="Normal 4 2 2 3 2 3 7" xfId="4724" xr:uid="{00000000-0005-0000-0000-00002F120000}"/>
    <cellStyle name="Normal 4 2 2 3 2 3 7 2" xfId="9381" xr:uid="{71ABD655-7ABA-4A4F-9785-F95894CF6E7D}"/>
    <cellStyle name="Normal 4 2 2 3 2 3 8" xfId="8934" xr:uid="{E495559F-F1A8-4D57-935A-43E252219F2E}"/>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3" xfId="11943" xr:uid="{757D9638-81C4-4F11-80EE-8E3D8F7A4290}"/>
    <cellStyle name="Normal 4 2 2 3 2 4 3" xfId="5134" xr:uid="{00000000-0005-0000-0000-000033120000}"/>
    <cellStyle name="Normal 4 2 2 3 2 4 4" xfId="9797" xr:uid="{8E70F0E4-A4D8-4A81-8914-A12700C090F4}"/>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3" xfId="12356" xr:uid="{1F42A05C-9771-428B-ABC2-FEDCE6971691}"/>
    <cellStyle name="Normal 4 2 2 3 2 5 3" xfId="5547" xr:uid="{00000000-0005-0000-0000-000037120000}"/>
    <cellStyle name="Normal 4 2 2 3 2 5 4" xfId="10211" xr:uid="{D24085FD-00E9-46DE-AD7D-9BFD5E5855D3}"/>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3" xfId="12769" xr:uid="{18A83FC5-7EA8-49EF-B36C-35983C538DBD}"/>
    <cellStyle name="Normal 4 2 2 3 2 6 3" xfId="5960" xr:uid="{00000000-0005-0000-0000-00003B120000}"/>
    <cellStyle name="Normal 4 2 2 3 2 6 4" xfId="10624" xr:uid="{8EF5A65D-2F5E-4CDA-8D4C-65EE8C18820C}"/>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3" xfId="13182" xr:uid="{5EF24CD8-4643-4143-938B-CA7FA4C6A46C}"/>
    <cellStyle name="Normal 4 2 2 3 2 7 3" xfId="6373" xr:uid="{00000000-0005-0000-0000-00003F120000}"/>
    <cellStyle name="Normal 4 2 2 3 2 7 4" xfId="11037" xr:uid="{FC0BCE50-38FA-49FF-83F7-9C01C6414861}"/>
    <cellStyle name="Normal 4 2 2 3 2 8" xfId="2501" xr:uid="{00000000-0005-0000-0000-000040120000}"/>
    <cellStyle name="Normal 4 2 2 3 2 8 2" xfId="6786" xr:uid="{00000000-0005-0000-0000-000041120000}"/>
    <cellStyle name="Normal 4 2 2 3 2 8 3" xfId="11450" xr:uid="{792F1A96-92C2-4F64-9FF5-B99432FCF8A8}"/>
    <cellStyle name="Normal 4 2 2 3 2 9" xfId="4721" xr:uid="{00000000-0005-0000-0000-000042120000}"/>
    <cellStyle name="Normal 4 2 2 3 2 9 2" xfId="9378" xr:uid="{195DDE03-5AFA-40C2-A595-2A8D19A08CA9}"/>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3" xfId="11948" xr:uid="{B917AA08-355F-417F-99DB-7988C97C7662}"/>
    <cellStyle name="Normal 4 2 2 3 3 2 2 3" xfId="5139" xr:uid="{00000000-0005-0000-0000-000048120000}"/>
    <cellStyle name="Normal 4 2 2 3 3 2 2 4" xfId="9802" xr:uid="{71F52751-1017-47BD-8366-A501146C288B}"/>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3" xfId="12361" xr:uid="{BD6B0A5B-4B72-43ED-8C99-F36C61217B95}"/>
    <cellStyle name="Normal 4 2 2 3 3 2 3 3" xfId="5552" xr:uid="{00000000-0005-0000-0000-00004C120000}"/>
    <cellStyle name="Normal 4 2 2 3 3 2 3 4" xfId="10216" xr:uid="{71BED55A-C1CE-4CEF-BFE5-3E521E7D79DB}"/>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3" xfId="12774" xr:uid="{FF975328-B2B7-4520-9C62-92C7F1FC8AB8}"/>
    <cellStyle name="Normal 4 2 2 3 3 2 4 3" xfId="5965" xr:uid="{00000000-0005-0000-0000-000050120000}"/>
    <cellStyle name="Normal 4 2 2 3 3 2 4 4" xfId="10629" xr:uid="{7392AF0C-A41A-4C79-8B4F-EB4C57A82E7F}"/>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3" xfId="13187" xr:uid="{234BC349-2E11-412F-962B-1FC63F93E61C}"/>
    <cellStyle name="Normal 4 2 2 3 3 2 5 3" xfId="6378" xr:uid="{00000000-0005-0000-0000-000054120000}"/>
    <cellStyle name="Normal 4 2 2 3 3 2 5 4" xfId="11042" xr:uid="{4784AB41-C1B6-4255-9C56-19A052317B02}"/>
    <cellStyle name="Normal 4 2 2 3 3 2 6" xfId="2506" xr:uid="{00000000-0005-0000-0000-000055120000}"/>
    <cellStyle name="Normal 4 2 2 3 3 2 6 2" xfId="6791" xr:uid="{00000000-0005-0000-0000-000056120000}"/>
    <cellStyle name="Normal 4 2 2 3 3 2 6 3" xfId="11455" xr:uid="{3628D694-4B04-49CC-A010-7AF4A116CD0D}"/>
    <cellStyle name="Normal 4 2 2 3 3 2 7" xfId="4726" xr:uid="{00000000-0005-0000-0000-000057120000}"/>
    <cellStyle name="Normal 4 2 2 3 3 2 7 2" xfId="9383" xr:uid="{13481D4A-3ED2-409D-A679-1CE639AF2F8C}"/>
    <cellStyle name="Normal 4 2 2 3 3 2 8" xfId="8936" xr:uid="{63DFD219-1D0C-4C03-BCA6-3BA29CDC43B2}"/>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3" xfId="11947" xr:uid="{80BE58B8-E391-4D82-9BF2-8DBE8FC4D181}"/>
    <cellStyle name="Normal 4 2 2 3 3 3 3" xfId="5138" xr:uid="{00000000-0005-0000-0000-00005B120000}"/>
    <cellStyle name="Normal 4 2 2 3 3 3 4" xfId="9801" xr:uid="{9040B2BB-81C5-4937-90A9-74343D4F65E8}"/>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3" xfId="12360" xr:uid="{8F1DF303-B2FF-4E94-95F5-C7D4FC2341CA}"/>
    <cellStyle name="Normal 4 2 2 3 3 4 3" xfId="5551" xr:uid="{00000000-0005-0000-0000-00005F120000}"/>
    <cellStyle name="Normal 4 2 2 3 3 4 4" xfId="10215" xr:uid="{549BCCCB-5C7D-418A-8783-CEA1C726A1AD}"/>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3" xfId="12773" xr:uid="{D952451E-42CB-45B1-B1DC-14D5BB5867C1}"/>
    <cellStyle name="Normal 4 2 2 3 3 5 3" xfId="5964" xr:uid="{00000000-0005-0000-0000-000063120000}"/>
    <cellStyle name="Normal 4 2 2 3 3 5 4" xfId="10628" xr:uid="{62DC7C74-8ECB-4493-8AF6-91CAAD2210E2}"/>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3" xfId="13186" xr:uid="{5EBE4BA5-ACFA-445E-93A2-13D6F414DF74}"/>
    <cellStyle name="Normal 4 2 2 3 3 6 3" xfId="6377" xr:uid="{00000000-0005-0000-0000-000067120000}"/>
    <cellStyle name="Normal 4 2 2 3 3 6 4" xfId="11041" xr:uid="{DDB7D655-6955-4AF2-B519-6BCB52FB4F1E}"/>
    <cellStyle name="Normal 4 2 2 3 3 7" xfId="2505" xr:uid="{00000000-0005-0000-0000-000068120000}"/>
    <cellStyle name="Normal 4 2 2 3 3 7 2" xfId="6790" xr:uid="{00000000-0005-0000-0000-000069120000}"/>
    <cellStyle name="Normal 4 2 2 3 3 7 3" xfId="11454" xr:uid="{F57A0AEB-CDFA-468E-8063-5A55C447C5FC}"/>
    <cellStyle name="Normal 4 2 2 3 3 8" xfId="4725" xr:uid="{00000000-0005-0000-0000-00006A120000}"/>
    <cellStyle name="Normal 4 2 2 3 3 8 2" xfId="9382" xr:uid="{B799B41E-F872-41AB-8FE1-9BDC5EA92BCF}"/>
    <cellStyle name="Normal 4 2 2 3 3 9" xfId="8935" xr:uid="{8391F551-56AF-419E-8996-17D0E999068D}"/>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3" xfId="11949" xr:uid="{C45E3B91-D519-4F8C-A0AB-A115633BD224}"/>
    <cellStyle name="Normal 4 2 2 3 4 2 3" xfId="5140" xr:uid="{00000000-0005-0000-0000-00006F120000}"/>
    <cellStyle name="Normal 4 2 2 3 4 2 4" xfId="9803" xr:uid="{06C874AA-E126-4F08-875D-133C0D726134}"/>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3" xfId="12362" xr:uid="{435336B6-3656-417E-A826-1D330F358023}"/>
    <cellStyle name="Normal 4 2 2 3 4 3 3" xfId="5553" xr:uid="{00000000-0005-0000-0000-000073120000}"/>
    <cellStyle name="Normal 4 2 2 3 4 3 4" xfId="10217" xr:uid="{1EE4CB34-FCB0-48C8-AFDE-6B197468D76B}"/>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3" xfId="12775" xr:uid="{76B2E2F8-C795-4F90-81FD-32A338B64216}"/>
    <cellStyle name="Normal 4 2 2 3 4 4 3" xfId="5966" xr:uid="{00000000-0005-0000-0000-000077120000}"/>
    <cellStyle name="Normal 4 2 2 3 4 4 4" xfId="10630" xr:uid="{D104DC6C-B24A-422E-99B3-D5C1AB7C987F}"/>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3" xfId="13188" xr:uid="{332B21FB-39CC-472D-A987-2A3105E52869}"/>
    <cellStyle name="Normal 4 2 2 3 4 5 3" xfId="6379" xr:uid="{00000000-0005-0000-0000-00007B120000}"/>
    <cellStyle name="Normal 4 2 2 3 4 5 4" xfId="11043" xr:uid="{679F78B5-1D2F-47ED-9241-8B62CDE140A2}"/>
    <cellStyle name="Normal 4 2 2 3 4 6" xfId="2507" xr:uid="{00000000-0005-0000-0000-00007C120000}"/>
    <cellStyle name="Normal 4 2 2 3 4 6 2" xfId="6792" xr:uid="{00000000-0005-0000-0000-00007D120000}"/>
    <cellStyle name="Normal 4 2 2 3 4 6 3" xfId="11456" xr:uid="{08D2718F-0D0C-4415-91A9-5E7D4C0B3111}"/>
    <cellStyle name="Normal 4 2 2 3 4 7" xfId="4727" xr:uid="{00000000-0005-0000-0000-00007E120000}"/>
    <cellStyle name="Normal 4 2 2 3 4 7 2" xfId="9384" xr:uid="{BC123F53-6E3C-4788-B813-5F5DE16E295F}"/>
    <cellStyle name="Normal 4 2 2 3 4 8" xfId="8937" xr:uid="{5243624F-F088-4177-81B6-7FDAB2744AC2}"/>
    <cellStyle name="Normal 4 2 2 3 5" xfId="817" xr:uid="{00000000-0005-0000-0000-00007F120000}"/>
    <cellStyle name="Normal 4 2 2 3 5 2" xfId="3054" xr:uid="{00000000-0005-0000-0000-000080120000}"/>
    <cellStyle name="Normal 4 2 2 3 5 2 2" xfId="7278" xr:uid="{00000000-0005-0000-0000-000081120000}"/>
    <cellStyle name="Normal 4 2 2 3 5 2 3" xfId="11942" xr:uid="{DDBD1BEA-DF84-473A-9736-7A8749AE92E8}"/>
    <cellStyle name="Normal 4 2 2 3 5 3" xfId="5133" xr:uid="{00000000-0005-0000-0000-000082120000}"/>
    <cellStyle name="Normal 4 2 2 3 5 4" xfId="9796" xr:uid="{C387FD81-9FCD-4FED-BF5E-5EB6EDF872B3}"/>
    <cellStyle name="Normal 4 2 2 3 6" xfId="1237" xr:uid="{00000000-0005-0000-0000-000083120000}"/>
    <cellStyle name="Normal 4 2 2 3 6 2" xfId="3467" xr:uid="{00000000-0005-0000-0000-000084120000}"/>
    <cellStyle name="Normal 4 2 2 3 6 2 2" xfId="7691" xr:uid="{00000000-0005-0000-0000-000085120000}"/>
    <cellStyle name="Normal 4 2 2 3 6 2 3" xfId="12355" xr:uid="{F4AF8841-7A60-4A17-82E5-8A12B6FFCD16}"/>
    <cellStyle name="Normal 4 2 2 3 6 3" xfId="5546" xr:uid="{00000000-0005-0000-0000-000086120000}"/>
    <cellStyle name="Normal 4 2 2 3 6 4" xfId="10210" xr:uid="{BFFF1CE0-A4BF-4831-AF6C-57D7ED124552}"/>
    <cellStyle name="Normal 4 2 2 3 7" xfId="1650" xr:uid="{00000000-0005-0000-0000-000087120000}"/>
    <cellStyle name="Normal 4 2 2 3 7 2" xfId="3880" xr:uid="{00000000-0005-0000-0000-000088120000}"/>
    <cellStyle name="Normal 4 2 2 3 7 2 2" xfId="8104" xr:uid="{00000000-0005-0000-0000-000089120000}"/>
    <cellStyle name="Normal 4 2 2 3 7 2 3" xfId="12768" xr:uid="{37570A59-8A57-4B52-9829-7221C9A95B27}"/>
    <cellStyle name="Normal 4 2 2 3 7 3" xfId="5959" xr:uid="{00000000-0005-0000-0000-00008A120000}"/>
    <cellStyle name="Normal 4 2 2 3 7 4" xfId="10623" xr:uid="{A38F1C18-1EAC-4DC5-807C-972321BE745B}"/>
    <cellStyle name="Normal 4 2 2 3 8" xfId="2064" xr:uid="{00000000-0005-0000-0000-00008B120000}"/>
    <cellStyle name="Normal 4 2 2 3 8 2" xfId="4293" xr:uid="{00000000-0005-0000-0000-00008C120000}"/>
    <cellStyle name="Normal 4 2 2 3 8 2 2" xfId="8517" xr:uid="{00000000-0005-0000-0000-00008D120000}"/>
    <cellStyle name="Normal 4 2 2 3 8 2 3" xfId="13181" xr:uid="{EAC465DF-7D1B-4657-A568-8AC627244CE0}"/>
    <cellStyle name="Normal 4 2 2 3 8 3" xfId="6372" xr:uid="{00000000-0005-0000-0000-00008E120000}"/>
    <cellStyle name="Normal 4 2 2 3 8 4" xfId="11036" xr:uid="{5B16F811-0BF1-4B06-89C6-B3D3B8567374}"/>
    <cellStyle name="Normal 4 2 2 3 9" xfId="2500" xr:uid="{00000000-0005-0000-0000-00008F120000}"/>
    <cellStyle name="Normal 4 2 2 3 9 2" xfId="6785" xr:uid="{00000000-0005-0000-0000-000090120000}"/>
    <cellStyle name="Normal 4 2 2 3 9 3" xfId="11449" xr:uid="{A676362D-C20D-4AFB-A02E-CA5CE1D47B98}"/>
    <cellStyle name="Normal 4 2 2 4" xfId="347" xr:uid="{00000000-0005-0000-0000-000091120000}"/>
    <cellStyle name="Normal 4 2 2 4 10" xfId="8938" xr:uid="{134AD672-83A5-4FCB-828E-7014225E4346}"/>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3" xfId="11952" xr:uid="{D8088E21-9D8C-41AD-BE70-10542EC3B301}"/>
    <cellStyle name="Normal 4 2 2 4 2 2 2 3" xfId="5143" xr:uid="{00000000-0005-0000-0000-000097120000}"/>
    <cellStyle name="Normal 4 2 2 4 2 2 2 4" xfId="9806" xr:uid="{9E507BC6-FAAE-4ABF-9934-6BAFDFB953D5}"/>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3" xfId="12365" xr:uid="{038F2577-FB0F-4E25-9FA6-EB293012F94C}"/>
    <cellStyle name="Normal 4 2 2 4 2 2 3 3" xfId="5556" xr:uid="{00000000-0005-0000-0000-00009B120000}"/>
    <cellStyle name="Normal 4 2 2 4 2 2 3 4" xfId="10220" xr:uid="{A6C3F268-6F32-4DDE-9EA3-3708F8241AB4}"/>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3" xfId="12778" xr:uid="{1946C1C0-76AF-4046-9577-AA223EF5732A}"/>
    <cellStyle name="Normal 4 2 2 4 2 2 4 3" xfId="5969" xr:uid="{00000000-0005-0000-0000-00009F120000}"/>
    <cellStyle name="Normal 4 2 2 4 2 2 4 4" xfId="10633" xr:uid="{1B02182A-F501-4861-90EA-256600F4ED12}"/>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3" xfId="13191" xr:uid="{AD88362A-70AA-471A-869D-2C2E17EFADAC}"/>
    <cellStyle name="Normal 4 2 2 4 2 2 5 3" xfId="6382" xr:uid="{00000000-0005-0000-0000-0000A3120000}"/>
    <cellStyle name="Normal 4 2 2 4 2 2 5 4" xfId="11046" xr:uid="{AAD6FFCC-8C86-4AA4-A6F9-6AF49184B2EC}"/>
    <cellStyle name="Normal 4 2 2 4 2 2 6" xfId="2510" xr:uid="{00000000-0005-0000-0000-0000A4120000}"/>
    <cellStyle name="Normal 4 2 2 4 2 2 6 2" xfId="6795" xr:uid="{00000000-0005-0000-0000-0000A5120000}"/>
    <cellStyle name="Normal 4 2 2 4 2 2 6 3" xfId="11459" xr:uid="{F4D7F230-DC50-4530-9A70-476CDD10C6E6}"/>
    <cellStyle name="Normal 4 2 2 4 2 2 7" xfId="4730" xr:uid="{00000000-0005-0000-0000-0000A6120000}"/>
    <cellStyle name="Normal 4 2 2 4 2 2 7 2" xfId="9387" xr:uid="{622F6A25-F4FD-4EE4-A421-CDA953D3B902}"/>
    <cellStyle name="Normal 4 2 2 4 2 2 8" xfId="8940" xr:uid="{45BCCFC2-A587-476C-A9B4-E69110FF6CE5}"/>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3" xfId="11951" xr:uid="{46F29D6A-9FB6-4BF6-BA6C-46F4BBC972DE}"/>
    <cellStyle name="Normal 4 2 2 4 2 3 3" xfId="5142" xr:uid="{00000000-0005-0000-0000-0000AA120000}"/>
    <cellStyle name="Normal 4 2 2 4 2 3 4" xfId="9805" xr:uid="{9F6F6F7C-15E8-46F7-A2BC-009319D62F18}"/>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3" xfId="12364" xr:uid="{DA43D033-B8F3-4C52-B90C-97CDF1943DED}"/>
    <cellStyle name="Normal 4 2 2 4 2 4 3" xfId="5555" xr:uid="{00000000-0005-0000-0000-0000AE120000}"/>
    <cellStyle name="Normal 4 2 2 4 2 4 4" xfId="10219" xr:uid="{8846D7E1-778F-401A-9583-D56BDF4B16DF}"/>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3" xfId="12777" xr:uid="{06E133B9-CAB4-44F5-BA49-0B91F36938DE}"/>
    <cellStyle name="Normal 4 2 2 4 2 5 3" xfId="5968" xr:uid="{00000000-0005-0000-0000-0000B2120000}"/>
    <cellStyle name="Normal 4 2 2 4 2 5 4" xfId="10632" xr:uid="{4F6A9D31-FE4A-4642-9310-6BB46F55E476}"/>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3" xfId="13190" xr:uid="{731AF343-F2FA-4D2C-B322-B58E2A08BA84}"/>
    <cellStyle name="Normal 4 2 2 4 2 6 3" xfId="6381" xr:uid="{00000000-0005-0000-0000-0000B6120000}"/>
    <cellStyle name="Normal 4 2 2 4 2 6 4" xfId="11045" xr:uid="{A7647C84-3B6B-48EF-97EB-BF04124F68B9}"/>
    <cellStyle name="Normal 4 2 2 4 2 7" xfId="2509" xr:uid="{00000000-0005-0000-0000-0000B7120000}"/>
    <cellStyle name="Normal 4 2 2 4 2 7 2" xfId="6794" xr:uid="{00000000-0005-0000-0000-0000B8120000}"/>
    <cellStyle name="Normal 4 2 2 4 2 7 3" xfId="11458" xr:uid="{CA15F592-45C5-4977-BFAF-1155A55A2A6D}"/>
    <cellStyle name="Normal 4 2 2 4 2 8" xfId="4729" xr:uid="{00000000-0005-0000-0000-0000B9120000}"/>
    <cellStyle name="Normal 4 2 2 4 2 8 2" xfId="9386" xr:uid="{BC4B6E92-4AE4-4303-944E-CE63ED02931D}"/>
    <cellStyle name="Normal 4 2 2 4 2 9" xfId="8939" xr:uid="{6C83A621-17EA-455A-9DD3-28BE187E91DA}"/>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3" xfId="11953" xr:uid="{06EE353D-D996-4657-BEBE-97867A03C33B}"/>
    <cellStyle name="Normal 4 2 2 4 3 2 3" xfId="5144" xr:uid="{00000000-0005-0000-0000-0000BE120000}"/>
    <cellStyle name="Normal 4 2 2 4 3 2 4" xfId="9807" xr:uid="{C0DC6047-7021-48A1-A1B4-F44F4A3877EF}"/>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3" xfId="12366" xr:uid="{73F508D5-D7DB-4C5A-A98C-3724C0B333A6}"/>
    <cellStyle name="Normal 4 2 2 4 3 3 3" xfId="5557" xr:uid="{00000000-0005-0000-0000-0000C2120000}"/>
    <cellStyle name="Normal 4 2 2 4 3 3 4" xfId="10221" xr:uid="{858038CE-FB85-418B-B92B-CF5951D04437}"/>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3" xfId="12779" xr:uid="{69F4F773-0C06-4F54-8A8D-8D52EC87770D}"/>
    <cellStyle name="Normal 4 2 2 4 3 4 3" xfId="5970" xr:uid="{00000000-0005-0000-0000-0000C6120000}"/>
    <cellStyle name="Normal 4 2 2 4 3 4 4" xfId="10634" xr:uid="{34E04CB4-323D-41A6-8D8A-E7DA27167DCE}"/>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3" xfId="13192" xr:uid="{AA3B915A-D63B-45FF-B6A5-6608BAB03F84}"/>
    <cellStyle name="Normal 4 2 2 4 3 5 3" xfId="6383" xr:uid="{00000000-0005-0000-0000-0000CA120000}"/>
    <cellStyle name="Normal 4 2 2 4 3 5 4" xfId="11047" xr:uid="{96C143F8-679A-4B63-8B64-AA7A9DCC7BBB}"/>
    <cellStyle name="Normal 4 2 2 4 3 6" xfId="2511" xr:uid="{00000000-0005-0000-0000-0000CB120000}"/>
    <cellStyle name="Normal 4 2 2 4 3 6 2" xfId="6796" xr:uid="{00000000-0005-0000-0000-0000CC120000}"/>
    <cellStyle name="Normal 4 2 2 4 3 6 3" xfId="11460" xr:uid="{3CB66407-BCF4-4B76-ABB7-AFFAF4D92782}"/>
    <cellStyle name="Normal 4 2 2 4 3 7" xfId="4731" xr:uid="{00000000-0005-0000-0000-0000CD120000}"/>
    <cellStyle name="Normal 4 2 2 4 3 7 2" xfId="9388" xr:uid="{4E6737DB-AF0E-4B22-BD8F-D719A329883A}"/>
    <cellStyle name="Normal 4 2 2 4 3 8" xfId="8941" xr:uid="{98B20AFE-0B49-4212-BAFF-183E331CCB9B}"/>
    <cellStyle name="Normal 4 2 2 4 4" xfId="825" xr:uid="{00000000-0005-0000-0000-0000CE120000}"/>
    <cellStyle name="Normal 4 2 2 4 4 2" xfId="3062" xr:uid="{00000000-0005-0000-0000-0000CF120000}"/>
    <cellStyle name="Normal 4 2 2 4 4 2 2" xfId="7286" xr:uid="{00000000-0005-0000-0000-0000D0120000}"/>
    <cellStyle name="Normal 4 2 2 4 4 2 3" xfId="11950" xr:uid="{C9BDC23F-ED72-45EE-ACF9-2EFDC808690C}"/>
    <cellStyle name="Normal 4 2 2 4 4 3" xfId="5141" xr:uid="{00000000-0005-0000-0000-0000D1120000}"/>
    <cellStyle name="Normal 4 2 2 4 4 4" xfId="9804" xr:uid="{3655A708-4104-4C64-ACE6-FEE1B7ECA983}"/>
    <cellStyle name="Normal 4 2 2 4 5" xfId="1245" xr:uid="{00000000-0005-0000-0000-0000D2120000}"/>
    <cellStyle name="Normal 4 2 2 4 5 2" xfId="3475" xr:uid="{00000000-0005-0000-0000-0000D3120000}"/>
    <cellStyle name="Normal 4 2 2 4 5 2 2" xfId="7699" xr:uid="{00000000-0005-0000-0000-0000D4120000}"/>
    <cellStyle name="Normal 4 2 2 4 5 2 3" xfId="12363" xr:uid="{74ADCAB7-7FFB-4040-BB33-01D4671EBF4B}"/>
    <cellStyle name="Normal 4 2 2 4 5 3" xfId="5554" xr:uid="{00000000-0005-0000-0000-0000D5120000}"/>
    <cellStyle name="Normal 4 2 2 4 5 4" xfId="10218" xr:uid="{07F8EDDC-CCA4-422F-8704-669C8847EBCF}"/>
    <cellStyle name="Normal 4 2 2 4 6" xfId="1658" xr:uid="{00000000-0005-0000-0000-0000D6120000}"/>
    <cellStyle name="Normal 4 2 2 4 6 2" xfId="3888" xr:uid="{00000000-0005-0000-0000-0000D7120000}"/>
    <cellStyle name="Normal 4 2 2 4 6 2 2" xfId="8112" xr:uid="{00000000-0005-0000-0000-0000D8120000}"/>
    <cellStyle name="Normal 4 2 2 4 6 2 3" xfId="12776" xr:uid="{3A82180C-08EC-4144-9549-9EF4D6C2480D}"/>
    <cellStyle name="Normal 4 2 2 4 6 3" xfId="5967" xr:uid="{00000000-0005-0000-0000-0000D9120000}"/>
    <cellStyle name="Normal 4 2 2 4 6 4" xfId="10631" xr:uid="{5B93BA97-A4DC-4ADC-94BD-6FD6423AB40C}"/>
    <cellStyle name="Normal 4 2 2 4 7" xfId="2072" xr:uid="{00000000-0005-0000-0000-0000DA120000}"/>
    <cellStyle name="Normal 4 2 2 4 7 2" xfId="4301" xr:uid="{00000000-0005-0000-0000-0000DB120000}"/>
    <cellStyle name="Normal 4 2 2 4 7 2 2" xfId="8525" xr:uid="{00000000-0005-0000-0000-0000DC120000}"/>
    <cellStyle name="Normal 4 2 2 4 7 2 3" xfId="13189" xr:uid="{76F6F1A6-5F0F-400D-BFE5-38B605E961A8}"/>
    <cellStyle name="Normal 4 2 2 4 7 3" xfId="6380" xr:uid="{00000000-0005-0000-0000-0000DD120000}"/>
    <cellStyle name="Normal 4 2 2 4 7 4" xfId="11044" xr:uid="{0EA4D5D0-D3BC-4B38-A075-C1338222384A}"/>
    <cellStyle name="Normal 4 2 2 4 8" xfId="2508" xr:uid="{00000000-0005-0000-0000-0000DE120000}"/>
    <cellStyle name="Normal 4 2 2 4 8 2" xfId="6793" xr:uid="{00000000-0005-0000-0000-0000DF120000}"/>
    <cellStyle name="Normal 4 2 2 4 8 3" xfId="11457" xr:uid="{E82683B3-94A1-4CF1-8CA1-1FD1F6B24150}"/>
    <cellStyle name="Normal 4 2 2 4 9" xfId="4728" xr:uid="{00000000-0005-0000-0000-0000E0120000}"/>
    <cellStyle name="Normal 4 2 2 4 9 2" xfId="9385" xr:uid="{8144A19D-5106-48E6-ADEB-BF3FEA24C762}"/>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3" xfId="11955" xr:uid="{0CBBD906-F3B1-4E42-87A8-B056F1F53BF5}"/>
    <cellStyle name="Normal 4 2 2 5 2 2 3" xfId="5146" xr:uid="{00000000-0005-0000-0000-0000E6120000}"/>
    <cellStyle name="Normal 4 2 2 5 2 2 4" xfId="9809" xr:uid="{4783EF31-605D-4E14-89C9-F476E71A7501}"/>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3" xfId="12368" xr:uid="{7A3E3C15-5981-45B2-A9C1-43B2F06AE413}"/>
    <cellStyle name="Normal 4 2 2 5 2 3 3" xfId="5559" xr:uid="{00000000-0005-0000-0000-0000EA120000}"/>
    <cellStyle name="Normal 4 2 2 5 2 3 4" xfId="10223" xr:uid="{66265D65-CD67-4F30-9777-0EA645B8BACD}"/>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3" xfId="12781" xr:uid="{9F2A3BA1-798A-4180-9C8C-183AD3D225B7}"/>
    <cellStyle name="Normal 4 2 2 5 2 4 3" xfId="5972" xr:uid="{00000000-0005-0000-0000-0000EE120000}"/>
    <cellStyle name="Normal 4 2 2 5 2 4 4" xfId="10636" xr:uid="{B6610952-743B-4471-9D70-A2D1B66D7425}"/>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3" xfId="13194" xr:uid="{F7B02EB1-6741-4E63-A8DB-CEE50CE7C0B9}"/>
    <cellStyle name="Normal 4 2 2 5 2 5 3" xfId="6385" xr:uid="{00000000-0005-0000-0000-0000F2120000}"/>
    <cellStyle name="Normal 4 2 2 5 2 5 4" xfId="11049" xr:uid="{FD4FAF99-1E16-4483-B060-D3B14551558F}"/>
    <cellStyle name="Normal 4 2 2 5 2 6" xfId="2513" xr:uid="{00000000-0005-0000-0000-0000F3120000}"/>
    <cellStyle name="Normal 4 2 2 5 2 6 2" xfId="6798" xr:uid="{00000000-0005-0000-0000-0000F4120000}"/>
    <cellStyle name="Normal 4 2 2 5 2 6 3" xfId="11462" xr:uid="{C27824D6-51FE-4FAE-8C7E-F43AC70D14E7}"/>
    <cellStyle name="Normal 4 2 2 5 2 7" xfId="4733" xr:uid="{00000000-0005-0000-0000-0000F5120000}"/>
    <cellStyle name="Normal 4 2 2 5 2 7 2" xfId="9390" xr:uid="{D53836FA-3155-4720-91F3-332EC51E6229}"/>
    <cellStyle name="Normal 4 2 2 5 2 8" xfId="8943" xr:uid="{E235214E-5686-4249-864E-E52657620757}"/>
    <cellStyle name="Normal 4 2 2 5 3" xfId="829" xr:uid="{00000000-0005-0000-0000-0000F6120000}"/>
    <cellStyle name="Normal 4 2 2 5 3 2" xfId="3066" xr:uid="{00000000-0005-0000-0000-0000F7120000}"/>
    <cellStyle name="Normal 4 2 2 5 3 2 2" xfId="7290" xr:uid="{00000000-0005-0000-0000-0000F8120000}"/>
    <cellStyle name="Normal 4 2 2 5 3 2 3" xfId="11954" xr:uid="{66B674A1-C070-48CF-BAE5-4726A6E0B4CF}"/>
    <cellStyle name="Normal 4 2 2 5 3 3" xfId="5145" xr:uid="{00000000-0005-0000-0000-0000F9120000}"/>
    <cellStyle name="Normal 4 2 2 5 3 4" xfId="9808" xr:uid="{4FFC5328-D7BF-4180-93A0-074A9ABBCB46}"/>
    <cellStyle name="Normal 4 2 2 5 4" xfId="1249" xr:uid="{00000000-0005-0000-0000-0000FA120000}"/>
    <cellStyle name="Normal 4 2 2 5 4 2" xfId="3479" xr:uid="{00000000-0005-0000-0000-0000FB120000}"/>
    <cellStyle name="Normal 4 2 2 5 4 2 2" xfId="7703" xr:uid="{00000000-0005-0000-0000-0000FC120000}"/>
    <cellStyle name="Normal 4 2 2 5 4 2 3" xfId="12367" xr:uid="{1920A419-842D-44A7-BA88-B467F5CE8624}"/>
    <cellStyle name="Normal 4 2 2 5 4 3" xfId="5558" xr:uid="{00000000-0005-0000-0000-0000FD120000}"/>
    <cellStyle name="Normal 4 2 2 5 4 4" xfId="10222" xr:uid="{1425FDF1-28AC-40A1-90D6-0528BABB8F99}"/>
    <cellStyle name="Normal 4 2 2 5 5" xfId="1662" xr:uid="{00000000-0005-0000-0000-0000FE120000}"/>
    <cellStyle name="Normal 4 2 2 5 5 2" xfId="3892" xr:uid="{00000000-0005-0000-0000-0000FF120000}"/>
    <cellStyle name="Normal 4 2 2 5 5 2 2" xfId="8116" xr:uid="{00000000-0005-0000-0000-000000130000}"/>
    <cellStyle name="Normal 4 2 2 5 5 2 3" xfId="12780" xr:uid="{1DA9653F-CA6A-4281-B342-ACB4981B94DB}"/>
    <cellStyle name="Normal 4 2 2 5 5 3" xfId="5971" xr:uid="{00000000-0005-0000-0000-000001130000}"/>
    <cellStyle name="Normal 4 2 2 5 5 4" xfId="10635" xr:uid="{0BE88421-F85C-4E1B-8C0E-3AA88CFA0D25}"/>
    <cellStyle name="Normal 4 2 2 5 6" xfId="2076" xr:uid="{00000000-0005-0000-0000-000002130000}"/>
    <cellStyle name="Normal 4 2 2 5 6 2" xfId="4305" xr:uid="{00000000-0005-0000-0000-000003130000}"/>
    <cellStyle name="Normal 4 2 2 5 6 2 2" xfId="8529" xr:uid="{00000000-0005-0000-0000-000004130000}"/>
    <cellStyle name="Normal 4 2 2 5 6 2 3" xfId="13193" xr:uid="{E3983DBC-BB43-45F9-9396-7073A22F9C84}"/>
    <cellStyle name="Normal 4 2 2 5 6 3" xfId="6384" xr:uid="{00000000-0005-0000-0000-000005130000}"/>
    <cellStyle name="Normal 4 2 2 5 6 4" xfId="11048" xr:uid="{B1562E01-557F-42D5-AB4F-A1236918EF10}"/>
    <cellStyle name="Normal 4 2 2 5 7" xfId="2512" xr:uid="{00000000-0005-0000-0000-000006130000}"/>
    <cellStyle name="Normal 4 2 2 5 7 2" xfId="6797" xr:uid="{00000000-0005-0000-0000-000007130000}"/>
    <cellStyle name="Normal 4 2 2 5 7 3" xfId="11461" xr:uid="{846CD82B-A309-4B2B-8E17-169331BB88D0}"/>
    <cellStyle name="Normal 4 2 2 5 8" xfId="4732" xr:uid="{00000000-0005-0000-0000-000008130000}"/>
    <cellStyle name="Normal 4 2 2 5 8 2" xfId="9389" xr:uid="{9042E89C-D5C0-4DAA-BD48-1BA2CB80EBEF}"/>
    <cellStyle name="Normal 4 2 2 5 9" xfId="8942" xr:uid="{6D3E09FA-CC25-4F2B-9F25-71E9EF1E5961}"/>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3" xfId="11956" xr:uid="{49644AB3-A039-4BFA-ABDE-9C829A0F1CF0}"/>
    <cellStyle name="Normal 4 2 2 6 2 3" xfId="5147" xr:uid="{00000000-0005-0000-0000-00000D130000}"/>
    <cellStyle name="Normal 4 2 2 6 2 4" xfId="9810" xr:uid="{6D619B0E-7B68-4D7D-A2E5-A8ADC41AE1B2}"/>
    <cellStyle name="Normal 4 2 2 6 3" xfId="1251" xr:uid="{00000000-0005-0000-0000-00000E130000}"/>
    <cellStyle name="Normal 4 2 2 6 3 2" xfId="3481" xr:uid="{00000000-0005-0000-0000-00000F130000}"/>
    <cellStyle name="Normal 4 2 2 6 3 2 2" xfId="7705" xr:uid="{00000000-0005-0000-0000-000010130000}"/>
    <cellStyle name="Normal 4 2 2 6 3 2 3" xfId="12369" xr:uid="{D121029A-B7BA-42A9-A0A3-7AE1C581D038}"/>
    <cellStyle name="Normal 4 2 2 6 3 3" xfId="5560" xr:uid="{00000000-0005-0000-0000-000011130000}"/>
    <cellStyle name="Normal 4 2 2 6 3 4" xfId="10224" xr:uid="{DC695ED0-F85E-4862-AC46-7A0D5E17C437}"/>
    <cellStyle name="Normal 4 2 2 6 4" xfId="1664" xr:uid="{00000000-0005-0000-0000-000012130000}"/>
    <cellStyle name="Normal 4 2 2 6 4 2" xfId="3894" xr:uid="{00000000-0005-0000-0000-000013130000}"/>
    <cellStyle name="Normal 4 2 2 6 4 2 2" xfId="8118" xr:uid="{00000000-0005-0000-0000-000014130000}"/>
    <cellStyle name="Normal 4 2 2 6 4 2 3" xfId="12782" xr:uid="{CF7C98B4-86B5-4B92-B4F2-E1289CB4FB5B}"/>
    <cellStyle name="Normal 4 2 2 6 4 3" xfId="5973" xr:uid="{00000000-0005-0000-0000-000015130000}"/>
    <cellStyle name="Normal 4 2 2 6 4 4" xfId="10637" xr:uid="{879B6FC2-16D1-40B1-854D-8C8B0F641BF7}"/>
    <cellStyle name="Normal 4 2 2 6 5" xfId="2078" xr:uid="{00000000-0005-0000-0000-000016130000}"/>
    <cellStyle name="Normal 4 2 2 6 5 2" xfId="4307" xr:uid="{00000000-0005-0000-0000-000017130000}"/>
    <cellStyle name="Normal 4 2 2 6 5 2 2" xfId="8531" xr:uid="{00000000-0005-0000-0000-000018130000}"/>
    <cellStyle name="Normal 4 2 2 6 5 2 3" xfId="13195" xr:uid="{D13EF051-BA9F-47A4-A216-0AA5355DEE01}"/>
    <cellStyle name="Normal 4 2 2 6 5 3" xfId="6386" xr:uid="{00000000-0005-0000-0000-000019130000}"/>
    <cellStyle name="Normal 4 2 2 6 5 4" xfId="11050" xr:uid="{5B02725E-D157-4C08-A41E-E8D22BE90378}"/>
    <cellStyle name="Normal 4 2 2 6 6" xfId="2514" xr:uid="{00000000-0005-0000-0000-00001A130000}"/>
    <cellStyle name="Normal 4 2 2 6 6 2" xfId="6799" xr:uid="{00000000-0005-0000-0000-00001B130000}"/>
    <cellStyle name="Normal 4 2 2 6 6 3" xfId="11463" xr:uid="{D5DE0CC3-0C88-4EE5-8D6C-C9CD088405F1}"/>
    <cellStyle name="Normal 4 2 2 6 7" xfId="4734" xr:uid="{00000000-0005-0000-0000-00001C130000}"/>
    <cellStyle name="Normal 4 2 2 6 7 2" xfId="9391" xr:uid="{6714DF92-505E-4C5E-8624-62FF9942A804}"/>
    <cellStyle name="Normal 4 2 2 6 8" xfId="8944" xr:uid="{17487230-B7B5-4E77-B8B7-5B0029189507}"/>
    <cellStyle name="Normal 4 2 2 7" xfId="816" xr:uid="{00000000-0005-0000-0000-00001D130000}"/>
    <cellStyle name="Normal 4 2 2 7 2" xfId="3053" xr:uid="{00000000-0005-0000-0000-00001E130000}"/>
    <cellStyle name="Normal 4 2 2 7 2 2" xfId="7277" xr:uid="{00000000-0005-0000-0000-00001F130000}"/>
    <cellStyle name="Normal 4 2 2 7 2 3" xfId="11941" xr:uid="{6FCB9152-E19F-4486-9226-F69471AF4006}"/>
    <cellStyle name="Normal 4 2 2 7 3" xfId="5132" xr:uid="{00000000-0005-0000-0000-000020130000}"/>
    <cellStyle name="Normal 4 2 2 7 4" xfId="9795" xr:uid="{8AEADE7D-E925-46B2-A010-C9109A3AD6E8}"/>
    <cellStyle name="Normal 4 2 2 8" xfId="1236" xr:uid="{00000000-0005-0000-0000-000021130000}"/>
    <cellStyle name="Normal 4 2 2 8 2" xfId="3466" xr:uid="{00000000-0005-0000-0000-000022130000}"/>
    <cellStyle name="Normal 4 2 2 8 2 2" xfId="7690" xr:uid="{00000000-0005-0000-0000-000023130000}"/>
    <cellStyle name="Normal 4 2 2 8 2 3" xfId="12354" xr:uid="{E36BD6F7-23C9-4D75-8478-4F5DCFAB2154}"/>
    <cellStyle name="Normal 4 2 2 8 3" xfId="5545" xr:uid="{00000000-0005-0000-0000-000024130000}"/>
    <cellStyle name="Normal 4 2 2 8 4" xfId="10209" xr:uid="{E637D636-96EC-48C4-81C4-2E89920EB741}"/>
    <cellStyle name="Normal 4 2 2 9" xfId="1649" xr:uid="{00000000-0005-0000-0000-000025130000}"/>
    <cellStyle name="Normal 4 2 2 9 2" xfId="3879" xr:uid="{00000000-0005-0000-0000-000026130000}"/>
    <cellStyle name="Normal 4 2 2 9 2 2" xfId="8103" xr:uid="{00000000-0005-0000-0000-000027130000}"/>
    <cellStyle name="Normal 4 2 2 9 2 3" xfId="12767" xr:uid="{F5515744-BCC1-4968-ACAE-ABCE71288752}"/>
    <cellStyle name="Normal 4 2 2 9 3" xfId="5958" xr:uid="{00000000-0005-0000-0000-000028130000}"/>
    <cellStyle name="Normal 4 2 2 9 4" xfId="10622" xr:uid="{0347AE8E-AA9E-45C4-AE44-E7D5651FC629}"/>
    <cellStyle name="Normal 4 2 3" xfId="354" xr:uid="{00000000-0005-0000-0000-000029130000}"/>
    <cellStyle name="Normal 4 2 4" xfId="355" xr:uid="{00000000-0005-0000-0000-00002A130000}"/>
    <cellStyle name="Normal 4 2 4 10" xfId="4735" xr:uid="{00000000-0005-0000-0000-00002B130000}"/>
    <cellStyle name="Normal 4 2 4 10 2" xfId="9392" xr:uid="{D6D88BF5-BB68-45DD-9A56-578344AD1809}"/>
    <cellStyle name="Normal 4 2 4 11" xfId="8945" xr:uid="{CB302F4B-3609-49C6-88FA-9607642F73DA}"/>
    <cellStyle name="Normal 4 2 4 2" xfId="356" xr:uid="{00000000-0005-0000-0000-00002C130000}"/>
    <cellStyle name="Normal 4 2 4 2 10" xfId="8946" xr:uid="{B433E957-7947-4CEA-B557-5196C287F519}"/>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3" xfId="11960" xr:uid="{B19AEF75-4EDA-497F-BFAB-C862B3F287C3}"/>
    <cellStyle name="Normal 4 2 4 2 2 2 2 3" xfId="5151" xr:uid="{00000000-0005-0000-0000-000032130000}"/>
    <cellStyle name="Normal 4 2 4 2 2 2 2 4" xfId="9814" xr:uid="{04FEB371-C6C2-49B9-AE90-BBF3800D05E1}"/>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3" xfId="12373" xr:uid="{318469B8-7E4F-4901-9E54-BCAA4726DD98}"/>
    <cellStyle name="Normal 4 2 4 2 2 2 3 3" xfId="5564" xr:uid="{00000000-0005-0000-0000-000036130000}"/>
    <cellStyle name="Normal 4 2 4 2 2 2 3 4" xfId="10228" xr:uid="{0BABD21F-D334-4DAA-9DFC-43CCF9879149}"/>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3" xfId="12786" xr:uid="{B0B0CE8C-DC89-4E13-AC6C-3985163F8014}"/>
    <cellStyle name="Normal 4 2 4 2 2 2 4 3" xfId="5977" xr:uid="{00000000-0005-0000-0000-00003A130000}"/>
    <cellStyle name="Normal 4 2 4 2 2 2 4 4" xfId="10641" xr:uid="{E270E522-E9A9-4311-A1CC-6BBA12608B52}"/>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3" xfId="13199" xr:uid="{C88E4156-0389-4AD4-8471-686A9E0A8680}"/>
    <cellStyle name="Normal 4 2 4 2 2 2 5 3" xfId="6390" xr:uid="{00000000-0005-0000-0000-00003E130000}"/>
    <cellStyle name="Normal 4 2 4 2 2 2 5 4" xfId="11054" xr:uid="{B1FACEC1-0F85-4A29-8D08-968134E922B0}"/>
    <cellStyle name="Normal 4 2 4 2 2 2 6" xfId="2518" xr:uid="{00000000-0005-0000-0000-00003F130000}"/>
    <cellStyle name="Normal 4 2 4 2 2 2 6 2" xfId="6803" xr:uid="{00000000-0005-0000-0000-000040130000}"/>
    <cellStyle name="Normal 4 2 4 2 2 2 6 3" xfId="11467" xr:uid="{7EEE614B-F978-4DE5-96C8-5578DC7063BF}"/>
    <cellStyle name="Normal 4 2 4 2 2 2 7" xfId="4738" xr:uid="{00000000-0005-0000-0000-000041130000}"/>
    <cellStyle name="Normal 4 2 4 2 2 2 7 2" xfId="9395" xr:uid="{0922FACA-7D56-4CF3-BB16-1705FB2CA93C}"/>
    <cellStyle name="Normal 4 2 4 2 2 2 8" xfId="8948" xr:uid="{BDF53096-9794-4645-89B8-B9D3135C72C8}"/>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3" xfId="11959" xr:uid="{C5FA2623-7316-42AD-9823-BE8CDDEC2D36}"/>
    <cellStyle name="Normal 4 2 4 2 2 3 3" xfId="5150" xr:uid="{00000000-0005-0000-0000-000045130000}"/>
    <cellStyle name="Normal 4 2 4 2 2 3 4" xfId="9813" xr:uid="{230E8DD5-27CD-4C89-B273-DF3A15B26741}"/>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3" xfId="12372" xr:uid="{C2082F3F-7B37-4AB9-800A-ACAD9D62E7E1}"/>
    <cellStyle name="Normal 4 2 4 2 2 4 3" xfId="5563" xr:uid="{00000000-0005-0000-0000-000049130000}"/>
    <cellStyle name="Normal 4 2 4 2 2 4 4" xfId="10227" xr:uid="{DE0B00E7-326E-4560-8E4E-23179FEBD77A}"/>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3" xfId="12785" xr:uid="{62F0372B-7F01-45E3-8A57-90504784456F}"/>
    <cellStyle name="Normal 4 2 4 2 2 5 3" xfId="5976" xr:uid="{00000000-0005-0000-0000-00004D130000}"/>
    <cellStyle name="Normal 4 2 4 2 2 5 4" xfId="10640" xr:uid="{8CE2C9A8-B5E7-477A-B035-963F1F653491}"/>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3" xfId="13198" xr:uid="{C71B914C-95B8-4003-A442-75CE7A05A546}"/>
    <cellStyle name="Normal 4 2 4 2 2 6 3" xfId="6389" xr:uid="{00000000-0005-0000-0000-000051130000}"/>
    <cellStyle name="Normal 4 2 4 2 2 6 4" xfId="11053" xr:uid="{36766E02-B726-41E7-B1FE-087FE12C18F2}"/>
    <cellStyle name="Normal 4 2 4 2 2 7" xfId="2517" xr:uid="{00000000-0005-0000-0000-000052130000}"/>
    <cellStyle name="Normal 4 2 4 2 2 7 2" xfId="6802" xr:uid="{00000000-0005-0000-0000-000053130000}"/>
    <cellStyle name="Normal 4 2 4 2 2 7 3" xfId="11466" xr:uid="{DE1A2642-0E2E-4E34-860F-621CA106DD03}"/>
    <cellStyle name="Normal 4 2 4 2 2 8" xfId="4737" xr:uid="{00000000-0005-0000-0000-000054130000}"/>
    <cellStyle name="Normal 4 2 4 2 2 8 2" xfId="9394" xr:uid="{7A6CCC39-0FDC-4967-85E5-A36BBA96C3AC}"/>
    <cellStyle name="Normal 4 2 4 2 2 9" xfId="8947" xr:uid="{82763BC0-B862-4C8A-926E-4D30639A5CE2}"/>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3" xfId="11961" xr:uid="{3CA9A3B4-C03E-4B3C-BCB2-12560F561596}"/>
    <cellStyle name="Normal 4 2 4 2 3 2 3" xfId="5152" xr:uid="{00000000-0005-0000-0000-000059130000}"/>
    <cellStyle name="Normal 4 2 4 2 3 2 4" xfId="9815" xr:uid="{3C9E8E73-55BD-4989-8C99-0AD8B67E0198}"/>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3" xfId="12374" xr:uid="{EF74A5F9-55B5-4A5B-8C61-16F12E8EB79F}"/>
    <cellStyle name="Normal 4 2 4 2 3 3 3" xfId="5565" xr:uid="{00000000-0005-0000-0000-00005D130000}"/>
    <cellStyle name="Normal 4 2 4 2 3 3 4" xfId="10229" xr:uid="{77604448-123A-474B-991B-B4A7B9C1BC8A}"/>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3" xfId="12787" xr:uid="{AEC10930-F0E4-4851-B2B2-69D1212564FE}"/>
    <cellStyle name="Normal 4 2 4 2 3 4 3" xfId="5978" xr:uid="{00000000-0005-0000-0000-000061130000}"/>
    <cellStyle name="Normal 4 2 4 2 3 4 4" xfId="10642" xr:uid="{A46C2A59-BA54-42EE-B0BD-6BAC5DE8768C}"/>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3" xfId="13200" xr:uid="{5488FAD8-6AC9-41B4-A4C7-79C522DD7886}"/>
    <cellStyle name="Normal 4 2 4 2 3 5 3" xfId="6391" xr:uid="{00000000-0005-0000-0000-000065130000}"/>
    <cellStyle name="Normal 4 2 4 2 3 5 4" xfId="11055" xr:uid="{E6058D98-F408-4A0D-88B6-CD2A342FDEC4}"/>
    <cellStyle name="Normal 4 2 4 2 3 6" xfId="2519" xr:uid="{00000000-0005-0000-0000-000066130000}"/>
    <cellStyle name="Normal 4 2 4 2 3 6 2" xfId="6804" xr:uid="{00000000-0005-0000-0000-000067130000}"/>
    <cellStyle name="Normal 4 2 4 2 3 6 3" xfId="11468" xr:uid="{6E4ED2F7-6915-40EE-8420-2203AC7F1881}"/>
    <cellStyle name="Normal 4 2 4 2 3 7" xfId="4739" xr:uid="{00000000-0005-0000-0000-000068130000}"/>
    <cellStyle name="Normal 4 2 4 2 3 7 2" xfId="9396" xr:uid="{D2413A3B-B588-4A46-A7C6-3C438003C213}"/>
    <cellStyle name="Normal 4 2 4 2 3 8" xfId="8949" xr:uid="{ACD91811-5B07-489A-A5EE-C72869C8A42E}"/>
    <cellStyle name="Normal 4 2 4 2 4" xfId="833" xr:uid="{00000000-0005-0000-0000-000069130000}"/>
    <cellStyle name="Normal 4 2 4 2 4 2" xfId="3070" xr:uid="{00000000-0005-0000-0000-00006A130000}"/>
    <cellStyle name="Normal 4 2 4 2 4 2 2" xfId="7294" xr:uid="{00000000-0005-0000-0000-00006B130000}"/>
    <cellStyle name="Normal 4 2 4 2 4 2 3" xfId="11958" xr:uid="{464B00FD-4DD9-48FD-BA40-964717F8DF1C}"/>
    <cellStyle name="Normal 4 2 4 2 4 3" xfId="5149" xr:uid="{00000000-0005-0000-0000-00006C130000}"/>
    <cellStyle name="Normal 4 2 4 2 4 4" xfId="9812" xr:uid="{E655A109-8FBA-49DE-ADEC-18AFF2A19307}"/>
    <cellStyle name="Normal 4 2 4 2 5" xfId="1253" xr:uid="{00000000-0005-0000-0000-00006D130000}"/>
    <cellStyle name="Normal 4 2 4 2 5 2" xfId="3483" xr:uid="{00000000-0005-0000-0000-00006E130000}"/>
    <cellStyle name="Normal 4 2 4 2 5 2 2" xfId="7707" xr:uid="{00000000-0005-0000-0000-00006F130000}"/>
    <cellStyle name="Normal 4 2 4 2 5 2 3" xfId="12371" xr:uid="{D51F5B11-BFFF-4A58-BA87-3C998F13D0FF}"/>
    <cellStyle name="Normal 4 2 4 2 5 3" xfId="5562" xr:uid="{00000000-0005-0000-0000-000070130000}"/>
    <cellStyle name="Normal 4 2 4 2 5 4" xfId="10226" xr:uid="{98D11FCE-D092-4A75-A161-5FE6504C73A3}"/>
    <cellStyle name="Normal 4 2 4 2 6" xfId="1666" xr:uid="{00000000-0005-0000-0000-000071130000}"/>
    <cellStyle name="Normal 4 2 4 2 6 2" xfId="3896" xr:uid="{00000000-0005-0000-0000-000072130000}"/>
    <cellStyle name="Normal 4 2 4 2 6 2 2" xfId="8120" xr:uid="{00000000-0005-0000-0000-000073130000}"/>
    <cellStyle name="Normal 4 2 4 2 6 2 3" xfId="12784" xr:uid="{7FC0B71C-9910-432D-9D0A-537BAF21C66D}"/>
    <cellStyle name="Normal 4 2 4 2 6 3" xfId="5975" xr:uid="{00000000-0005-0000-0000-000074130000}"/>
    <cellStyle name="Normal 4 2 4 2 6 4" xfId="10639" xr:uid="{07B9D998-0FCA-4105-9362-A2355AE5AA44}"/>
    <cellStyle name="Normal 4 2 4 2 7" xfId="2080" xr:uid="{00000000-0005-0000-0000-000075130000}"/>
    <cellStyle name="Normal 4 2 4 2 7 2" xfId="4309" xr:uid="{00000000-0005-0000-0000-000076130000}"/>
    <cellStyle name="Normal 4 2 4 2 7 2 2" xfId="8533" xr:uid="{00000000-0005-0000-0000-000077130000}"/>
    <cellStyle name="Normal 4 2 4 2 7 2 3" xfId="13197" xr:uid="{E33415B8-4D57-47A8-9999-C9DACB1DEDA4}"/>
    <cellStyle name="Normal 4 2 4 2 7 3" xfId="6388" xr:uid="{00000000-0005-0000-0000-000078130000}"/>
    <cellStyle name="Normal 4 2 4 2 7 4" xfId="11052" xr:uid="{EFFB32FC-73CE-4870-9720-70857AF87F17}"/>
    <cellStyle name="Normal 4 2 4 2 8" xfId="2516" xr:uid="{00000000-0005-0000-0000-000079130000}"/>
    <cellStyle name="Normal 4 2 4 2 8 2" xfId="6801" xr:uid="{00000000-0005-0000-0000-00007A130000}"/>
    <cellStyle name="Normal 4 2 4 2 8 3" xfId="11465" xr:uid="{4421AC35-6509-4A6F-8962-03B4CB4E0DA2}"/>
    <cellStyle name="Normal 4 2 4 2 9" xfId="4736" xr:uid="{00000000-0005-0000-0000-00007B130000}"/>
    <cellStyle name="Normal 4 2 4 2 9 2" xfId="9393" xr:uid="{6BEBF1F3-6462-42E2-8C9D-6A422AD12547}"/>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3" xfId="11963" xr:uid="{E88EBEF8-6046-4534-A9D6-84D29AAB56D6}"/>
    <cellStyle name="Normal 4 2 4 3 2 2 3" xfId="5154" xr:uid="{00000000-0005-0000-0000-000081130000}"/>
    <cellStyle name="Normal 4 2 4 3 2 2 4" xfId="9817" xr:uid="{52B11648-7540-4039-AEFA-634234949F4C}"/>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3" xfId="12376" xr:uid="{1E89324A-2380-419C-BF7E-E1EF8C1D7B52}"/>
    <cellStyle name="Normal 4 2 4 3 2 3 3" xfId="5567" xr:uid="{00000000-0005-0000-0000-000085130000}"/>
    <cellStyle name="Normal 4 2 4 3 2 3 4" xfId="10231" xr:uid="{94CC54BB-24B5-4FE5-BB22-2E7BF1E8BF08}"/>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3" xfId="12789" xr:uid="{29C41878-227D-48E9-BDC7-2B0B9EEF5E72}"/>
    <cellStyle name="Normal 4 2 4 3 2 4 3" xfId="5980" xr:uid="{00000000-0005-0000-0000-000089130000}"/>
    <cellStyle name="Normal 4 2 4 3 2 4 4" xfId="10644" xr:uid="{0DF4285D-97E2-4CC3-809B-CA95FC3020B7}"/>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3" xfId="13202" xr:uid="{5E091706-B6B2-48FF-ABC0-6B0A07BEE7DF}"/>
    <cellStyle name="Normal 4 2 4 3 2 5 3" xfId="6393" xr:uid="{00000000-0005-0000-0000-00008D130000}"/>
    <cellStyle name="Normal 4 2 4 3 2 5 4" xfId="11057" xr:uid="{E8567D75-7EFC-4F36-8258-FDBA7598DBFD}"/>
    <cellStyle name="Normal 4 2 4 3 2 6" xfId="2521" xr:uid="{00000000-0005-0000-0000-00008E130000}"/>
    <cellStyle name="Normal 4 2 4 3 2 6 2" xfId="6806" xr:uid="{00000000-0005-0000-0000-00008F130000}"/>
    <cellStyle name="Normal 4 2 4 3 2 6 3" xfId="11470" xr:uid="{CCEBA7EC-0DE1-435A-B102-6E3B2F4D1A78}"/>
    <cellStyle name="Normal 4 2 4 3 2 7" xfId="4741" xr:uid="{00000000-0005-0000-0000-000090130000}"/>
    <cellStyle name="Normal 4 2 4 3 2 7 2" xfId="9398" xr:uid="{DC326866-DEB5-4E6D-93BE-7839F52FC6FB}"/>
    <cellStyle name="Normal 4 2 4 3 2 8" xfId="8951" xr:uid="{9D6E14CE-101D-4D3C-B294-5B7860A9451E}"/>
    <cellStyle name="Normal 4 2 4 3 3" xfId="837" xr:uid="{00000000-0005-0000-0000-000091130000}"/>
    <cellStyle name="Normal 4 2 4 3 3 2" xfId="3074" xr:uid="{00000000-0005-0000-0000-000092130000}"/>
    <cellStyle name="Normal 4 2 4 3 3 2 2" xfId="7298" xr:uid="{00000000-0005-0000-0000-000093130000}"/>
    <cellStyle name="Normal 4 2 4 3 3 2 3" xfId="11962" xr:uid="{8B1BD824-3FEA-4589-A8D2-E7B1E3EEAB06}"/>
    <cellStyle name="Normal 4 2 4 3 3 3" xfId="5153" xr:uid="{00000000-0005-0000-0000-000094130000}"/>
    <cellStyle name="Normal 4 2 4 3 3 4" xfId="9816" xr:uid="{CE48B932-56AD-4A3E-9830-DBFC61FE92D1}"/>
    <cellStyle name="Normal 4 2 4 3 4" xfId="1257" xr:uid="{00000000-0005-0000-0000-000095130000}"/>
    <cellStyle name="Normal 4 2 4 3 4 2" xfId="3487" xr:uid="{00000000-0005-0000-0000-000096130000}"/>
    <cellStyle name="Normal 4 2 4 3 4 2 2" xfId="7711" xr:uid="{00000000-0005-0000-0000-000097130000}"/>
    <cellStyle name="Normal 4 2 4 3 4 2 3" xfId="12375" xr:uid="{16D39BD5-40FE-405B-B1D6-1982524E328F}"/>
    <cellStyle name="Normal 4 2 4 3 4 3" xfId="5566" xr:uid="{00000000-0005-0000-0000-000098130000}"/>
    <cellStyle name="Normal 4 2 4 3 4 4" xfId="10230" xr:uid="{F105F928-4E53-413C-AF6C-E6F55E0BB13A}"/>
    <cellStyle name="Normal 4 2 4 3 5" xfId="1670" xr:uid="{00000000-0005-0000-0000-000099130000}"/>
    <cellStyle name="Normal 4 2 4 3 5 2" xfId="3900" xr:uid="{00000000-0005-0000-0000-00009A130000}"/>
    <cellStyle name="Normal 4 2 4 3 5 2 2" xfId="8124" xr:uid="{00000000-0005-0000-0000-00009B130000}"/>
    <cellStyle name="Normal 4 2 4 3 5 2 3" xfId="12788" xr:uid="{0102FB06-B30E-451C-B348-2717B7644042}"/>
    <cellStyle name="Normal 4 2 4 3 5 3" xfId="5979" xr:uid="{00000000-0005-0000-0000-00009C130000}"/>
    <cellStyle name="Normal 4 2 4 3 5 4" xfId="10643" xr:uid="{A5587947-CEFC-400B-B35E-E149CCFA2EEE}"/>
    <cellStyle name="Normal 4 2 4 3 6" xfId="2084" xr:uid="{00000000-0005-0000-0000-00009D130000}"/>
    <cellStyle name="Normal 4 2 4 3 6 2" xfId="4313" xr:uid="{00000000-0005-0000-0000-00009E130000}"/>
    <cellStyle name="Normal 4 2 4 3 6 2 2" xfId="8537" xr:uid="{00000000-0005-0000-0000-00009F130000}"/>
    <cellStyle name="Normal 4 2 4 3 6 2 3" xfId="13201" xr:uid="{3C6539BA-5BD5-44B6-9FF2-AAF2FC02D9FC}"/>
    <cellStyle name="Normal 4 2 4 3 6 3" xfId="6392" xr:uid="{00000000-0005-0000-0000-0000A0130000}"/>
    <cellStyle name="Normal 4 2 4 3 6 4" xfId="11056" xr:uid="{D74D876D-93C4-445E-9D61-4A3C62AED2E0}"/>
    <cellStyle name="Normal 4 2 4 3 7" xfId="2520" xr:uid="{00000000-0005-0000-0000-0000A1130000}"/>
    <cellStyle name="Normal 4 2 4 3 7 2" xfId="6805" xr:uid="{00000000-0005-0000-0000-0000A2130000}"/>
    <cellStyle name="Normal 4 2 4 3 7 3" xfId="11469" xr:uid="{69028843-16E1-44F7-A070-DCB0026AB653}"/>
    <cellStyle name="Normal 4 2 4 3 8" xfId="4740" xr:uid="{00000000-0005-0000-0000-0000A3130000}"/>
    <cellStyle name="Normal 4 2 4 3 8 2" xfId="9397" xr:uid="{C2FF33E3-DA7B-4510-AAF8-273D74BD5970}"/>
    <cellStyle name="Normal 4 2 4 3 9" xfId="8950" xr:uid="{B7551554-E636-4EFB-8C8F-E11983DCD51A}"/>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3" xfId="11964" xr:uid="{892EC808-40D3-407E-B877-F37E4F2CED3C}"/>
    <cellStyle name="Normal 4 2 4 4 2 3" xfId="5155" xr:uid="{00000000-0005-0000-0000-0000A8130000}"/>
    <cellStyle name="Normal 4 2 4 4 2 4" xfId="9818" xr:uid="{0DA95F01-CFCE-4685-800F-54231FFB6A7A}"/>
    <cellStyle name="Normal 4 2 4 4 3" xfId="1259" xr:uid="{00000000-0005-0000-0000-0000A9130000}"/>
    <cellStyle name="Normal 4 2 4 4 3 2" xfId="3489" xr:uid="{00000000-0005-0000-0000-0000AA130000}"/>
    <cellStyle name="Normal 4 2 4 4 3 2 2" xfId="7713" xr:uid="{00000000-0005-0000-0000-0000AB130000}"/>
    <cellStyle name="Normal 4 2 4 4 3 2 3" xfId="12377" xr:uid="{41F15C8E-6400-4D1A-88F8-250726092486}"/>
    <cellStyle name="Normal 4 2 4 4 3 3" xfId="5568" xr:uid="{00000000-0005-0000-0000-0000AC130000}"/>
    <cellStyle name="Normal 4 2 4 4 3 4" xfId="10232" xr:uid="{E3B08B1C-29E1-4E38-8466-3DB0FA45BAEE}"/>
    <cellStyle name="Normal 4 2 4 4 4" xfId="1672" xr:uid="{00000000-0005-0000-0000-0000AD130000}"/>
    <cellStyle name="Normal 4 2 4 4 4 2" xfId="3902" xr:uid="{00000000-0005-0000-0000-0000AE130000}"/>
    <cellStyle name="Normal 4 2 4 4 4 2 2" xfId="8126" xr:uid="{00000000-0005-0000-0000-0000AF130000}"/>
    <cellStyle name="Normal 4 2 4 4 4 2 3" xfId="12790" xr:uid="{C38B71AF-92B2-42D4-9035-52862986A55C}"/>
    <cellStyle name="Normal 4 2 4 4 4 3" xfId="5981" xr:uid="{00000000-0005-0000-0000-0000B0130000}"/>
    <cellStyle name="Normal 4 2 4 4 4 4" xfId="10645" xr:uid="{47935926-502F-46CB-8B3A-FAFAF8D719B2}"/>
    <cellStyle name="Normal 4 2 4 4 5" xfId="2086" xr:uid="{00000000-0005-0000-0000-0000B1130000}"/>
    <cellStyle name="Normal 4 2 4 4 5 2" xfId="4315" xr:uid="{00000000-0005-0000-0000-0000B2130000}"/>
    <cellStyle name="Normal 4 2 4 4 5 2 2" xfId="8539" xr:uid="{00000000-0005-0000-0000-0000B3130000}"/>
    <cellStyle name="Normal 4 2 4 4 5 2 3" xfId="13203" xr:uid="{EB357BB8-8C6F-402C-A335-CFE94E6A6C8A}"/>
    <cellStyle name="Normal 4 2 4 4 5 3" xfId="6394" xr:uid="{00000000-0005-0000-0000-0000B4130000}"/>
    <cellStyle name="Normal 4 2 4 4 5 4" xfId="11058" xr:uid="{5FABB92F-D8F1-49BB-9F7D-C2728E53349C}"/>
    <cellStyle name="Normal 4 2 4 4 6" xfId="2522" xr:uid="{00000000-0005-0000-0000-0000B5130000}"/>
    <cellStyle name="Normal 4 2 4 4 6 2" xfId="6807" xr:uid="{00000000-0005-0000-0000-0000B6130000}"/>
    <cellStyle name="Normal 4 2 4 4 6 3" xfId="11471" xr:uid="{E92D72E1-9F33-44D1-AE99-CBEBA4B9CB38}"/>
    <cellStyle name="Normal 4 2 4 4 7" xfId="4742" xr:uid="{00000000-0005-0000-0000-0000B7130000}"/>
    <cellStyle name="Normal 4 2 4 4 7 2" xfId="9399" xr:uid="{C0665AB6-407D-4250-BADA-BF52EA08F3AA}"/>
    <cellStyle name="Normal 4 2 4 4 8" xfId="8952" xr:uid="{91573F6D-7AC4-4237-8C03-C5C5DFDC57C6}"/>
    <cellStyle name="Normal 4 2 4 5" xfId="832" xr:uid="{00000000-0005-0000-0000-0000B8130000}"/>
    <cellStyle name="Normal 4 2 4 5 2" xfId="3069" xr:uid="{00000000-0005-0000-0000-0000B9130000}"/>
    <cellStyle name="Normal 4 2 4 5 2 2" xfId="7293" xr:uid="{00000000-0005-0000-0000-0000BA130000}"/>
    <cellStyle name="Normal 4 2 4 5 2 3" xfId="11957" xr:uid="{70DFD025-D6A6-4E6B-B1E9-9D9DA77EC2B0}"/>
    <cellStyle name="Normal 4 2 4 5 3" xfId="5148" xr:uid="{00000000-0005-0000-0000-0000BB130000}"/>
    <cellStyle name="Normal 4 2 4 5 4" xfId="9811" xr:uid="{8E81DB52-004C-4474-A96D-FDD6822E15A4}"/>
    <cellStyle name="Normal 4 2 4 6" xfId="1252" xr:uid="{00000000-0005-0000-0000-0000BC130000}"/>
    <cellStyle name="Normal 4 2 4 6 2" xfId="3482" xr:uid="{00000000-0005-0000-0000-0000BD130000}"/>
    <cellStyle name="Normal 4 2 4 6 2 2" xfId="7706" xr:uid="{00000000-0005-0000-0000-0000BE130000}"/>
    <cellStyle name="Normal 4 2 4 6 2 3" xfId="12370" xr:uid="{A05F32C8-858E-4AC0-B31C-C2F7A06EF65D}"/>
    <cellStyle name="Normal 4 2 4 6 3" xfId="5561" xr:uid="{00000000-0005-0000-0000-0000BF130000}"/>
    <cellStyle name="Normal 4 2 4 6 4" xfId="10225" xr:uid="{E001CF38-0584-4D37-B60E-6F038B4806A6}"/>
    <cellStyle name="Normal 4 2 4 7" xfId="1665" xr:uid="{00000000-0005-0000-0000-0000C0130000}"/>
    <cellStyle name="Normal 4 2 4 7 2" xfId="3895" xr:uid="{00000000-0005-0000-0000-0000C1130000}"/>
    <cellStyle name="Normal 4 2 4 7 2 2" xfId="8119" xr:uid="{00000000-0005-0000-0000-0000C2130000}"/>
    <cellStyle name="Normal 4 2 4 7 2 3" xfId="12783" xr:uid="{2448331D-C771-469E-9225-1D19B9E3EFDB}"/>
    <cellStyle name="Normal 4 2 4 7 3" xfId="5974" xr:uid="{00000000-0005-0000-0000-0000C3130000}"/>
    <cellStyle name="Normal 4 2 4 7 4" xfId="10638" xr:uid="{5C04F566-5F0A-4B3B-ABD7-346E1F0E1AA2}"/>
    <cellStyle name="Normal 4 2 4 8" xfId="2079" xr:uid="{00000000-0005-0000-0000-0000C4130000}"/>
    <cellStyle name="Normal 4 2 4 8 2" xfId="4308" xr:uid="{00000000-0005-0000-0000-0000C5130000}"/>
    <cellStyle name="Normal 4 2 4 8 2 2" xfId="8532" xr:uid="{00000000-0005-0000-0000-0000C6130000}"/>
    <cellStyle name="Normal 4 2 4 8 2 3" xfId="13196" xr:uid="{700C3E87-6BC4-420E-A8E0-4BB971197908}"/>
    <cellStyle name="Normal 4 2 4 8 3" xfId="6387" xr:uid="{00000000-0005-0000-0000-0000C7130000}"/>
    <cellStyle name="Normal 4 2 4 8 4" xfId="11051" xr:uid="{A6C96E3C-E740-42D6-9185-5AF4850EAD8C}"/>
    <cellStyle name="Normal 4 2 4 9" xfId="2515" xr:uid="{00000000-0005-0000-0000-0000C8130000}"/>
    <cellStyle name="Normal 4 2 4 9 2" xfId="6800" xr:uid="{00000000-0005-0000-0000-0000C9130000}"/>
    <cellStyle name="Normal 4 2 4 9 3" xfId="11464" xr:uid="{69E0731D-F0C5-4E26-A974-51C0B06E941B}"/>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3" xfId="11966" xr:uid="{A37AAD0B-BCB7-498B-B50B-2688033284D0}"/>
    <cellStyle name="Normal 4 2 5 2 2 3" xfId="5157" xr:uid="{00000000-0005-0000-0000-0000CF130000}"/>
    <cellStyle name="Normal 4 2 5 2 2 4" xfId="9820" xr:uid="{9C33E46E-C0CF-45A5-B3DC-C37C9FC845E6}"/>
    <cellStyle name="Normal 4 2 5 2 3" xfId="1261" xr:uid="{00000000-0005-0000-0000-0000D0130000}"/>
    <cellStyle name="Normal 4 2 5 2 3 2" xfId="3491" xr:uid="{00000000-0005-0000-0000-0000D1130000}"/>
    <cellStyle name="Normal 4 2 5 2 3 2 2" xfId="7715" xr:uid="{00000000-0005-0000-0000-0000D2130000}"/>
    <cellStyle name="Normal 4 2 5 2 3 2 3" xfId="12379" xr:uid="{B3E87532-19EA-4451-8AE9-A96A51475845}"/>
    <cellStyle name="Normal 4 2 5 2 3 3" xfId="5570" xr:uid="{00000000-0005-0000-0000-0000D3130000}"/>
    <cellStyle name="Normal 4 2 5 2 3 4" xfId="10234" xr:uid="{1705AAA9-0A7D-4FB7-BD12-2DC4AD244659}"/>
    <cellStyle name="Normal 4 2 5 2 4" xfId="1674" xr:uid="{00000000-0005-0000-0000-0000D4130000}"/>
    <cellStyle name="Normal 4 2 5 2 4 2" xfId="3904" xr:uid="{00000000-0005-0000-0000-0000D5130000}"/>
    <cellStyle name="Normal 4 2 5 2 4 2 2" xfId="8128" xr:uid="{00000000-0005-0000-0000-0000D6130000}"/>
    <cellStyle name="Normal 4 2 5 2 4 2 3" xfId="12792" xr:uid="{9BC58632-EE5A-4650-BE4F-35CE66DAE9B3}"/>
    <cellStyle name="Normal 4 2 5 2 4 3" xfId="5983" xr:uid="{00000000-0005-0000-0000-0000D7130000}"/>
    <cellStyle name="Normal 4 2 5 2 4 4" xfId="10647" xr:uid="{12444C26-F345-4689-A9F6-E6B850B492E7}"/>
    <cellStyle name="Normal 4 2 5 2 5" xfId="2088" xr:uid="{00000000-0005-0000-0000-0000D8130000}"/>
    <cellStyle name="Normal 4 2 5 2 5 2" xfId="4317" xr:uid="{00000000-0005-0000-0000-0000D9130000}"/>
    <cellStyle name="Normal 4 2 5 2 5 2 2" xfId="8541" xr:uid="{00000000-0005-0000-0000-0000DA130000}"/>
    <cellStyle name="Normal 4 2 5 2 5 2 3" xfId="13205" xr:uid="{572164D1-83B8-4E46-8D42-CD2A56BDD1AA}"/>
    <cellStyle name="Normal 4 2 5 2 5 3" xfId="6396" xr:uid="{00000000-0005-0000-0000-0000DB130000}"/>
    <cellStyle name="Normal 4 2 5 2 5 4" xfId="11060" xr:uid="{675C79BB-95A4-47F8-87DB-44E80170921B}"/>
    <cellStyle name="Normal 4 2 5 2 6" xfId="2524" xr:uid="{00000000-0005-0000-0000-0000DC130000}"/>
    <cellStyle name="Normal 4 2 5 2 6 2" xfId="6809" xr:uid="{00000000-0005-0000-0000-0000DD130000}"/>
    <cellStyle name="Normal 4 2 5 2 6 3" xfId="11473" xr:uid="{831F6A5D-D665-4997-95A1-03FF64245C51}"/>
    <cellStyle name="Normal 4 2 5 2 7" xfId="4744" xr:uid="{00000000-0005-0000-0000-0000DE130000}"/>
    <cellStyle name="Normal 4 2 5 2 7 2" xfId="9401" xr:uid="{33411016-B1A4-4F82-9C80-B75AA5DC92FA}"/>
    <cellStyle name="Normal 4 2 5 2 8" xfId="8954" xr:uid="{C0344C9E-DD56-4129-95CA-E7F42C1AE0C9}"/>
    <cellStyle name="Normal 4 2 5 3" xfId="840" xr:uid="{00000000-0005-0000-0000-0000DF130000}"/>
    <cellStyle name="Normal 4 2 5 3 2" xfId="3077" xr:uid="{00000000-0005-0000-0000-0000E0130000}"/>
    <cellStyle name="Normal 4 2 5 3 2 2" xfId="7301" xr:uid="{00000000-0005-0000-0000-0000E1130000}"/>
    <cellStyle name="Normal 4 2 5 3 2 3" xfId="11965" xr:uid="{D8E51AE0-039B-430C-A07D-852F642DDE33}"/>
    <cellStyle name="Normal 4 2 5 3 3" xfId="5156" xr:uid="{00000000-0005-0000-0000-0000E2130000}"/>
    <cellStyle name="Normal 4 2 5 3 4" xfId="9819" xr:uid="{559132DE-6394-40D5-9C59-4F1254C16213}"/>
    <cellStyle name="Normal 4 2 5 4" xfId="1260" xr:uid="{00000000-0005-0000-0000-0000E3130000}"/>
    <cellStyle name="Normal 4 2 5 4 2" xfId="3490" xr:uid="{00000000-0005-0000-0000-0000E4130000}"/>
    <cellStyle name="Normal 4 2 5 4 2 2" xfId="7714" xr:uid="{00000000-0005-0000-0000-0000E5130000}"/>
    <cellStyle name="Normal 4 2 5 4 2 3" xfId="12378" xr:uid="{947531E8-5B0B-4F18-905A-3676EDA984F3}"/>
    <cellStyle name="Normal 4 2 5 4 3" xfId="5569" xr:uid="{00000000-0005-0000-0000-0000E6130000}"/>
    <cellStyle name="Normal 4 2 5 4 4" xfId="10233" xr:uid="{A9347F8E-46D4-4B81-8E36-D85E08FFFA05}"/>
    <cellStyle name="Normal 4 2 5 5" xfId="1673" xr:uid="{00000000-0005-0000-0000-0000E7130000}"/>
    <cellStyle name="Normal 4 2 5 5 2" xfId="3903" xr:uid="{00000000-0005-0000-0000-0000E8130000}"/>
    <cellStyle name="Normal 4 2 5 5 2 2" xfId="8127" xr:uid="{00000000-0005-0000-0000-0000E9130000}"/>
    <cellStyle name="Normal 4 2 5 5 2 3" xfId="12791" xr:uid="{62510BBC-2909-437E-B141-AB3F7DDC2A4F}"/>
    <cellStyle name="Normal 4 2 5 5 3" xfId="5982" xr:uid="{00000000-0005-0000-0000-0000EA130000}"/>
    <cellStyle name="Normal 4 2 5 5 4" xfId="10646" xr:uid="{4F7A0D5B-8385-4D2B-87BC-41BEC475A74D}"/>
    <cellStyle name="Normal 4 2 5 6" xfId="2087" xr:uid="{00000000-0005-0000-0000-0000EB130000}"/>
    <cellStyle name="Normal 4 2 5 6 2" xfId="4316" xr:uid="{00000000-0005-0000-0000-0000EC130000}"/>
    <cellStyle name="Normal 4 2 5 6 2 2" xfId="8540" xr:uid="{00000000-0005-0000-0000-0000ED130000}"/>
    <cellStyle name="Normal 4 2 5 6 2 3" xfId="13204" xr:uid="{DD19E7B6-B148-44D9-898F-913ECC3431FC}"/>
    <cellStyle name="Normal 4 2 5 6 3" xfId="6395" xr:uid="{00000000-0005-0000-0000-0000EE130000}"/>
    <cellStyle name="Normal 4 2 5 6 4" xfId="11059" xr:uid="{D0BB396D-28F0-469D-B64D-ECA2ECBFE0DE}"/>
    <cellStyle name="Normal 4 2 5 7" xfId="2523" xr:uid="{00000000-0005-0000-0000-0000EF130000}"/>
    <cellStyle name="Normal 4 2 5 7 2" xfId="6808" xr:uid="{00000000-0005-0000-0000-0000F0130000}"/>
    <cellStyle name="Normal 4 2 5 7 3" xfId="11472" xr:uid="{C8AFE165-72C6-48DD-911A-671E773C248C}"/>
    <cellStyle name="Normal 4 2 5 8" xfId="4743" xr:uid="{00000000-0005-0000-0000-0000F1130000}"/>
    <cellStyle name="Normal 4 2 5 8 2" xfId="9400" xr:uid="{2270CE7A-50E6-4716-9BF2-627E6018F875}"/>
    <cellStyle name="Normal 4 2 5 9" xfId="8953" xr:uid="{016AFDDD-D813-4C2D-8EDA-4790CAE15CC8}"/>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3" xfId="11967" xr:uid="{893D31A0-A52B-456F-944C-14457A093944}"/>
    <cellStyle name="Normal 4 2 6 2 3" xfId="5158" xr:uid="{00000000-0005-0000-0000-0000F6130000}"/>
    <cellStyle name="Normal 4 2 6 2 4" xfId="9821" xr:uid="{4CDB455D-A0D2-4B67-9862-4643E87AFDF6}"/>
    <cellStyle name="Normal 4 2 6 3" xfId="1262" xr:uid="{00000000-0005-0000-0000-0000F7130000}"/>
    <cellStyle name="Normal 4 2 6 3 2" xfId="3492" xr:uid="{00000000-0005-0000-0000-0000F8130000}"/>
    <cellStyle name="Normal 4 2 6 3 2 2" xfId="7716" xr:uid="{00000000-0005-0000-0000-0000F9130000}"/>
    <cellStyle name="Normal 4 2 6 3 2 3" xfId="12380" xr:uid="{3CED197F-A8A4-44DF-8FEF-E02C79F3BCFC}"/>
    <cellStyle name="Normal 4 2 6 3 3" xfId="5571" xr:uid="{00000000-0005-0000-0000-0000FA130000}"/>
    <cellStyle name="Normal 4 2 6 3 4" xfId="10235" xr:uid="{47A42042-CD18-4DAF-A3FF-534049D480AB}"/>
    <cellStyle name="Normal 4 2 6 4" xfId="1675" xr:uid="{00000000-0005-0000-0000-0000FB130000}"/>
    <cellStyle name="Normal 4 2 6 4 2" xfId="3905" xr:uid="{00000000-0005-0000-0000-0000FC130000}"/>
    <cellStyle name="Normal 4 2 6 4 2 2" xfId="8129" xr:uid="{00000000-0005-0000-0000-0000FD130000}"/>
    <cellStyle name="Normal 4 2 6 4 2 3" xfId="12793" xr:uid="{54AF655F-7555-4888-835E-5440F3582100}"/>
    <cellStyle name="Normal 4 2 6 4 3" xfId="5984" xr:uid="{00000000-0005-0000-0000-0000FE130000}"/>
    <cellStyle name="Normal 4 2 6 4 4" xfId="10648" xr:uid="{BC82A2AA-1CC1-40CF-8EBE-F0A11DC99727}"/>
    <cellStyle name="Normal 4 2 6 5" xfId="2089" xr:uid="{00000000-0005-0000-0000-0000FF130000}"/>
    <cellStyle name="Normal 4 2 6 5 2" xfId="4318" xr:uid="{00000000-0005-0000-0000-000000140000}"/>
    <cellStyle name="Normal 4 2 6 5 2 2" xfId="8542" xr:uid="{00000000-0005-0000-0000-000001140000}"/>
    <cellStyle name="Normal 4 2 6 5 2 3" xfId="13206" xr:uid="{1A452B91-F378-441D-8E98-7BDD5C774B1C}"/>
    <cellStyle name="Normal 4 2 6 5 3" xfId="6397" xr:uid="{00000000-0005-0000-0000-000002140000}"/>
    <cellStyle name="Normal 4 2 6 5 4" xfId="11061" xr:uid="{5F818A7D-2F63-4A09-BFBD-564D81ED9D25}"/>
    <cellStyle name="Normal 4 2 6 6" xfId="2525" xr:uid="{00000000-0005-0000-0000-000003140000}"/>
    <cellStyle name="Normal 4 2 6 6 2" xfId="6810" xr:uid="{00000000-0005-0000-0000-000004140000}"/>
    <cellStyle name="Normal 4 2 6 6 3" xfId="11474" xr:uid="{A9014F05-7A44-4346-8B99-A55137D3A0BD}"/>
    <cellStyle name="Normal 4 2 6 7" xfId="4745" xr:uid="{00000000-0005-0000-0000-000005140000}"/>
    <cellStyle name="Normal 4 2 6 7 2" xfId="9402" xr:uid="{07B90748-594A-4CBB-93B5-0A71CE53EFCE}"/>
    <cellStyle name="Normal 4 2 6 8" xfId="8955" xr:uid="{E9C0DDC9-E6A1-4FBF-B5DA-3B090D0B7F5B}"/>
    <cellStyle name="Normal 4 3" xfId="366" xr:uid="{00000000-0005-0000-0000-000006140000}"/>
    <cellStyle name="Normal 4 3 10" xfId="8956" xr:uid="{8267C927-0EB9-492A-9643-D63031D559AB}"/>
    <cellStyle name="Normal 4 3 2" xfId="367" xr:uid="{00000000-0005-0000-0000-000007140000}"/>
    <cellStyle name="Normal 4 3 2 2" xfId="368" xr:uid="{00000000-0005-0000-0000-000008140000}"/>
    <cellStyle name="Normal 4 3 2 2 2" xfId="369" xr:uid="{00000000-0005-0000-0000-000009140000}"/>
    <cellStyle name="Normal 4 3 2 2 2 10" xfId="8957" xr:uid="{E55CA6FA-E274-493C-9782-917C137F6141}"/>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3" xfId="11971" xr:uid="{4C9DF52F-A7F0-413C-B445-524DBE6C1DE6}"/>
    <cellStyle name="Normal 4 3 2 2 2 2 2 2 3" xfId="5162" xr:uid="{00000000-0005-0000-0000-00000F140000}"/>
    <cellStyle name="Normal 4 3 2 2 2 2 2 2 4" xfId="9825" xr:uid="{D14526B6-09D3-423E-A84A-415EE58CBED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3" xfId="12384" xr:uid="{B515EC1B-6EC9-4B2F-B9CA-AD028D1D5773}"/>
    <cellStyle name="Normal 4 3 2 2 2 2 2 3 3" xfId="5575" xr:uid="{00000000-0005-0000-0000-000013140000}"/>
    <cellStyle name="Normal 4 3 2 2 2 2 2 3 4" xfId="10239" xr:uid="{CBD91FA5-4FB4-4213-A494-ADD96082D989}"/>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3" xfId="12797" xr:uid="{73F12420-6FE0-4CB2-BBBD-C21B7C66C8F2}"/>
    <cellStyle name="Normal 4 3 2 2 2 2 2 4 3" xfId="5988" xr:uid="{00000000-0005-0000-0000-000017140000}"/>
    <cellStyle name="Normal 4 3 2 2 2 2 2 4 4" xfId="10652" xr:uid="{6AFC5631-25FE-41FE-8E98-2CABDD0853B3}"/>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3" xfId="13210" xr:uid="{FA650057-0FB2-40B7-88A7-82B05F8FC65B}"/>
    <cellStyle name="Normal 4 3 2 2 2 2 2 5 3" xfId="6401" xr:uid="{00000000-0005-0000-0000-00001B140000}"/>
    <cellStyle name="Normal 4 3 2 2 2 2 2 5 4" xfId="11065" xr:uid="{EDD1D6AF-DD4A-4AC3-B0AE-1CD39705E8E4}"/>
    <cellStyle name="Normal 4 3 2 2 2 2 2 6" xfId="2529" xr:uid="{00000000-0005-0000-0000-00001C140000}"/>
    <cellStyle name="Normal 4 3 2 2 2 2 2 6 2" xfId="6814" xr:uid="{00000000-0005-0000-0000-00001D140000}"/>
    <cellStyle name="Normal 4 3 2 2 2 2 2 6 3" xfId="11478" xr:uid="{7BCE29A0-1BC8-49EC-A8C1-28FE356F62CA}"/>
    <cellStyle name="Normal 4 3 2 2 2 2 2 7" xfId="4749" xr:uid="{00000000-0005-0000-0000-00001E140000}"/>
    <cellStyle name="Normal 4 3 2 2 2 2 2 7 2" xfId="9407" xr:uid="{6B2DFB59-8C18-4604-A84D-CCC488651B5A}"/>
    <cellStyle name="Normal 4 3 2 2 2 2 2 8" xfId="8959" xr:uid="{EA40A870-DF05-4CA2-9D2A-0479143225FF}"/>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3" xfId="11970" xr:uid="{8E1DA940-1DD9-4C48-A4BC-F5670A123A75}"/>
    <cellStyle name="Normal 4 3 2 2 2 2 3 3" xfId="5161" xr:uid="{00000000-0005-0000-0000-000022140000}"/>
    <cellStyle name="Normal 4 3 2 2 2 2 3 4" xfId="9824" xr:uid="{41E5E8D0-CB17-473D-B4F6-55A5835F0C28}"/>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3" xfId="12383" xr:uid="{0F9498CC-5A0D-4B04-A1B2-D9CFDB7CF6DE}"/>
    <cellStyle name="Normal 4 3 2 2 2 2 4 3" xfId="5574" xr:uid="{00000000-0005-0000-0000-000026140000}"/>
    <cellStyle name="Normal 4 3 2 2 2 2 4 4" xfId="10238" xr:uid="{6E05585D-0A92-4486-BA8A-B28FD07EEB1A}"/>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3" xfId="12796" xr:uid="{1FE51C53-1777-4423-93E0-BC641405323E}"/>
    <cellStyle name="Normal 4 3 2 2 2 2 5 3" xfId="5987" xr:uid="{00000000-0005-0000-0000-00002A140000}"/>
    <cellStyle name="Normal 4 3 2 2 2 2 5 4" xfId="10651" xr:uid="{6F757A2F-BBB4-459B-B15A-6D5C9634CB51}"/>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3" xfId="13209" xr:uid="{D8913872-62EE-4AD9-BD52-338A97A7AEAD}"/>
    <cellStyle name="Normal 4 3 2 2 2 2 6 3" xfId="6400" xr:uid="{00000000-0005-0000-0000-00002E140000}"/>
    <cellStyle name="Normal 4 3 2 2 2 2 6 4" xfId="11064" xr:uid="{655AA06B-B902-4BFC-B496-38C1ABD7EEEA}"/>
    <cellStyle name="Normal 4 3 2 2 2 2 7" xfId="2528" xr:uid="{00000000-0005-0000-0000-00002F140000}"/>
    <cellStyle name="Normal 4 3 2 2 2 2 7 2" xfId="6813" xr:uid="{00000000-0005-0000-0000-000030140000}"/>
    <cellStyle name="Normal 4 3 2 2 2 2 7 3" xfId="11477" xr:uid="{1FF7A0B9-E97D-405D-82B6-714747567660}"/>
    <cellStyle name="Normal 4 3 2 2 2 2 8" xfId="4748" xr:uid="{00000000-0005-0000-0000-000031140000}"/>
    <cellStyle name="Normal 4 3 2 2 2 2 8 2" xfId="9406" xr:uid="{59380084-571E-4C07-8171-41BBC0429585}"/>
    <cellStyle name="Normal 4 3 2 2 2 2 9" xfId="8958" xr:uid="{6358DA17-4FDA-4F24-841B-F072DFD6B837}"/>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3" xfId="11972" xr:uid="{DCF57AAB-BBE6-4865-8727-48BB04BD7F89}"/>
    <cellStyle name="Normal 4 3 2 2 2 3 2 3" xfId="5163" xr:uid="{00000000-0005-0000-0000-000036140000}"/>
    <cellStyle name="Normal 4 3 2 2 2 3 2 4" xfId="9826" xr:uid="{1CC58E57-3601-46D1-9204-5CAF7E14A594}"/>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3" xfId="12385" xr:uid="{CDCF2F4D-E81D-4C88-A658-389FC5804F7B}"/>
    <cellStyle name="Normal 4 3 2 2 2 3 3 3" xfId="5576" xr:uid="{00000000-0005-0000-0000-00003A140000}"/>
    <cellStyle name="Normal 4 3 2 2 2 3 3 4" xfId="10240" xr:uid="{438DECEA-A58A-4909-9B90-C508FC747F49}"/>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3" xfId="12798" xr:uid="{E3FFFDB4-ED9A-4C7B-B572-13A9CC52F6DA}"/>
    <cellStyle name="Normal 4 3 2 2 2 3 4 3" xfId="5989" xr:uid="{00000000-0005-0000-0000-00003E140000}"/>
    <cellStyle name="Normal 4 3 2 2 2 3 4 4" xfId="10653" xr:uid="{59E80C2D-BB8B-4D53-AB01-43EC580A1654}"/>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3" xfId="13211" xr:uid="{3E58CDCD-27D0-48B0-BC3D-8A85B2CD7B80}"/>
    <cellStyle name="Normal 4 3 2 2 2 3 5 3" xfId="6402" xr:uid="{00000000-0005-0000-0000-000042140000}"/>
    <cellStyle name="Normal 4 3 2 2 2 3 5 4" xfId="11066" xr:uid="{5AFC6462-5613-487C-B262-C8127CC2DDD0}"/>
    <cellStyle name="Normal 4 3 2 2 2 3 6" xfId="2530" xr:uid="{00000000-0005-0000-0000-000043140000}"/>
    <cellStyle name="Normal 4 3 2 2 2 3 6 2" xfId="6815" xr:uid="{00000000-0005-0000-0000-000044140000}"/>
    <cellStyle name="Normal 4 3 2 2 2 3 6 3" xfId="11479" xr:uid="{FCFC4586-263F-4165-9B7F-7E5D0D8B146E}"/>
    <cellStyle name="Normal 4 3 2 2 2 3 7" xfId="4750" xr:uid="{00000000-0005-0000-0000-000045140000}"/>
    <cellStyle name="Normal 4 3 2 2 2 3 7 2" xfId="9408" xr:uid="{2A6A87A6-A202-4D9D-8BC3-8689683A36CC}"/>
    <cellStyle name="Normal 4 3 2 2 2 3 8" xfId="8960" xr:uid="{91BFDE33-B9FC-4A97-9BD4-FA28809FC5C9}"/>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3" xfId="11969" xr:uid="{D2871423-7615-4A3F-855A-0F4A202B3C3A}"/>
    <cellStyle name="Normal 4 3 2 2 2 4 3" xfId="5160" xr:uid="{00000000-0005-0000-0000-000049140000}"/>
    <cellStyle name="Normal 4 3 2 2 2 4 4" xfId="9823" xr:uid="{8D24480C-17A8-4CAA-AA75-B293E39D08A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3" xfId="12382" xr:uid="{6D28D080-3CAC-4B91-ABB4-2B86515A4AAF}"/>
    <cellStyle name="Normal 4 3 2 2 2 5 3" xfId="5573" xr:uid="{00000000-0005-0000-0000-00004D140000}"/>
    <cellStyle name="Normal 4 3 2 2 2 5 4" xfId="10237" xr:uid="{2E06C036-85A9-41EE-B445-7D052C222AC1}"/>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3" xfId="12795" xr:uid="{3F50D21D-CBE3-4FE2-980C-8669899D9F7C}"/>
    <cellStyle name="Normal 4 3 2 2 2 6 3" xfId="5986" xr:uid="{00000000-0005-0000-0000-000051140000}"/>
    <cellStyle name="Normal 4 3 2 2 2 6 4" xfId="10650" xr:uid="{4F6296F2-A915-4F6C-9239-D2658EF76179}"/>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3" xfId="13208" xr:uid="{A22B1031-746B-4ABE-AD5D-2AF7D25760FF}"/>
    <cellStyle name="Normal 4 3 2 2 2 7 3" xfId="6399" xr:uid="{00000000-0005-0000-0000-000055140000}"/>
    <cellStyle name="Normal 4 3 2 2 2 7 4" xfId="11063" xr:uid="{FC0C5028-BA4B-4985-AA49-D9AA1A39C610}"/>
    <cellStyle name="Normal 4 3 2 2 2 8" xfId="2527" xr:uid="{00000000-0005-0000-0000-000056140000}"/>
    <cellStyle name="Normal 4 3 2 2 2 8 2" xfId="6812" xr:uid="{00000000-0005-0000-0000-000057140000}"/>
    <cellStyle name="Normal 4 3 2 2 2 8 3" xfId="11476" xr:uid="{DD6A712E-7219-4A63-ABC2-DC144A9BD5BB}"/>
    <cellStyle name="Normal 4 3 2 2 2 9" xfId="4747" xr:uid="{00000000-0005-0000-0000-000058140000}"/>
    <cellStyle name="Normal 4 3 2 2 2 9 2" xfId="9405" xr:uid="{59BBD101-4A9C-40D7-B0E4-2B1C7D7F73F5}"/>
    <cellStyle name="Normal 4 3 2 3" xfId="373" xr:uid="{00000000-0005-0000-0000-000059140000}"/>
    <cellStyle name="Normal 4 3 2 3 2" xfId="849" xr:uid="{00000000-0005-0000-0000-00005A140000}"/>
    <cellStyle name="Normal 4 3 2 3 3" xfId="9409" xr:uid="{C7015199-9A0A-4733-A4DA-0E1D43532CCB}"/>
    <cellStyle name="Normal 4 3 2 4" xfId="844" xr:uid="{00000000-0005-0000-0000-00005B140000}"/>
    <cellStyle name="Normal 4 3 2 5" xfId="9404" xr:uid="{5388107B-0AE8-498D-966E-22EB47601B5D}"/>
    <cellStyle name="Normal 4 3 3" xfId="374" xr:uid="{00000000-0005-0000-0000-00005C140000}"/>
    <cellStyle name="Normal 4 3 3 10" xfId="8961" xr:uid="{68CD31BA-6917-4ECE-971D-D3854E571F2E}"/>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3" xfId="11975" xr:uid="{F2379B16-031D-48D6-A43A-982627A87F73}"/>
    <cellStyle name="Normal 4 3 3 2 2 2 3" xfId="5166" xr:uid="{00000000-0005-0000-0000-000062140000}"/>
    <cellStyle name="Normal 4 3 3 2 2 2 4" xfId="9829" xr:uid="{E2292837-D9D9-47DB-99AB-B39805ECE491}"/>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3" xfId="12388" xr:uid="{FC52B702-AF31-467E-A4ED-0AE5B49956C3}"/>
    <cellStyle name="Normal 4 3 3 2 2 3 3" xfId="5579" xr:uid="{00000000-0005-0000-0000-000066140000}"/>
    <cellStyle name="Normal 4 3 3 2 2 3 4" xfId="10243" xr:uid="{07956ADE-8523-4488-9A83-81289AE3EAA2}"/>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3" xfId="12801" xr:uid="{8F295604-E621-4B54-AD98-14D6FD99BFC3}"/>
    <cellStyle name="Normal 4 3 3 2 2 4 3" xfId="5992" xr:uid="{00000000-0005-0000-0000-00006A140000}"/>
    <cellStyle name="Normal 4 3 3 2 2 4 4" xfId="10656" xr:uid="{641F93FC-B57A-48BB-972A-2C2218FA309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3" xfId="13214" xr:uid="{6AF97CCF-43E1-4E29-A974-EA867D712441}"/>
    <cellStyle name="Normal 4 3 3 2 2 5 3" xfId="6405" xr:uid="{00000000-0005-0000-0000-00006E140000}"/>
    <cellStyle name="Normal 4 3 3 2 2 5 4" xfId="11069" xr:uid="{6EF60C1C-9DAE-4677-B6FE-6801440F18CB}"/>
    <cellStyle name="Normal 4 3 3 2 2 6" xfId="2533" xr:uid="{00000000-0005-0000-0000-00006F140000}"/>
    <cellStyle name="Normal 4 3 3 2 2 6 2" xfId="6818" xr:uid="{00000000-0005-0000-0000-000070140000}"/>
    <cellStyle name="Normal 4 3 3 2 2 6 3" xfId="11482" xr:uid="{2BF7FAF3-6620-4380-BBE2-17A2FCB6D15A}"/>
    <cellStyle name="Normal 4 3 3 2 2 7" xfId="4753" xr:uid="{00000000-0005-0000-0000-000071140000}"/>
    <cellStyle name="Normal 4 3 3 2 2 7 2" xfId="9412" xr:uid="{4CA478CE-B64A-4C54-94D1-E5144D6E3396}"/>
    <cellStyle name="Normal 4 3 3 2 2 8" xfId="8963" xr:uid="{03C197D6-9367-456F-8962-D815232E4F96}"/>
    <cellStyle name="Normal 4 3 3 2 3" xfId="851" xr:uid="{00000000-0005-0000-0000-000072140000}"/>
    <cellStyle name="Normal 4 3 3 2 3 2" xfId="3086" xr:uid="{00000000-0005-0000-0000-000073140000}"/>
    <cellStyle name="Normal 4 3 3 2 3 2 2" xfId="7310" xr:uid="{00000000-0005-0000-0000-000074140000}"/>
    <cellStyle name="Normal 4 3 3 2 3 2 3" xfId="11974" xr:uid="{5C740E74-F6A9-4C3C-8C58-0940DAF18136}"/>
    <cellStyle name="Normal 4 3 3 2 3 3" xfId="5165" xr:uid="{00000000-0005-0000-0000-000075140000}"/>
    <cellStyle name="Normal 4 3 3 2 3 4" xfId="9828" xr:uid="{72D17BDC-7F1A-4B57-8A58-ABBCC0C4B789}"/>
    <cellStyle name="Normal 4 3 3 2 4" xfId="1269" xr:uid="{00000000-0005-0000-0000-000076140000}"/>
    <cellStyle name="Normal 4 3 3 2 4 2" xfId="3499" xr:uid="{00000000-0005-0000-0000-000077140000}"/>
    <cellStyle name="Normal 4 3 3 2 4 2 2" xfId="7723" xr:uid="{00000000-0005-0000-0000-000078140000}"/>
    <cellStyle name="Normal 4 3 3 2 4 2 3" xfId="12387" xr:uid="{20CEF44C-7D52-4CD3-A5FB-D69C08560AFD}"/>
    <cellStyle name="Normal 4 3 3 2 4 3" xfId="5578" xr:uid="{00000000-0005-0000-0000-000079140000}"/>
    <cellStyle name="Normal 4 3 3 2 4 4" xfId="10242" xr:uid="{46CC310C-C5B9-4D00-B32D-06AAAF8106DB}"/>
    <cellStyle name="Normal 4 3 3 2 5" xfId="1682" xr:uid="{00000000-0005-0000-0000-00007A140000}"/>
    <cellStyle name="Normal 4 3 3 2 5 2" xfId="3912" xr:uid="{00000000-0005-0000-0000-00007B140000}"/>
    <cellStyle name="Normal 4 3 3 2 5 2 2" xfId="8136" xr:uid="{00000000-0005-0000-0000-00007C140000}"/>
    <cellStyle name="Normal 4 3 3 2 5 2 3" xfId="12800" xr:uid="{3DD42C47-2696-4B45-922B-5440B15A8759}"/>
    <cellStyle name="Normal 4 3 3 2 5 3" xfId="5991" xr:uid="{00000000-0005-0000-0000-00007D140000}"/>
    <cellStyle name="Normal 4 3 3 2 5 4" xfId="10655" xr:uid="{37FC652B-55F5-40A0-958A-271793C02B2B}"/>
    <cellStyle name="Normal 4 3 3 2 6" xfId="2096" xr:uid="{00000000-0005-0000-0000-00007E140000}"/>
    <cellStyle name="Normal 4 3 3 2 6 2" xfId="4325" xr:uid="{00000000-0005-0000-0000-00007F140000}"/>
    <cellStyle name="Normal 4 3 3 2 6 2 2" xfId="8549" xr:uid="{00000000-0005-0000-0000-000080140000}"/>
    <cellStyle name="Normal 4 3 3 2 6 2 3" xfId="13213" xr:uid="{2F1DC081-4EA4-40FC-96B7-B548F1B19551}"/>
    <cellStyle name="Normal 4 3 3 2 6 3" xfId="6404" xr:uid="{00000000-0005-0000-0000-000081140000}"/>
    <cellStyle name="Normal 4 3 3 2 6 4" xfId="11068" xr:uid="{F826A909-1E87-4E58-BD00-748012C48EBC}"/>
    <cellStyle name="Normal 4 3 3 2 7" xfId="2532" xr:uid="{00000000-0005-0000-0000-000082140000}"/>
    <cellStyle name="Normal 4 3 3 2 7 2" xfId="6817" xr:uid="{00000000-0005-0000-0000-000083140000}"/>
    <cellStyle name="Normal 4 3 3 2 7 3" xfId="11481" xr:uid="{6E86E954-AA7A-4EE7-8388-E7E3DA15797C}"/>
    <cellStyle name="Normal 4 3 3 2 8" xfId="4752" xr:uid="{00000000-0005-0000-0000-000084140000}"/>
    <cellStyle name="Normal 4 3 3 2 8 2" xfId="9411" xr:uid="{72CB8817-B55C-41D3-86F5-D71421DBB224}"/>
    <cellStyle name="Normal 4 3 3 2 9" xfId="8962" xr:uid="{F8D8765C-542A-49DE-AFC6-5A0AD6647A16}"/>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3" xfId="11976" xr:uid="{CBB3CD66-52AB-4FDB-9288-517D45213270}"/>
    <cellStyle name="Normal 4 3 3 3 2 3" xfId="5167" xr:uid="{00000000-0005-0000-0000-000089140000}"/>
    <cellStyle name="Normal 4 3 3 3 2 4" xfId="9830" xr:uid="{627571E9-10EA-4E01-A49C-8B2BDF7B60C1}"/>
    <cellStyle name="Normal 4 3 3 3 3" xfId="1271" xr:uid="{00000000-0005-0000-0000-00008A140000}"/>
    <cellStyle name="Normal 4 3 3 3 3 2" xfId="3501" xr:uid="{00000000-0005-0000-0000-00008B140000}"/>
    <cellStyle name="Normal 4 3 3 3 3 2 2" xfId="7725" xr:uid="{00000000-0005-0000-0000-00008C140000}"/>
    <cellStyle name="Normal 4 3 3 3 3 2 3" xfId="12389" xr:uid="{31E1316D-5106-4443-BB2E-31B4B7869BB1}"/>
    <cellStyle name="Normal 4 3 3 3 3 3" xfId="5580" xr:uid="{00000000-0005-0000-0000-00008D140000}"/>
    <cellStyle name="Normal 4 3 3 3 3 4" xfId="10244" xr:uid="{FA84C2CF-4479-4FB4-AB92-665D0AA0E3C1}"/>
    <cellStyle name="Normal 4 3 3 3 4" xfId="1684" xr:uid="{00000000-0005-0000-0000-00008E140000}"/>
    <cellStyle name="Normal 4 3 3 3 4 2" xfId="3914" xr:uid="{00000000-0005-0000-0000-00008F140000}"/>
    <cellStyle name="Normal 4 3 3 3 4 2 2" xfId="8138" xr:uid="{00000000-0005-0000-0000-000090140000}"/>
    <cellStyle name="Normal 4 3 3 3 4 2 3" xfId="12802" xr:uid="{9279DF14-D1FC-42B2-BC8D-74F00A310E82}"/>
    <cellStyle name="Normal 4 3 3 3 4 3" xfId="5993" xr:uid="{00000000-0005-0000-0000-000091140000}"/>
    <cellStyle name="Normal 4 3 3 3 4 4" xfId="10657" xr:uid="{AFDF7B91-3F55-4EEA-BF6C-74CB5DD5D9ED}"/>
    <cellStyle name="Normal 4 3 3 3 5" xfId="2098" xr:uid="{00000000-0005-0000-0000-000092140000}"/>
    <cellStyle name="Normal 4 3 3 3 5 2" xfId="4327" xr:uid="{00000000-0005-0000-0000-000093140000}"/>
    <cellStyle name="Normal 4 3 3 3 5 2 2" xfId="8551" xr:uid="{00000000-0005-0000-0000-000094140000}"/>
    <cellStyle name="Normal 4 3 3 3 5 2 3" xfId="13215" xr:uid="{913FDD0A-BEDA-4BF5-9620-E5BA2079CB80}"/>
    <cellStyle name="Normal 4 3 3 3 5 3" xfId="6406" xr:uid="{00000000-0005-0000-0000-000095140000}"/>
    <cellStyle name="Normal 4 3 3 3 5 4" xfId="11070" xr:uid="{D0223ACD-0364-4526-9CAA-77529A23BF1A}"/>
    <cellStyle name="Normal 4 3 3 3 6" xfId="2534" xr:uid="{00000000-0005-0000-0000-000096140000}"/>
    <cellStyle name="Normal 4 3 3 3 6 2" xfId="6819" xr:uid="{00000000-0005-0000-0000-000097140000}"/>
    <cellStyle name="Normal 4 3 3 3 6 3" xfId="11483" xr:uid="{78094A3C-1179-4FFB-8DAE-385614211E7C}"/>
    <cellStyle name="Normal 4 3 3 3 7" xfId="4754" xr:uid="{00000000-0005-0000-0000-000098140000}"/>
    <cellStyle name="Normal 4 3 3 3 7 2" xfId="9413" xr:uid="{DB8026FC-2A44-4937-B116-050788F0F862}"/>
    <cellStyle name="Normal 4 3 3 3 8" xfId="8964" xr:uid="{BF692F48-006A-48E4-8AB7-F59A0A30832B}"/>
    <cellStyle name="Normal 4 3 3 4" xfId="850" xr:uid="{00000000-0005-0000-0000-000099140000}"/>
    <cellStyle name="Normal 4 3 3 4 2" xfId="3085" xr:uid="{00000000-0005-0000-0000-00009A140000}"/>
    <cellStyle name="Normal 4 3 3 4 2 2" xfId="7309" xr:uid="{00000000-0005-0000-0000-00009B140000}"/>
    <cellStyle name="Normal 4 3 3 4 2 3" xfId="11973" xr:uid="{0F809EE2-1A87-4146-B3D8-21CA26239F2E}"/>
    <cellStyle name="Normal 4 3 3 4 3" xfId="5164" xr:uid="{00000000-0005-0000-0000-00009C140000}"/>
    <cellStyle name="Normal 4 3 3 4 4" xfId="9827" xr:uid="{901575A1-F099-4BBF-8731-EA5BA438536D}"/>
    <cellStyle name="Normal 4 3 3 5" xfId="1268" xr:uid="{00000000-0005-0000-0000-00009D140000}"/>
    <cellStyle name="Normal 4 3 3 5 2" xfId="3498" xr:uid="{00000000-0005-0000-0000-00009E140000}"/>
    <cellStyle name="Normal 4 3 3 5 2 2" xfId="7722" xr:uid="{00000000-0005-0000-0000-00009F140000}"/>
    <cellStyle name="Normal 4 3 3 5 2 3" xfId="12386" xr:uid="{13FB9AA1-D78F-406F-91CB-0F7667417869}"/>
    <cellStyle name="Normal 4 3 3 5 3" xfId="5577" xr:uid="{00000000-0005-0000-0000-0000A0140000}"/>
    <cellStyle name="Normal 4 3 3 5 4" xfId="10241" xr:uid="{A93731BB-1450-442C-B37B-F7A1B9E7AC6A}"/>
    <cellStyle name="Normal 4 3 3 6" xfId="1681" xr:uid="{00000000-0005-0000-0000-0000A1140000}"/>
    <cellStyle name="Normal 4 3 3 6 2" xfId="3911" xr:uid="{00000000-0005-0000-0000-0000A2140000}"/>
    <cellStyle name="Normal 4 3 3 6 2 2" xfId="8135" xr:uid="{00000000-0005-0000-0000-0000A3140000}"/>
    <cellStyle name="Normal 4 3 3 6 2 3" xfId="12799" xr:uid="{1A4014EF-E6B7-4396-B2A2-BB54D0E5E6EE}"/>
    <cellStyle name="Normal 4 3 3 6 3" xfId="5990" xr:uid="{00000000-0005-0000-0000-0000A4140000}"/>
    <cellStyle name="Normal 4 3 3 6 4" xfId="10654" xr:uid="{72DDF8A5-527C-4739-A391-95EE5AC782D7}"/>
    <cellStyle name="Normal 4 3 3 7" xfId="2095" xr:uid="{00000000-0005-0000-0000-0000A5140000}"/>
    <cellStyle name="Normal 4 3 3 7 2" xfId="4324" xr:uid="{00000000-0005-0000-0000-0000A6140000}"/>
    <cellStyle name="Normal 4 3 3 7 2 2" xfId="8548" xr:uid="{00000000-0005-0000-0000-0000A7140000}"/>
    <cellStyle name="Normal 4 3 3 7 2 3" xfId="13212" xr:uid="{9B12039B-BC77-4744-8150-62C787CFCDF8}"/>
    <cellStyle name="Normal 4 3 3 7 3" xfId="6403" xr:uid="{00000000-0005-0000-0000-0000A8140000}"/>
    <cellStyle name="Normal 4 3 3 7 4" xfId="11067" xr:uid="{346A107A-77F0-4DB8-8F04-BFB98CB4F258}"/>
    <cellStyle name="Normal 4 3 3 8" xfId="2531" xr:uid="{00000000-0005-0000-0000-0000A9140000}"/>
    <cellStyle name="Normal 4 3 3 8 2" xfId="6816" xr:uid="{00000000-0005-0000-0000-0000AA140000}"/>
    <cellStyle name="Normal 4 3 3 8 3" xfId="11480" xr:uid="{E1015975-33F6-4C82-BF2C-0E1D189C25F7}"/>
    <cellStyle name="Normal 4 3 3 9" xfId="4751" xr:uid="{00000000-0005-0000-0000-0000AB140000}"/>
    <cellStyle name="Normal 4 3 3 9 2" xfId="9410" xr:uid="{1CDA2AAF-4BD8-427E-9846-863DB373F4C5}"/>
    <cellStyle name="Normal 4 3 4" xfId="843" xr:uid="{00000000-0005-0000-0000-0000AC140000}"/>
    <cellStyle name="Normal 4 3 4 2" xfId="3080" xr:uid="{00000000-0005-0000-0000-0000AD140000}"/>
    <cellStyle name="Normal 4 3 4 2 2" xfId="7304" xr:uid="{00000000-0005-0000-0000-0000AE140000}"/>
    <cellStyle name="Normal 4 3 4 2 3" xfId="11968" xr:uid="{8A62FFD9-2151-4AA1-9AFE-BF67CFF240D6}"/>
    <cellStyle name="Normal 4 3 4 3" xfId="5159" xr:uid="{00000000-0005-0000-0000-0000AF140000}"/>
    <cellStyle name="Normal 4 3 4 4" xfId="9822" xr:uid="{74EDDB27-DAD5-4B10-AB83-CAEAC25F1F31}"/>
    <cellStyle name="Normal 4 3 5" xfId="1263" xr:uid="{00000000-0005-0000-0000-0000B0140000}"/>
    <cellStyle name="Normal 4 3 5 2" xfId="3493" xr:uid="{00000000-0005-0000-0000-0000B1140000}"/>
    <cellStyle name="Normal 4 3 5 2 2" xfId="7717" xr:uid="{00000000-0005-0000-0000-0000B2140000}"/>
    <cellStyle name="Normal 4 3 5 2 3" xfId="12381" xr:uid="{30EAF6B0-AFA8-41F1-A24C-B343D466A01A}"/>
    <cellStyle name="Normal 4 3 5 3" xfId="5572" xr:uid="{00000000-0005-0000-0000-0000B3140000}"/>
    <cellStyle name="Normal 4 3 5 4" xfId="10236" xr:uid="{E7303B3E-10AF-43B5-849D-0C2826D9EC0A}"/>
    <cellStyle name="Normal 4 3 6" xfId="1676" xr:uid="{00000000-0005-0000-0000-0000B4140000}"/>
    <cellStyle name="Normal 4 3 6 2" xfId="3906" xr:uid="{00000000-0005-0000-0000-0000B5140000}"/>
    <cellStyle name="Normal 4 3 6 2 2" xfId="8130" xr:uid="{00000000-0005-0000-0000-0000B6140000}"/>
    <cellStyle name="Normal 4 3 6 2 3" xfId="12794" xr:uid="{250F88BD-561B-4450-B2F0-B54EBEE83E45}"/>
    <cellStyle name="Normal 4 3 6 3" xfId="5985" xr:uid="{00000000-0005-0000-0000-0000B7140000}"/>
    <cellStyle name="Normal 4 3 6 4" xfId="10649" xr:uid="{BF06D183-969D-45AE-9493-315C28B4011D}"/>
    <cellStyle name="Normal 4 3 7" xfId="2090" xr:uid="{00000000-0005-0000-0000-0000B8140000}"/>
    <cellStyle name="Normal 4 3 7 2" xfId="4319" xr:uid="{00000000-0005-0000-0000-0000B9140000}"/>
    <cellStyle name="Normal 4 3 7 2 2" xfId="8543" xr:uid="{00000000-0005-0000-0000-0000BA140000}"/>
    <cellStyle name="Normal 4 3 7 2 3" xfId="13207" xr:uid="{5C3E01B4-6B6A-4681-889F-E9361CA5A392}"/>
    <cellStyle name="Normal 4 3 7 3" xfId="6398" xr:uid="{00000000-0005-0000-0000-0000BB140000}"/>
    <cellStyle name="Normal 4 3 7 4" xfId="11062" xr:uid="{33A588CB-BA13-41B5-84DF-F2A125227B28}"/>
    <cellStyle name="Normal 4 3 8" xfId="2526" xr:uid="{00000000-0005-0000-0000-0000BC140000}"/>
    <cellStyle name="Normal 4 3 8 2" xfId="6811" xr:uid="{00000000-0005-0000-0000-0000BD140000}"/>
    <cellStyle name="Normal 4 3 8 3" xfId="11475" xr:uid="{A159266F-51A7-4F37-9324-2A6547F8117F}"/>
    <cellStyle name="Normal 4 3 9" xfId="4746" xr:uid="{00000000-0005-0000-0000-0000BE140000}"/>
    <cellStyle name="Normal 4 3 9 2" xfId="9403" xr:uid="{520B4D6F-5BC3-48D7-A738-C04BC45DBD28}"/>
    <cellStyle name="Normal 4 4" xfId="378" xr:uid="{00000000-0005-0000-0000-0000BF140000}"/>
    <cellStyle name="Normal 4 4 10" xfId="2535" xr:uid="{00000000-0005-0000-0000-0000C0140000}"/>
    <cellStyle name="Normal 4 4 10 2" xfId="6820" xr:uid="{00000000-0005-0000-0000-0000C1140000}"/>
    <cellStyle name="Normal 4 4 10 3" xfId="11484" xr:uid="{FA007A45-8BE1-43F3-97FD-0CAEDCCB8237}"/>
    <cellStyle name="Normal 4 4 11" xfId="4755" xr:uid="{00000000-0005-0000-0000-0000C2140000}"/>
    <cellStyle name="Normal 4 4 11 2" xfId="9414" xr:uid="{6370A084-C248-429D-879D-454016CAEFC1}"/>
    <cellStyle name="Normal 4 4 12" xfId="8965" xr:uid="{0B2DCE3E-7DF0-4863-9C01-8C8EE51648DC}"/>
    <cellStyle name="Normal 4 4 2" xfId="379" xr:uid="{00000000-0005-0000-0000-0000C3140000}"/>
    <cellStyle name="Normal 4 4 2 10" xfId="4756" xr:uid="{00000000-0005-0000-0000-0000C4140000}"/>
    <cellStyle name="Normal 4 4 2 10 2" xfId="9415" xr:uid="{9337EDE1-262C-4FD2-89B5-52EC2A85974D}"/>
    <cellStyle name="Normal 4 4 2 11" xfId="8966" xr:uid="{32B0A456-CF5F-47A1-BB03-31E85ED078EC}"/>
    <cellStyle name="Normal 4 4 2 2" xfId="380" xr:uid="{00000000-0005-0000-0000-0000C5140000}"/>
    <cellStyle name="Normal 4 4 2 2 10" xfId="8967" xr:uid="{5A7C6244-693C-468C-9143-AC9C6D7A169E}"/>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3" xfId="11981" xr:uid="{54E5B1A1-F63A-4EE6-B7D2-ADCBD13965E1}"/>
    <cellStyle name="Normal 4 4 2 2 2 2 2 3" xfId="5172" xr:uid="{00000000-0005-0000-0000-0000CB140000}"/>
    <cellStyle name="Normal 4 4 2 2 2 2 2 4" xfId="9835" xr:uid="{E4BB892E-79B7-4DDF-8629-442014BD1F3A}"/>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3" xfId="12394" xr:uid="{E5368F0D-6FC2-40BB-A376-F660C07B13E8}"/>
    <cellStyle name="Normal 4 4 2 2 2 2 3 3" xfId="5585" xr:uid="{00000000-0005-0000-0000-0000CF140000}"/>
    <cellStyle name="Normal 4 4 2 2 2 2 3 4" xfId="10249" xr:uid="{BCB25500-6B54-4297-8140-835E465C4851}"/>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3" xfId="12807" xr:uid="{E8F0F448-2F7D-425F-9B40-4797FC1757C8}"/>
    <cellStyle name="Normal 4 4 2 2 2 2 4 3" xfId="5998" xr:uid="{00000000-0005-0000-0000-0000D3140000}"/>
    <cellStyle name="Normal 4 4 2 2 2 2 4 4" xfId="10662" xr:uid="{7637A15C-2FE4-45B8-A1E1-82F8E30C33A1}"/>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3" xfId="13220" xr:uid="{FF4D244A-543B-4374-B0AA-501BD8C4EE3C}"/>
    <cellStyle name="Normal 4 4 2 2 2 2 5 3" xfId="6411" xr:uid="{00000000-0005-0000-0000-0000D7140000}"/>
    <cellStyle name="Normal 4 4 2 2 2 2 5 4" xfId="11075" xr:uid="{D6DB3EA9-422C-41C2-A3A0-8AB56D1D2FD2}"/>
    <cellStyle name="Normal 4 4 2 2 2 2 6" xfId="2539" xr:uid="{00000000-0005-0000-0000-0000D8140000}"/>
    <cellStyle name="Normal 4 4 2 2 2 2 6 2" xfId="6824" xr:uid="{00000000-0005-0000-0000-0000D9140000}"/>
    <cellStyle name="Normal 4 4 2 2 2 2 6 3" xfId="11488" xr:uid="{4EC9EF2E-AC01-4CA9-99AA-28A58D5C0102}"/>
    <cellStyle name="Normal 4 4 2 2 2 2 7" xfId="4759" xr:uid="{00000000-0005-0000-0000-0000DA140000}"/>
    <cellStyle name="Normal 4 4 2 2 2 2 7 2" xfId="9418" xr:uid="{601BE65A-8A24-4E1E-8CB0-7D98351DD46E}"/>
    <cellStyle name="Normal 4 4 2 2 2 2 8" xfId="8969" xr:uid="{6ECC50E4-5DFC-4C05-AE74-A356CE0167DC}"/>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3" xfId="11980" xr:uid="{E9C4859B-2885-44E6-9C65-2475BF00FF2F}"/>
    <cellStyle name="Normal 4 4 2 2 2 3 3" xfId="5171" xr:uid="{00000000-0005-0000-0000-0000DE140000}"/>
    <cellStyle name="Normal 4 4 2 2 2 3 4" xfId="9834" xr:uid="{9312332B-E3B9-412C-B44A-788B2B2F5952}"/>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3" xfId="12393" xr:uid="{B658A719-9946-403A-AC8D-B375C7ABA8F2}"/>
    <cellStyle name="Normal 4 4 2 2 2 4 3" xfId="5584" xr:uid="{00000000-0005-0000-0000-0000E2140000}"/>
    <cellStyle name="Normal 4 4 2 2 2 4 4" xfId="10248" xr:uid="{7A625218-93EB-4CB4-9B98-DF9C88F419E4}"/>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3" xfId="12806" xr:uid="{B1DA31CF-90AD-48E8-95A0-3CD10F6BDD0D}"/>
    <cellStyle name="Normal 4 4 2 2 2 5 3" xfId="5997" xr:uid="{00000000-0005-0000-0000-0000E6140000}"/>
    <cellStyle name="Normal 4 4 2 2 2 5 4" xfId="10661" xr:uid="{D5407FDA-5BA6-49A0-B45B-F837ED62731E}"/>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3" xfId="13219" xr:uid="{BF050A83-FBE9-4736-AFA7-2356CE8324FF}"/>
    <cellStyle name="Normal 4 4 2 2 2 6 3" xfId="6410" xr:uid="{00000000-0005-0000-0000-0000EA140000}"/>
    <cellStyle name="Normal 4 4 2 2 2 6 4" xfId="11074" xr:uid="{69B68F37-7D31-4B71-BF6D-564D56D1125A}"/>
    <cellStyle name="Normal 4 4 2 2 2 7" xfId="2538" xr:uid="{00000000-0005-0000-0000-0000EB140000}"/>
    <cellStyle name="Normal 4 4 2 2 2 7 2" xfId="6823" xr:uid="{00000000-0005-0000-0000-0000EC140000}"/>
    <cellStyle name="Normal 4 4 2 2 2 7 3" xfId="11487" xr:uid="{501E3D83-CE4B-421A-A937-94B5ADF949F9}"/>
    <cellStyle name="Normal 4 4 2 2 2 8" xfId="4758" xr:uid="{00000000-0005-0000-0000-0000ED140000}"/>
    <cellStyle name="Normal 4 4 2 2 2 8 2" xfId="9417" xr:uid="{CAE9599A-8FC5-4DAA-AC8E-EE1B158559AF}"/>
    <cellStyle name="Normal 4 4 2 2 2 9" xfId="8968" xr:uid="{5BA2954F-E678-4E9D-B48D-54D5921CD714}"/>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3" xfId="11982" xr:uid="{0BC56A6C-214E-4603-B075-F2075981DE2A}"/>
    <cellStyle name="Normal 4 4 2 2 3 2 3" xfId="5173" xr:uid="{00000000-0005-0000-0000-0000F2140000}"/>
    <cellStyle name="Normal 4 4 2 2 3 2 4" xfId="9836" xr:uid="{25ED4350-1754-4F78-8FEA-4A1B70E91537}"/>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3" xfId="12395" xr:uid="{D9EC7768-B842-4DC7-8ECF-14962197BC67}"/>
    <cellStyle name="Normal 4 4 2 2 3 3 3" xfId="5586" xr:uid="{00000000-0005-0000-0000-0000F6140000}"/>
    <cellStyle name="Normal 4 4 2 2 3 3 4" xfId="10250" xr:uid="{124FAE78-9BDB-4CE4-928D-BA3DFBF8C4C8}"/>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3" xfId="12808" xr:uid="{E977B177-C9C7-4C61-B352-851247E67EB4}"/>
    <cellStyle name="Normal 4 4 2 2 3 4 3" xfId="5999" xr:uid="{00000000-0005-0000-0000-0000FA140000}"/>
    <cellStyle name="Normal 4 4 2 2 3 4 4" xfId="10663" xr:uid="{8454E017-F0DA-460C-B7FF-B796D2510A57}"/>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3" xfId="13221" xr:uid="{89B696A0-DC90-45C5-BAF6-80F5A6CB8461}"/>
    <cellStyle name="Normal 4 4 2 2 3 5 3" xfId="6412" xr:uid="{00000000-0005-0000-0000-0000FE140000}"/>
    <cellStyle name="Normal 4 4 2 2 3 5 4" xfId="11076" xr:uid="{A0CB387C-4741-42FC-A251-883E1EB48AAB}"/>
    <cellStyle name="Normal 4 4 2 2 3 6" xfId="2540" xr:uid="{00000000-0005-0000-0000-0000FF140000}"/>
    <cellStyle name="Normal 4 4 2 2 3 6 2" xfId="6825" xr:uid="{00000000-0005-0000-0000-000000150000}"/>
    <cellStyle name="Normal 4 4 2 2 3 6 3" xfId="11489" xr:uid="{EAD6414E-433B-4030-B4DD-DDB9D15986FC}"/>
    <cellStyle name="Normal 4 4 2 2 3 7" xfId="4760" xr:uid="{00000000-0005-0000-0000-000001150000}"/>
    <cellStyle name="Normal 4 4 2 2 3 7 2" xfId="9419" xr:uid="{B22EEC0D-DF36-4D91-A9BB-F4903EF5F0E8}"/>
    <cellStyle name="Normal 4 4 2 2 3 8" xfId="8970" xr:uid="{F22393D1-6C52-4242-8C88-E7BFB54C3169}"/>
    <cellStyle name="Normal 4 4 2 2 4" xfId="856" xr:uid="{00000000-0005-0000-0000-000002150000}"/>
    <cellStyle name="Normal 4 4 2 2 4 2" xfId="3091" xr:uid="{00000000-0005-0000-0000-000003150000}"/>
    <cellStyle name="Normal 4 4 2 2 4 2 2" xfId="7315" xr:uid="{00000000-0005-0000-0000-000004150000}"/>
    <cellStyle name="Normal 4 4 2 2 4 2 3" xfId="11979" xr:uid="{51AE37C5-5521-48D9-8303-A62C9D80A330}"/>
    <cellStyle name="Normal 4 4 2 2 4 3" xfId="5170" xr:uid="{00000000-0005-0000-0000-000005150000}"/>
    <cellStyle name="Normal 4 4 2 2 4 4" xfId="9833" xr:uid="{90BB91AC-60CC-4771-B8CE-043FFFE840B8}"/>
    <cellStyle name="Normal 4 4 2 2 5" xfId="1274" xr:uid="{00000000-0005-0000-0000-000006150000}"/>
    <cellStyle name="Normal 4 4 2 2 5 2" xfId="3504" xr:uid="{00000000-0005-0000-0000-000007150000}"/>
    <cellStyle name="Normal 4 4 2 2 5 2 2" xfId="7728" xr:uid="{00000000-0005-0000-0000-000008150000}"/>
    <cellStyle name="Normal 4 4 2 2 5 2 3" xfId="12392" xr:uid="{6264D817-3DF5-45AA-A084-BC6E388A678E}"/>
    <cellStyle name="Normal 4 4 2 2 5 3" xfId="5583" xr:uid="{00000000-0005-0000-0000-000009150000}"/>
    <cellStyle name="Normal 4 4 2 2 5 4" xfId="10247" xr:uid="{B56FB5BA-7CC2-47C5-A881-4F596FF44701}"/>
    <cellStyle name="Normal 4 4 2 2 6" xfId="1687" xr:uid="{00000000-0005-0000-0000-00000A150000}"/>
    <cellStyle name="Normal 4 4 2 2 6 2" xfId="3917" xr:uid="{00000000-0005-0000-0000-00000B150000}"/>
    <cellStyle name="Normal 4 4 2 2 6 2 2" xfId="8141" xr:uid="{00000000-0005-0000-0000-00000C150000}"/>
    <cellStyle name="Normal 4 4 2 2 6 2 3" xfId="12805" xr:uid="{7DA59F2D-1A98-4080-989E-D3DEDCE7AB7C}"/>
    <cellStyle name="Normal 4 4 2 2 6 3" xfId="5996" xr:uid="{00000000-0005-0000-0000-00000D150000}"/>
    <cellStyle name="Normal 4 4 2 2 6 4" xfId="10660" xr:uid="{02849D4E-81E9-4DC2-9C80-69DCCA97904D}"/>
    <cellStyle name="Normal 4 4 2 2 7" xfId="2101" xr:uid="{00000000-0005-0000-0000-00000E150000}"/>
    <cellStyle name="Normal 4 4 2 2 7 2" xfId="4330" xr:uid="{00000000-0005-0000-0000-00000F150000}"/>
    <cellStyle name="Normal 4 4 2 2 7 2 2" xfId="8554" xr:uid="{00000000-0005-0000-0000-000010150000}"/>
    <cellStyle name="Normal 4 4 2 2 7 2 3" xfId="13218" xr:uid="{FEA6EF96-EB0B-412E-B723-6ADF38F6CC40}"/>
    <cellStyle name="Normal 4 4 2 2 7 3" xfId="6409" xr:uid="{00000000-0005-0000-0000-000011150000}"/>
    <cellStyle name="Normal 4 4 2 2 7 4" xfId="11073" xr:uid="{0D111AC3-8CEE-42A4-9C50-BA10CF081DA9}"/>
    <cellStyle name="Normal 4 4 2 2 8" xfId="2537" xr:uid="{00000000-0005-0000-0000-000012150000}"/>
    <cellStyle name="Normal 4 4 2 2 8 2" xfId="6822" xr:uid="{00000000-0005-0000-0000-000013150000}"/>
    <cellStyle name="Normal 4 4 2 2 8 3" xfId="11486" xr:uid="{8A890B79-1E0A-4542-A8B7-72377F655312}"/>
    <cellStyle name="Normal 4 4 2 2 9" xfId="4757" xr:uid="{00000000-0005-0000-0000-000014150000}"/>
    <cellStyle name="Normal 4 4 2 2 9 2" xfId="9416" xr:uid="{ADE740DA-030B-4748-8481-398D30185113}"/>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3" xfId="11984" xr:uid="{1576E5B8-82BA-4060-89F2-65FA3980571D}"/>
    <cellStyle name="Normal 4 4 2 3 2 2 3" xfId="5175" xr:uid="{00000000-0005-0000-0000-00001A150000}"/>
    <cellStyle name="Normal 4 4 2 3 2 2 4" xfId="9838" xr:uid="{01EB3AD7-0DED-46F5-BEDE-9A0F40EA5D08}"/>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3" xfId="12397" xr:uid="{DFAC31F6-B7D2-40AF-B23B-500DF3BBC43A}"/>
    <cellStyle name="Normal 4 4 2 3 2 3 3" xfId="5588" xr:uid="{00000000-0005-0000-0000-00001E150000}"/>
    <cellStyle name="Normal 4 4 2 3 2 3 4" xfId="10252" xr:uid="{B066D2B4-F70F-405F-9163-75868AB50E37}"/>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3" xfId="12810" xr:uid="{3D86F6B4-0354-4E9A-B2F6-8CE476E07460}"/>
    <cellStyle name="Normal 4 4 2 3 2 4 3" xfId="6001" xr:uid="{00000000-0005-0000-0000-000022150000}"/>
    <cellStyle name="Normal 4 4 2 3 2 4 4" xfId="10665" xr:uid="{B62DDD13-0505-4E44-BBC9-0F5F3D8915FB}"/>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3" xfId="13223" xr:uid="{E898528E-FCB4-497A-8711-24D37BC5921A}"/>
    <cellStyle name="Normal 4 4 2 3 2 5 3" xfId="6414" xr:uid="{00000000-0005-0000-0000-000026150000}"/>
    <cellStyle name="Normal 4 4 2 3 2 5 4" xfId="11078" xr:uid="{AE7243B8-C593-47D3-A42D-0B25509A5580}"/>
    <cellStyle name="Normal 4 4 2 3 2 6" xfId="2542" xr:uid="{00000000-0005-0000-0000-000027150000}"/>
    <cellStyle name="Normal 4 4 2 3 2 6 2" xfId="6827" xr:uid="{00000000-0005-0000-0000-000028150000}"/>
    <cellStyle name="Normal 4 4 2 3 2 6 3" xfId="11491" xr:uid="{1E51A456-6855-4BF8-9885-E30120C144C5}"/>
    <cellStyle name="Normal 4 4 2 3 2 7" xfId="4762" xr:uid="{00000000-0005-0000-0000-000029150000}"/>
    <cellStyle name="Normal 4 4 2 3 2 7 2" xfId="9421" xr:uid="{BFFEE54F-F5F3-4AD1-9C66-5A76BA419130}"/>
    <cellStyle name="Normal 4 4 2 3 2 8" xfId="8972" xr:uid="{F7496F17-E01A-4061-8DC0-A25DFFFC2143}"/>
    <cellStyle name="Normal 4 4 2 3 3" xfId="860" xr:uid="{00000000-0005-0000-0000-00002A150000}"/>
    <cellStyle name="Normal 4 4 2 3 3 2" xfId="3095" xr:uid="{00000000-0005-0000-0000-00002B150000}"/>
    <cellStyle name="Normal 4 4 2 3 3 2 2" xfId="7319" xr:uid="{00000000-0005-0000-0000-00002C150000}"/>
    <cellStyle name="Normal 4 4 2 3 3 2 3" xfId="11983" xr:uid="{EA1AE99F-E208-4D37-8B84-910902505241}"/>
    <cellStyle name="Normal 4 4 2 3 3 3" xfId="5174" xr:uid="{00000000-0005-0000-0000-00002D150000}"/>
    <cellStyle name="Normal 4 4 2 3 3 4" xfId="9837" xr:uid="{E9210E24-6AC3-4D90-B4B2-629551BD209C}"/>
    <cellStyle name="Normal 4 4 2 3 4" xfId="1278" xr:uid="{00000000-0005-0000-0000-00002E150000}"/>
    <cellStyle name="Normal 4 4 2 3 4 2" xfId="3508" xr:uid="{00000000-0005-0000-0000-00002F150000}"/>
    <cellStyle name="Normal 4 4 2 3 4 2 2" xfId="7732" xr:uid="{00000000-0005-0000-0000-000030150000}"/>
    <cellStyle name="Normal 4 4 2 3 4 2 3" xfId="12396" xr:uid="{74F7F135-ACB1-41C8-A64B-4164A48C5011}"/>
    <cellStyle name="Normal 4 4 2 3 4 3" xfId="5587" xr:uid="{00000000-0005-0000-0000-000031150000}"/>
    <cellStyle name="Normal 4 4 2 3 4 4" xfId="10251" xr:uid="{264920C7-2AD9-47D7-963F-BEE9ABBBBAFC}"/>
    <cellStyle name="Normal 4 4 2 3 5" xfId="1691" xr:uid="{00000000-0005-0000-0000-000032150000}"/>
    <cellStyle name="Normal 4 4 2 3 5 2" xfId="3921" xr:uid="{00000000-0005-0000-0000-000033150000}"/>
    <cellStyle name="Normal 4 4 2 3 5 2 2" xfId="8145" xr:uid="{00000000-0005-0000-0000-000034150000}"/>
    <cellStyle name="Normal 4 4 2 3 5 2 3" xfId="12809" xr:uid="{8F1BDCFC-3FDC-457C-995A-C64353C807BA}"/>
    <cellStyle name="Normal 4 4 2 3 5 3" xfId="6000" xr:uid="{00000000-0005-0000-0000-000035150000}"/>
    <cellStyle name="Normal 4 4 2 3 5 4" xfId="10664" xr:uid="{DEEC27E2-E2C8-48C6-BACC-A272DAD3AA29}"/>
    <cellStyle name="Normal 4 4 2 3 6" xfId="2105" xr:uid="{00000000-0005-0000-0000-000036150000}"/>
    <cellStyle name="Normal 4 4 2 3 6 2" xfId="4334" xr:uid="{00000000-0005-0000-0000-000037150000}"/>
    <cellStyle name="Normal 4 4 2 3 6 2 2" xfId="8558" xr:uid="{00000000-0005-0000-0000-000038150000}"/>
    <cellStyle name="Normal 4 4 2 3 6 2 3" xfId="13222" xr:uid="{41CEC259-15E7-4C9A-BCF3-21141DE8F3B3}"/>
    <cellStyle name="Normal 4 4 2 3 6 3" xfId="6413" xr:uid="{00000000-0005-0000-0000-000039150000}"/>
    <cellStyle name="Normal 4 4 2 3 6 4" xfId="11077" xr:uid="{EC14FF59-B7C7-4D4A-80C3-329DC0C5147B}"/>
    <cellStyle name="Normal 4 4 2 3 7" xfId="2541" xr:uid="{00000000-0005-0000-0000-00003A150000}"/>
    <cellStyle name="Normal 4 4 2 3 7 2" xfId="6826" xr:uid="{00000000-0005-0000-0000-00003B150000}"/>
    <cellStyle name="Normal 4 4 2 3 7 3" xfId="11490" xr:uid="{18E1E57B-D97A-484D-A713-0440F343B1E0}"/>
    <cellStyle name="Normal 4 4 2 3 8" xfId="4761" xr:uid="{00000000-0005-0000-0000-00003C150000}"/>
    <cellStyle name="Normal 4 4 2 3 8 2" xfId="9420" xr:uid="{09D27E32-F9E2-4878-90CF-4E3AF9E944DA}"/>
    <cellStyle name="Normal 4 4 2 3 9" xfId="8971" xr:uid="{87C6479F-DD8E-474B-8F41-6FFCE5B0D314}"/>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3" xfId="11985" xr:uid="{970AAE22-0CD5-40C7-80A8-2D787EC9DB31}"/>
    <cellStyle name="Normal 4 4 2 4 2 3" xfId="5176" xr:uid="{00000000-0005-0000-0000-000041150000}"/>
    <cellStyle name="Normal 4 4 2 4 2 4" xfId="9839" xr:uid="{B0A803B3-A160-4571-BCB1-C6834E7D9547}"/>
    <cellStyle name="Normal 4 4 2 4 3" xfId="1280" xr:uid="{00000000-0005-0000-0000-000042150000}"/>
    <cellStyle name="Normal 4 4 2 4 3 2" xfId="3510" xr:uid="{00000000-0005-0000-0000-000043150000}"/>
    <cellStyle name="Normal 4 4 2 4 3 2 2" xfId="7734" xr:uid="{00000000-0005-0000-0000-000044150000}"/>
    <cellStyle name="Normal 4 4 2 4 3 2 3" xfId="12398" xr:uid="{604FB22B-63C0-487B-99BB-C7AFA1F84A8F}"/>
    <cellStyle name="Normal 4 4 2 4 3 3" xfId="5589" xr:uid="{00000000-0005-0000-0000-000045150000}"/>
    <cellStyle name="Normal 4 4 2 4 3 4" xfId="10253" xr:uid="{32752962-8267-40CF-883A-8FB164649B9E}"/>
    <cellStyle name="Normal 4 4 2 4 4" xfId="1693" xr:uid="{00000000-0005-0000-0000-000046150000}"/>
    <cellStyle name="Normal 4 4 2 4 4 2" xfId="3923" xr:uid="{00000000-0005-0000-0000-000047150000}"/>
    <cellStyle name="Normal 4 4 2 4 4 2 2" xfId="8147" xr:uid="{00000000-0005-0000-0000-000048150000}"/>
    <cellStyle name="Normal 4 4 2 4 4 2 3" xfId="12811" xr:uid="{90654C97-3B89-4EEA-88AB-5A147D8340E8}"/>
    <cellStyle name="Normal 4 4 2 4 4 3" xfId="6002" xr:uid="{00000000-0005-0000-0000-000049150000}"/>
    <cellStyle name="Normal 4 4 2 4 4 4" xfId="10666" xr:uid="{3FCBDABD-FECC-4F79-8ABE-E59D57A9E85D}"/>
    <cellStyle name="Normal 4 4 2 4 5" xfId="2107" xr:uid="{00000000-0005-0000-0000-00004A150000}"/>
    <cellStyle name="Normal 4 4 2 4 5 2" xfId="4336" xr:uid="{00000000-0005-0000-0000-00004B150000}"/>
    <cellStyle name="Normal 4 4 2 4 5 2 2" xfId="8560" xr:uid="{00000000-0005-0000-0000-00004C150000}"/>
    <cellStyle name="Normal 4 4 2 4 5 2 3" xfId="13224" xr:uid="{44E52FC1-8612-48D3-A807-F9D4CE393A78}"/>
    <cellStyle name="Normal 4 4 2 4 5 3" xfId="6415" xr:uid="{00000000-0005-0000-0000-00004D150000}"/>
    <cellStyle name="Normal 4 4 2 4 5 4" xfId="11079" xr:uid="{052EE42C-35AA-491C-B537-A6091EF78984}"/>
    <cellStyle name="Normal 4 4 2 4 6" xfId="2543" xr:uid="{00000000-0005-0000-0000-00004E150000}"/>
    <cellStyle name="Normal 4 4 2 4 6 2" xfId="6828" xr:uid="{00000000-0005-0000-0000-00004F150000}"/>
    <cellStyle name="Normal 4 4 2 4 6 3" xfId="11492" xr:uid="{8484A0F8-85DC-4A00-A800-1E6172BB0A81}"/>
    <cellStyle name="Normal 4 4 2 4 7" xfId="4763" xr:uid="{00000000-0005-0000-0000-000050150000}"/>
    <cellStyle name="Normal 4 4 2 4 7 2" xfId="9422" xr:uid="{C161D95B-B033-4C99-AF6D-742F8974DD9A}"/>
    <cellStyle name="Normal 4 4 2 4 8" xfId="8973" xr:uid="{CBD8A819-DBE5-4A4C-81B6-8813D44CFCF1}"/>
    <cellStyle name="Normal 4 4 2 5" xfId="855" xr:uid="{00000000-0005-0000-0000-000051150000}"/>
    <cellStyle name="Normal 4 4 2 5 2" xfId="3090" xr:uid="{00000000-0005-0000-0000-000052150000}"/>
    <cellStyle name="Normal 4 4 2 5 2 2" xfId="7314" xr:uid="{00000000-0005-0000-0000-000053150000}"/>
    <cellStyle name="Normal 4 4 2 5 2 3" xfId="11978" xr:uid="{96CBCFBA-AE5C-4B57-A631-85F6075740A5}"/>
    <cellStyle name="Normal 4 4 2 5 3" xfId="5169" xr:uid="{00000000-0005-0000-0000-000054150000}"/>
    <cellStyle name="Normal 4 4 2 5 4" xfId="9832" xr:uid="{7029B8DB-574B-4FB6-B6EA-FDE896CD54BA}"/>
    <cellStyle name="Normal 4 4 2 6" xfId="1273" xr:uid="{00000000-0005-0000-0000-000055150000}"/>
    <cellStyle name="Normal 4 4 2 6 2" xfId="3503" xr:uid="{00000000-0005-0000-0000-000056150000}"/>
    <cellStyle name="Normal 4 4 2 6 2 2" xfId="7727" xr:uid="{00000000-0005-0000-0000-000057150000}"/>
    <cellStyle name="Normal 4 4 2 6 2 3" xfId="12391" xr:uid="{AF3C4E96-D804-4C7C-948D-708DCCA977B0}"/>
    <cellStyle name="Normal 4 4 2 6 3" xfId="5582" xr:uid="{00000000-0005-0000-0000-000058150000}"/>
    <cellStyle name="Normal 4 4 2 6 4" xfId="10246" xr:uid="{BDD7287C-5B7E-46BF-AAE0-47CD9875025D}"/>
    <cellStyle name="Normal 4 4 2 7" xfId="1686" xr:uid="{00000000-0005-0000-0000-000059150000}"/>
    <cellStyle name="Normal 4 4 2 7 2" xfId="3916" xr:uid="{00000000-0005-0000-0000-00005A150000}"/>
    <cellStyle name="Normal 4 4 2 7 2 2" xfId="8140" xr:uid="{00000000-0005-0000-0000-00005B150000}"/>
    <cellStyle name="Normal 4 4 2 7 2 3" xfId="12804" xr:uid="{882B9E54-B672-453D-B9E3-F6DA8E70856A}"/>
    <cellStyle name="Normal 4 4 2 7 3" xfId="5995" xr:uid="{00000000-0005-0000-0000-00005C150000}"/>
    <cellStyle name="Normal 4 4 2 7 4" xfId="10659" xr:uid="{7E802FE3-2EF1-40CD-B806-1E5BDC06A5C2}"/>
    <cellStyle name="Normal 4 4 2 8" xfId="2100" xr:uid="{00000000-0005-0000-0000-00005D150000}"/>
    <cellStyle name="Normal 4 4 2 8 2" xfId="4329" xr:uid="{00000000-0005-0000-0000-00005E150000}"/>
    <cellStyle name="Normal 4 4 2 8 2 2" xfId="8553" xr:uid="{00000000-0005-0000-0000-00005F150000}"/>
    <cellStyle name="Normal 4 4 2 8 2 3" xfId="13217" xr:uid="{F94BD084-97C0-43A3-BC3F-6151CA620A10}"/>
    <cellStyle name="Normal 4 4 2 8 3" xfId="6408" xr:uid="{00000000-0005-0000-0000-000060150000}"/>
    <cellStyle name="Normal 4 4 2 8 4" xfId="11072" xr:uid="{E01252A3-762D-494C-80F9-68CD91992CF7}"/>
    <cellStyle name="Normal 4 4 2 9" xfId="2536" xr:uid="{00000000-0005-0000-0000-000061150000}"/>
    <cellStyle name="Normal 4 4 2 9 2" xfId="6821" xr:uid="{00000000-0005-0000-0000-000062150000}"/>
    <cellStyle name="Normal 4 4 2 9 3" xfId="11485" xr:uid="{FD364B03-2B7B-4F8C-AF32-378006D0FED0}"/>
    <cellStyle name="Normal 4 4 3" xfId="387" xr:uid="{00000000-0005-0000-0000-000063150000}"/>
    <cellStyle name="Normal 4 4 3 10" xfId="8974" xr:uid="{CBA4F490-18CB-4FC9-B897-69E6B8ADBEF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3" xfId="11988" xr:uid="{D605D9E7-F348-4BE9-8C29-03A25EDDF4EB}"/>
    <cellStyle name="Normal 4 4 3 2 2 2 3" xfId="5179" xr:uid="{00000000-0005-0000-0000-000069150000}"/>
    <cellStyle name="Normal 4 4 3 2 2 2 4" xfId="9842" xr:uid="{00C1BC7D-6C96-4CD7-8766-30C25DC77BDA}"/>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3" xfId="12401" xr:uid="{BACD3740-F4C3-4EAC-96A6-25D4034267F1}"/>
    <cellStyle name="Normal 4 4 3 2 2 3 3" xfId="5592" xr:uid="{00000000-0005-0000-0000-00006D150000}"/>
    <cellStyle name="Normal 4 4 3 2 2 3 4" xfId="10256" xr:uid="{C0EA4C92-B691-4EDE-A50D-F808938E8766}"/>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3" xfId="12814" xr:uid="{0EF2ED66-1FC7-4CC9-84E2-2F29890F6067}"/>
    <cellStyle name="Normal 4 4 3 2 2 4 3" xfId="6005" xr:uid="{00000000-0005-0000-0000-000071150000}"/>
    <cellStyle name="Normal 4 4 3 2 2 4 4" xfId="10669" xr:uid="{01D25BB0-0AA2-40AA-A8EB-9AAAF5223FFD}"/>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3" xfId="13227" xr:uid="{72B257CE-C9EF-45C3-83CF-F28FCE320675}"/>
    <cellStyle name="Normal 4 4 3 2 2 5 3" xfId="6418" xr:uid="{00000000-0005-0000-0000-000075150000}"/>
    <cellStyle name="Normal 4 4 3 2 2 5 4" xfId="11082" xr:uid="{FF490B7B-E8D0-458C-9EA1-5CE7D45E12E3}"/>
    <cellStyle name="Normal 4 4 3 2 2 6" xfId="2546" xr:uid="{00000000-0005-0000-0000-000076150000}"/>
    <cellStyle name="Normal 4 4 3 2 2 6 2" xfId="6831" xr:uid="{00000000-0005-0000-0000-000077150000}"/>
    <cellStyle name="Normal 4 4 3 2 2 6 3" xfId="11495" xr:uid="{6E9877D7-A5B2-408F-8AA8-1A5AAE6B5472}"/>
    <cellStyle name="Normal 4 4 3 2 2 7" xfId="4766" xr:uid="{00000000-0005-0000-0000-000078150000}"/>
    <cellStyle name="Normal 4 4 3 2 2 7 2" xfId="9425" xr:uid="{C7EAE61D-1999-46A5-852D-FB42D1C530B0}"/>
    <cellStyle name="Normal 4 4 3 2 2 8" xfId="8976" xr:uid="{D155D5DC-5860-43E6-998D-194C266970EC}"/>
    <cellStyle name="Normal 4 4 3 2 3" xfId="864" xr:uid="{00000000-0005-0000-0000-000079150000}"/>
    <cellStyle name="Normal 4 4 3 2 3 2" xfId="3099" xr:uid="{00000000-0005-0000-0000-00007A150000}"/>
    <cellStyle name="Normal 4 4 3 2 3 2 2" xfId="7323" xr:uid="{00000000-0005-0000-0000-00007B150000}"/>
    <cellStyle name="Normal 4 4 3 2 3 2 3" xfId="11987" xr:uid="{D5C5FBF3-0934-4FF6-8D8A-0DC8539664A5}"/>
    <cellStyle name="Normal 4 4 3 2 3 3" xfId="5178" xr:uid="{00000000-0005-0000-0000-00007C150000}"/>
    <cellStyle name="Normal 4 4 3 2 3 4" xfId="9841" xr:uid="{3A625569-AF7A-4AA2-9E43-99745D765A83}"/>
    <cellStyle name="Normal 4 4 3 2 4" xfId="1282" xr:uid="{00000000-0005-0000-0000-00007D150000}"/>
    <cellStyle name="Normal 4 4 3 2 4 2" xfId="3512" xr:uid="{00000000-0005-0000-0000-00007E150000}"/>
    <cellStyle name="Normal 4 4 3 2 4 2 2" xfId="7736" xr:uid="{00000000-0005-0000-0000-00007F150000}"/>
    <cellStyle name="Normal 4 4 3 2 4 2 3" xfId="12400" xr:uid="{C0901087-9D4D-469B-A5DF-912F42996FDA}"/>
    <cellStyle name="Normal 4 4 3 2 4 3" xfId="5591" xr:uid="{00000000-0005-0000-0000-000080150000}"/>
    <cellStyle name="Normal 4 4 3 2 4 4" xfId="10255" xr:uid="{CD3F52AB-7C56-473F-8C12-3D9D07DE79AA}"/>
    <cellStyle name="Normal 4 4 3 2 5" xfId="1695" xr:uid="{00000000-0005-0000-0000-000081150000}"/>
    <cellStyle name="Normal 4 4 3 2 5 2" xfId="3925" xr:uid="{00000000-0005-0000-0000-000082150000}"/>
    <cellStyle name="Normal 4 4 3 2 5 2 2" xfId="8149" xr:uid="{00000000-0005-0000-0000-000083150000}"/>
    <cellStyle name="Normal 4 4 3 2 5 2 3" xfId="12813" xr:uid="{DB003EA3-CDFC-4855-B3C0-108283E80A07}"/>
    <cellStyle name="Normal 4 4 3 2 5 3" xfId="6004" xr:uid="{00000000-0005-0000-0000-000084150000}"/>
    <cellStyle name="Normal 4 4 3 2 5 4" xfId="10668" xr:uid="{1599A6BC-E36A-4992-9505-1E60026CA727}"/>
    <cellStyle name="Normal 4 4 3 2 6" xfId="2109" xr:uid="{00000000-0005-0000-0000-000085150000}"/>
    <cellStyle name="Normal 4 4 3 2 6 2" xfId="4338" xr:uid="{00000000-0005-0000-0000-000086150000}"/>
    <cellStyle name="Normal 4 4 3 2 6 2 2" xfId="8562" xr:uid="{00000000-0005-0000-0000-000087150000}"/>
    <cellStyle name="Normal 4 4 3 2 6 2 3" xfId="13226" xr:uid="{351B27B4-6190-4B46-8609-6B98E590C3A3}"/>
    <cellStyle name="Normal 4 4 3 2 6 3" xfId="6417" xr:uid="{00000000-0005-0000-0000-000088150000}"/>
    <cellStyle name="Normal 4 4 3 2 6 4" xfId="11081" xr:uid="{1636D5B7-39FD-4219-BAEF-1862D5A7F0AE}"/>
    <cellStyle name="Normal 4 4 3 2 7" xfId="2545" xr:uid="{00000000-0005-0000-0000-000089150000}"/>
    <cellStyle name="Normal 4 4 3 2 7 2" xfId="6830" xr:uid="{00000000-0005-0000-0000-00008A150000}"/>
    <cellStyle name="Normal 4 4 3 2 7 3" xfId="11494" xr:uid="{4677D4EE-5DA8-430A-BD46-5C3DBDC9990A}"/>
    <cellStyle name="Normal 4 4 3 2 8" xfId="4765" xr:uid="{00000000-0005-0000-0000-00008B150000}"/>
    <cellStyle name="Normal 4 4 3 2 8 2" xfId="9424" xr:uid="{CFB42CA1-0EB5-4C2D-A08C-D7EF72DA37D3}"/>
    <cellStyle name="Normal 4 4 3 2 9" xfId="8975" xr:uid="{6C5B4BC1-895E-443B-9BBA-FEB6C98B98EE}"/>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3" xfId="11989" xr:uid="{47A0DB0C-44BF-4A78-94A8-5D3008773305}"/>
    <cellStyle name="Normal 4 4 3 3 2 3" xfId="5180" xr:uid="{00000000-0005-0000-0000-000090150000}"/>
    <cellStyle name="Normal 4 4 3 3 2 4" xfId="9843" xr:uid="{263B5DBB-2660-442E-B8AF-2ED7A86CE5D9}"/>
    <cellStyle name="Normal 4 4 3 3 3" xfId="1284" xr:uid="{00000000-0005-0000-0000-000091150000}"/>
    <cellStyle name="Normal 4 4 3 3 3 2" xfId="3514" xr:uid="{00000000-0005-0000-0000-000092150000}"/>
    <cellStyle name="Normal 4 4 3 3 3 2 2" xfId="7738" xr:uid="{00000000-0005-0000-0000-000093150000}"/>
    <cellStyle name="Normal 4 4 3 3 3 2 3" xfId="12402" xr:uid="{C2B66D26-D0CE-4CFF-99F8-DD7D552B4414}"/>
    <cellStyle name="Normal 4 4 3 3 3 3" xfId="5593" xr:uid="{00000000-0005-0000-0000-000094150000}"/>
    <cellStyle name="Normal 4 4 3 3 3 4" xfId="10257" xr:uid="{76C7BF81-FC91-4A78-9D43-832E268027C5}"/>
    <cellStyle name="Normal 4 4 3 3 4" xfId="1697" xr:uid="{00000000-0005-0000-0000-000095150000}"/>
    <cellStyle name="Normal 4 4 3 3 4 2" xfId="3927" xr:uid="{00000000-0005-0000-0000-000096150000}"/>
    <cellStyle name="Normal 4 4 3 3 4 2 2" xfId="8151" xr:uid="{00000000-0005-0000-0000-000097150000}"/>
    <cellStyle name="Normal 4 4 3 3 4 2 3" xfId="12815" xr:uid="{1DC6D5EB-FABB-48B5-8281-F833D433E14D}"/>
    <cellStyle name="Normal 4 4 3 3 4 3" xfId="6006" xr:uid="{00000000-0005-0000-0000-000098150000}"/>
    <cellStyle name="Normal 4 4 3 3 4 4" xfId="10670" xr:uid="{55F54A93-76D1-4DC2-B924-4AB997B3B767}"/>
    <cellStyle name="Normal 4 4 3 3 5" xfId="2111" xr:uid="{00000000-0005-0000-0000-000099150000}"/>
    <cellStyle name="Normal 4 4 3 3 5 2" xfId="4340" xr:uid="{00000000-0005-0000-0000-00009A150000}"/>
    <cellStyle name="Normal 4 4 3 3 5 2 2" xfId="8564" xr:uid="{00000000-0005-0000-0000-00009B150000}"/>
    <cellStyle name="Normal 4 4 3 3 5 2 3" xfId="13228" xr:uid="{6A7A5F5A-C0F5-43F2-8167-439DED729F6B}"/>
    <cellStyle name="Normal 4 4 3 3 5 3" xfId="6419" xr:uid="{00000000-0005-0000-0000-00009C150000}"/>
    <cellStyle name="Normal 4 4 3 3 5 4" xfId="11083" xr:uid="{1BB7535C-CF8F-4B7B-8674-5A5AD649A347}"/>
    <cellStyle name="Normal 4 4 3 3 6" xfId="2547" xr:uid="{00000000-0005-0000-0000-00009D150000}"/>
    <cellStyle name="Normal 4 4 3 3 6 2" xfId="6832" xr:uid="{00000000-0005-0000-0000-00009E150000}"/>
    <cellStyle name="Normal 4 4 3 3 6 3" xfId="11496" xr:uid="{2C08E1DF-AC4D-4B4D-9B16-78F1B6863BB0}"/>
    <cellStyle name="Normal 4 4 3 3 7" xfId="4767" xr:uid="{00000000-0005-0000-0000-00009F150000}"/>
    <cellStyle name="Normal 4 4 3 3 7 2" xfId="9426" xr:uid="{38CD7530-5529-4C7C-B3F5-8847B4F8FD9B}"/>
    <cellStyle name="Normal 4 4 3 3 8" xfId="8977" xr:uid="{C6122B0E-E4CF-4B2E-97F1-AC0E45BBB1A4}"/>
    <cellStyle name="Normal 4 4 3 4" xfId="863" xr:uid="{00000000-0005-0000-0000-0000A0150000}"/>
    <cellStyle name="Normal 4 4 3 4 2" xfId="3098" xr:uid="{00000000-0005-0000-0000-0000A1150000}"/>
    <cellStyle name="Normal 4 4 3 4 2 2" xfId="7322" xr:uid="{00000000-0005-0000-0000-0000A2150000}"/>
    <cellStyle name="Normal 4 4 3 4 2 3" xfId="11986" xr:uid="{99B1852E-B18B-4D20-8C0E-EA7C52EB23D9}"/>
    <cellStyle name="Normal 4 4 3 4 3" xfId="5177" xr:uid="{00000000-0005-0000-0000-0000A3150000}"/>
    <cellStyle name="Normal 4 4 3 4 4" xfId="9840" xr:uid="{6F5A2B14-3F8B-4980-96F8-8CB2E1FBD037}"/>
    <cellStyle name="Normal 4 4 3 5" xfId="1281" xr:uid="{00000000-0005-0000-0000-0000A4150000}"/>
    <cellStyle name="Normal 4 4 3 5 2" xfId="3511" xr:uid="{00000000-0005-0000-0000-0000A5150000}"/>
    <cellStyle name="Normal 4 4 3 5 2 2" xfId="7735" xr:uid="{00000000-0005-0000-0000-0000A6150000}"/>
    <cellStyle name="Normal 4 4 3 5 2 3" xfId="12399" xr:uid="{BEA10BC2-4F87-4E20-849C-EFD1ADDD71FF}"/>
    <cellStyle name="Normal 4 4 3 5 3" xfId="5590" xr:uid="{00000000-0005-0000-0000-0000A7150000}"/>
    <cellStyle name="Normal 4 4 3 5 4" xfId="10254" xr:uid="{F545DEDB-0B34-439B-A830-28311DD19367}"/>
    <cellStyle name="Normal 4 4 3 6" xfId="1694" xr:uid="{00000000-0005-0000-0000-0000A8150000}"/>
    <cellStyle name="Normal 4 4 3 6 2" xfId="3924" xr:uid="{00000000-0005-0000-0000-0000A9150000}"/>
    <cellStyle name="Normal 4 4 3 6 2 2" xfId="8148" xr:uid="{00000000-0005-0000-0000-0000AA150000}"/>
    <cellStyle name="Normal 4 4 3 6 2 3" xfId="12812" xr:uid="{24FBDD1F-654A-495C-B7D1-5CA44CA59651}"/>
    <cellStyle name="Normal 4 4 3 6 3" xfId="6003" xr:uid="{00000000-0005-0000-0000-0000AB150000}"/>
    <cellStyle name="Normal 4 4 3 6 4" xfId="10667" xr:uid="{741BFC98-87A6-4798-A56F-2D1F4B3884FE}"/>
    <cellStyle name="Normal 4 4 3 7" xfId="2108" xr:uid="{00000000-0005-0000-0000-0000AC150000}"/>
    <cellStyle name="Normal 4 4 3 7 2" xfId="4337" xr:uid="{00000000-0005-0000-0000-0000AD150000}"/>
    <cellStyle name="Normal 4 4 3 7 2 2" xfId="8561" xr:uid="{00000000-0005-0000-0000-0000AE150000}"/>
    <cellStyle name="Normal 4 4 3 7 2 3" xfId="13225" xr:uid="{E0D303AC-6AAD-4631-A27F-87E05D552530}"/>
    <cellStyle name="Normal 4 4 3 7 3" xfId="6416" xr:uid="{00000000-0005-0000-0000-0000AF150000}"/>
    <cellStyle name="Normal 4 4 3 7 4" xfId="11080" xr:uid="{EF3F019D-33EE-43F6-86D8-9C3531011444}"/>
    <cellStyle name="Normal 4 4 3 8" xfId="2544" xr:uid="{00000000-0005-0000-0000-0000B0150000}"/>
    <cellStyle name="Normal 4 4 3 8 2" xfId="6829" xr:uid="{00000000-0005-0000-0000-0000B1150000}"/>
    <cellStyle name="Normal 4 4 3 8 3" xfId="11493" xr:uid="{5ED1B124-F676-4272-81B6-F47F4C620443}"/>
    <cellStyle name="Normal 4 4 3 9" xfId="4764" xr:uid="{00000000-0005-0000-0000-0000B2150000}"/>
    <cellStyle name="Normal 4 4 3 9 2" xfId="9423" xr:uid="{D1A1B01A-E318-4CED-AC58-9498CB68089A}"/>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3" xfId="11991" xr:uid="{DB526DF4-7A52-40A8-98E1-656ACC4D5C97}"/>
    <cellStyle name="Normal 4 4 4 2 2 3" xfId="5182" xr:uid="{00000000-0005-0000-0000-0000B8150000}"/>
    <cellStyle name="Normal 4 4 4 2 2 4" xfId="9845" xr:uid="{1C6D831A-7982-4D10-9224-D9A70032B5EF}"/>
    <cellStyle name="Normal 4 4 4 2 3" xfId="1286" xr:uid="{00000000-0005-0000-0000-0000B9150000}"/>
    <cellStyle name="Normal 4 4 4 2 3 2" xfId="3516" xr:uid="{00000000-0005-0000-0000-0000BA150000}"/>
    <cellStyle name="Normal 4 4 4 2 3 2 2" xfId="7740" xr:uid="{00000000-0005-0000-0000-0000BB150000}"/>
    <cellStyle name="Normal 4 4 4 2 3 2 3" xfId="12404" xr:uid="{CBBC4068-CB02-4FBF-ABFF-0F6A7FFF6381}"/>
    <cellStyle name="Normal 4 4 4 2 3 3" xfId="5595" xr:uid="{00000000-0005-0000-0000-0000BC150000}"/>
    <cellStyle name="Normal 4 4 4 2 3 4" xfId="10259" xr:uid="{93A4B759-A85D-45D1-A73B-6801CDBE1EF9}"/>
    <cellStyle name="Normal 4 4 4 2 4" xfId="1699" xr:uid="{00000000-0005-0000-0000-0000BD150000}"/>
    <cellStyle name="Normal 4 4 4 2 4 2" xfId="3929" xr:uid="{00000000-0005-0000-0000-0000BE150000}"/>
    <cellStyle name="Normal 4 4 4 2 4 2 2" xfId="8153" xr:uid="{00000000-0005-0000-0000-0000BF150000}"/>
    <cellStyle name="Normal 4 4 4 2 4 2 3" xfId="12817" xr:uid="{78CC16C0-BA08-4E93-A53E-6B82C30F9FCB}"/>
    <cellStyle name="Normal 4 4 4 2 4 3" xfId="6008" xr:uid="{00000000-0005-0000-0000-0000C0150000}"/>
    <cellStyle name="Normal 4 4 4 2 4 4" xfId="10672" xr:uid="{BE8D9D44-DB69-4907-A2AA-53F6633BA913}"/>
    <cellStyle name="Normal 4 4 4 2 5" xfId="2113" xr:uid="{00000000-0005-0000-0000-0000C1150000}"/>
    <cellStyle name="Normal 4 4 4 2 5 2" xfId="4342" xr:uid="{00000000-0005-0000-0000-0000C2150000}"/>
    <cellStyle name="Normal 4 4 4 2 5 2 2" xfId="8566" xr:uid="{00000000-0005-0000-0000-0000C3150000}"/>
    <cellStyle name="Normal 4 4 4 2 5 2 3" xfId="13230" xr:uid="{185037BF-6EF3-4CDD-BAC6-8908EF82C849}"/>
    <cellStyle name="Normal 4 4 4 2 5 3" xfId="6421" xr:uid="{00000000-0005-0000-0000-0000C4150000}"/>
    <cellStyle name="Normal 4 4 4 2 5 4" xfId="11085" xr:uid="{7939586C-D9AF-40CD-A108-7ABDC6679DA4}"/>
    <cellStyle name="Normal 4 4 4 2 6" xfId="2549" xr:uid="{00000000-0005-0000-0000-0000C5150000}"/>
    <cellStyle name="Normal 4 4 4 2 6 2" xfId="6834" xr:uid="{00000000-0005-0000-0000-0000C6150000}"/>
    <cellStyle name="Normal 4 4 4 2 6 3" xfId="11498" xr:uid="{8389225F-3AB2-4ACB-B374-128A62BAEDB1}"/>
    <cellStyle name="Normal 4 4 4 2 7" xfId="4769" xr:uid="{00000000-0005-0000-0000-0000C7150000}"/>
    <cellStyle name="Normal 4 4 4 2 7 2" xfId="9428" xr:uid="{A930BB13-A2AD-48A0-95B5-E8DB42A5FDCA}"/>
    <cellStyle name="Normal 4 4 4 2 8" xfId="8979" xr:uid="{2B8ABE69-0EF2-454B-94B8-5CC8371144AA}"/>
    <cellStyle name="Normal 4 4 4 3" xfId="867" xr:uid="{00000000-0005-0000-0000-0000C8150000}"/>
    <cellStyle name="Normal 4 4 4 3 2" xfId="3102" xr:uid="{00000000-0005-0000-0000-0000C9150000}"/>
    <cellStyle name="Normal 4 4 4 3 2 2" xfId="7326" xr:uid="{00000000-0005-0000-0000-0000CA150000}"/>
    <cellStyle name="Normal 4 4 4 3 2 3" xfId="11990" xr:uid="{FCE962A2-09AE-4E51-BA02-F02189930C47}"/>
    <cellStyle name="Normal 4 4 4 3 3" xfId="5181" xr:uid="{00000000-0005-0000-0000-0000CB150000}"/>
    <cellStyle name="Normal 4 4 4 3 4" xfId="9844" xr:uid="{C18CC8EE-AB1D-4448-A53C-9AE487749032}"/>
    <cellStyle name="Normal 4 4 4 4" xfId="1285" xr:uid="{00000000-0005-0000-0000-0000CC150000}"/>
    <cellStyle name="Normal 4 4 4 4 2" xfId="3515" xr:uid="{00000000-0005-0000-0000-0000CD150000}"/>
    <cellStyle name="Normal 4 4 4 4 2 2" xfId="7739" xr:uid="{00000000-0005-0000-0000-0000CE150000}"/>
    <cellStyle name="Normal 4 4 4 4 2 3" xfId="12403" xr:uid="{8A5BDCF4-E925-4605-BAF3-99CFF8F0E40B}"/>
    <cellStyle name="Normal 4 4 4 4 3" xfId="5594" xr:uid="{00000000-0005-0000-0000-0000CF150000}"/>
    <cellStyle name="Normal 4 4 4 4 4" xfId="10258" xr:uid="{C3A536BE-C203-4048-85EE-84B7A3497628}"/>
    <cellStyle name="Normal 4 4 4 5" xfId="1698" xr:uid="{00000000-0005-0000-0000-0000D0150000}"/>
    <cellStyle name="Normal 4 4 4 5 2" xfId="3928" xr:uid="{00000000-0005-0000-0000-0000D1150000}"/>
    <cellStyle name="Normal 4 4 4 5 2 2" xfId="8152" xr:uid="{00000000-0005-0000-0000-0000D2150000}"/>
    <cellStyle name="Normal 4 4 4 5 2 3" xfId="12816" xr:uid="{FC4AD3FD-C526-4C93-9C5E-D841CB138531}"/>
    <cellStyle name="Normal 4 4 4 5 3" xfId="6007" xr:uid="{00000000-0005-0000-0000-0000D3150000}"/>
    <cellStyle name="Normal 4 4 4 5 4" xfId="10671" xr:uid="{FFBC947E-CF7B-48D6-8213-12C504CBAE58}"/>
    <cellStyle name="Normal 4 4 4 6" xfId="2112" xr:uid="{00000000-0005-0000-0000-0000D4150000}"/>
    <cellStyle name="Normal 4 4 4 6 2" xfId="4341" xr:uid="{00000000-0005-0000-0000-0000D5150000}"/>
    <cellStyle name="Normal 4 4 4 6 2 2" xfId="8565" xr:uid="{00000000-0005-0000-0000-0000D6150000}"/>
    <cellStyle name="Normal 4 4 4 6 2 3" xfId="13229" xr:uid="{40710B67-BAEA-4E41-B09E-7BA67EA91EA2}"/>
    <cellStyle name="Normal 4 4 4 6 3" xfId="6420" xr:uid="{00000000-0005-0000-0000-0000D7150000}"/>
    <cellStyle name="Normal 4 4 4 6 4" xfId="11084" xr:uid="{7A6DFABC-5FEB-401B-8E35-43645470F220}"/>
    <cellStyle name="Normal 4 4 4 7" xfId="2548" xr:uid="{00000000-0005-0000-0000-0000D8150000}"/>
    <cellStyle name="Normal 4 4 4 7 2" xfId="6833" xr:uid="{00000000-0005-0000-0000-0000D9150000}"/>
    <cellStyle name="Normal 4 4 4 7 3" xfId="11497" xr:uid="{ED001F9E-3D79-4FDE-9A73-3C0A9A36F1BC}"/>
    <cellStyle name="Normal 4 4 4 8" xfId="4768" xr:uid="{00000000-0005-0000-0000-0000DA150000}"/>
    <cellStyle name="Normal 4 4 4 8 2" xfId="9427" xr:uid="{A405B02B-0DD3-4854-8FE1-8D26A14B6DDB}"/>
    <cellStyle name="Normal 4 4 4 9" xfId="8978" xr:uid="{DB55E06D-7493-4AD2-9FAE-55198B9FB384}"/>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3" xfId="11992" xr:uid="{FEAE0348-E963-41BE-B6DB-6504BE2779C3}"/>
    <cellStyle name="Normal 4 4 5 2 3" xfId="5183" xr:uid="{00000000-0005-0000-0000-0000DF150000}"/>
    <cellStyle name="Normal 4 4 5 2 4" xfId="9846" xr:uid="{29A5A08E-AD3B-4EE0-95BB-4AEF2E9BD623}"/>
    <cellStyle name="Normal 4 4 5 3" xfId="1287" xr:uid="{00000000-0005-0000-0000-0000E0150000}"/>
    <cellStyle name="Normal 4 4 5 3 2" xfId="3517" xr:uid="{00000000-0005-0000-0000-0000E1150000}"/>
    <cellStyle name="Normal 4 4 5 3 2 2" xfId="7741" xr:uid="{00000000-0005-0000-0000-0000E2150000}"/>
    <cellStyle name="Normal 4 4 5 3 2 3" xfId="12405" xr:uid="{64F43797-2EC3-40A6-A394-B716A6A5CF18}"/>
    <cellStyle name="Normal 4 4 5 3 3" xfId="5596" xr:uid="{00000000-0005-0000-0000-0000E3150000}"/>
    <cellStyle name="Normal 4 4 5 3 4" xfId="10260" xr:uid="{91F2B90D-F157-4E85-8500-0C1F34407375}"/>
    <cellStyle name="Normal 4 4 5 4" xfId="1700" xr:uid="{00000000-0005-0000-0000-0000E4150000}"/>
    <cellStyle name="Normal 4 4 5 4 2" xfId="3930" xr:uid="{00000000-0005-0000-0000-0000E5150000}"/>
    <cellStyle name="Normal 4 4 5 4 2 2" xfId="8154" xr:uid="{00000000-0005-0000-0000-0000E6150000}"/>
    <cellStyle name="Normal 4 4 5 4 2 3" xfId="12818" xr:uid="{0906E41E-4E1B-4EDB-AD21-1E75A30FEED4}"/>
    <cellStyle name="Normal 4 4 5 4 3" xfId="6009" xr:uid="{00000000-0005-0000-0000-0000E7150000}"/>
    <cellStyle name="Normal 4 4 5 4 4" xfId="10673" xr:uid="{4B89F172-6CB2-4AE8-B403-CEC2FA3EEEF9}"/>
    <cellStyle name="Normal 4 4 5 5" xfId="2114" xr:uid="{00000000-0005-0000-0000-0000E8150000}"/>
    <cellStyle name="Normal 4 4 5 5 2" xfId="4343" xr:uid="{00000000-0005-0000-0000-0000E9150000}"/>
    <cellStyle name="Normal 4 4 5 5 2 2" xfId="8567" xr:uid="{00000000-0005-0000-0000-0000EA150000}"/>
    <cellStyle name="Normal 4 4 5 5 2 3" xfId="13231" xr:uid="{7279D0FA-07D0-4658-ACC9-2D3F7897F9E3}"/>
    <cellStyle name="Normal 4 4 5 5 3" xfId="6422" xr:uid="{00000000-0005-0000-0000-0000EB150000}"/>
    <cellStyle name="Normal 4 4 5 5 4" xfId="11086" xr:uid="{6C25EC8D-9384-499A-A5F8-F1B746754CFF}"/>
    <cellStyle name="Normal 4 4 5 6" xfId="2550" xr:uid="{00000000-0005-0000-0000-0000EC150000}"/>
    <cellStyle name="Normal 4 4 5 6 2" xfId="6835" xr:uid="{00000000-0005-0000-0000-0000ED150000}"/>
    <cellStyle name="Normal 4 4 5 6 3" xfId="11499" xr:uid="{B27B373D-F018-4445-B992-C42AD868A9F9}"/>
    <cellStyle name="Normal 4 4 5 7" xfId="4770" xr:uid="{00000000-0005-0000-0000-0000EE150000}"/>
    <cellStyle name="Normal 4 4 5 7 2" xfId="9429" xr:uid="{0083D049-3060-4F9B-996D-88F6CF25804E}"/>
    <cellStyle name="Normal 4 4 5 8" xfId="8980" xr:uid="{0EE8ED03-4D67-48B7-A7EE-D2A8C6B311BE}"/>
    <cellStyle name="Normal 4 4 6" xfId="854" xr:uid="{00000000-0005-0000-0000-0000EF150000}"/>
    <cellStyle name="Normal 4 4 6 2" xfId="3089" xr:uid="{00000000-0005-0000-0000-0000F0150000}"/>
    <cellStyle name="Normal 4 4 6 2 2" xfId="7313" xr:uid="{00000000-0005-0000-0000-0000F1150000}"/>
    <cellStyle name="Normal 4 4 6 2 3" xfId="11977" xr:uid="{37FF334C-AAFE-49A8-BE59-6B28DF76EB72}"/>
    <cellStyle name="Normal 4 4 6 3" xfId="5168" xr:uid="{00000000-0005-0000-0000-0000F2150000}"/>
    <cellStyle name="Normal 4 4 6 4" xfId="9831" xr:uid="{4EED8747-D54C-44B2-8F3E-50D6F31D4232}"/>
    <cellStyle name="Normal 4 4 7" xfId="1272" xr:uid="{00000000-0005-0000-0000-0000F3150000}"/>
    <cellStyle name="Normal 4 4 7 2" xfId="3502" xr:uid="{00000000-0005-0000-0000-0000F4150000}"/>
    <cellStyle name="Normal 4 4 7 2 2" xfId="7726" xr:uid="{00000000-0005-0000-0000-0000F5150000}"/>
    <cellStyle name="Normal 4 4 7 2 3" xfId="12390" xr:uid="{BF191627-6A9B-4356-B6DD-4D313F84FF03}"/>
    <cellStyle name="Normal 4 4 7 3" xfId="5581" xr:uid="{00000000-0005-0000-0000-0000F6150000}"/>
    <cellStyle name="Normal 4 4 7 4" xfId="10245" xr:uid="{15CD0346-9BFF-4AA2-B8DF-C4C3DE138F6A}"/>
    <cellStyle name="Normal 4 4 8" xfId="1685" xr:uid="{00000000-0005-0000-0000-0000F7150000}"/>
    <cellStyle name="Normal 4 4 8 2" xfId="3915" xr:uid="{00000000-0005-0000-0000-0000F8150000}"/>
    <cellStyle name="Normal 4 4 8 2 2" xfId="8139" xr:uid="{00000000-0005-0000-0000-0000F9150000}"/>
    <cellStyle name="Normal 4 4 8 2 3" xfId="12803" xr:uid="{3783FBFF-EB01-426D-8B7A-51E9714B9F7D}"/>
    <cellStyle name="Normal 4 4 8 3" xfId="5994" xr:uid="{00000000-0005-0000-0000-0000FA150000}"/>
    <cellStyle name="Normal 4 4 8 4" xfId="10658" xr:uid="{10523662-23AB-4DF8-8B91-FD97674FFC9E}"/>
    <cellStyle name="Normal 4 4 9" xfId="2099" xr:uid="{00000000-0005-0000-0000-0000FB150000}"/>
    <cellStyle name="Normal 4 4 9 2" xfId="4328" xr:uid="{00000000-0005-0000-0000-0000FC150000}"/>
    <cellStyle name="Normal 4 4 9 2 2" xfId="8552" xr:uid="{00000000-0005-0000-0000-0000FD150000}"/>
    <cellStyle name="Normal 4 4 9 2 3" xfId="13216" xr:uid="{5A22E0D7-0C3D-4D05-A0CF-AD4ADA0F13FB}"/>
    <cellStyle name="Normal 4 4 9 3" xfId="6407" xr:uid="{00000000-0005-0000-0000-0000FE150000}"/>
    <cellStyle name="Normal 4 4 9 4" xfId="11071" xr:uid="{11005603-C77A-4C59-924E-AFB0732863E0}"/>
    <cellStyle name="Normal 4 5" xfId="394" xr:uid="{00000000-0005-0000-0000-0000FF150000}"/>
    <cellStyle name="Normal 4 6" xfId="395" xr:uid="{00000000-0005-0000-0000-000000160000}"/>
    <cellStyle name="Normal 4 6 10" xfId="4771" xr:uid="{00000000-0005-0000-0000-000001160000}"/>
    <cellStyle name="Normal 4 6 10 2" xfId="9430" xr:uid="{E60B7CB9-E0F2-4545-BCA0-679710E8B80D}"/>
    <cellStyle name="Normal 4 6 11" xfId="8981" xr:uid="{01E6881F-DEAF-4EBF-B239-69A7839EAD43}"/>
    <cellStyle name="Normal 4 6 2" xfId="396" xr:uid="{00000000-0005-0000-0000-000002160000}"/>
    <cellStyle name="Normal 4 6 2 10" xfId="8982" xr:uid="{3A9E214A-4354-4AE6-B398-48917E188498}"/>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3" xfId="11996" xr:uid="{0175F5DA-2322-4EFB-9B55-071376379079}"/>
    <cellStyle name="Normal 4 6 2 2 2 2 3" xfId="5187" xr:uid="{00000000-0005-0000-0000-000008160000}"/>
    <cellStyle name="Normal 4 6 2 2 2 2 4" xfId="9850" xr:uid="{2ECFB62B-896E-4D89-AEE3-47BED2C992EB}"/>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3" xfId="12409" xr:uid="{8F85E53E-B0B7-4436-AD9E-E4AC0F032E98}"/>
    <cellStyle name="Normal 4 6 2 2 2 3 3" xfId="5600" xr:uid="{00000000-0005-0000-0000-00000C160000}"/>
    <cellStyle name="Normal 4 6 2 2 2 3 4" xfId="10264" xr:uid="{DB90D1D9-6F3B-490E-A551-AD9D053488B7}"/>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3" xfId="12822" xr:uid="{E9BCB5AE-7741-45CA-8326-B028EE4325D9}"/>
    <cellStyle name="Normal 4 6 2 2 2 4 3" xfId="6013" xr:uid="{00000000-0005-0000-0000-000010160000}"/>
    <cellStyle name="Normal 4 6 2 2 2 4 4" xfId="10677" xr:uid="{3DE1937A-C03B-4B27-8CA1-5E192F756F7E}"/>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3" xfId="13235" xr:uid="{FD5F7FBF-FC8C-4F3C-ADCE-35253471C034}"/>
    <cellStyle name="Normal 4 6 2 2 2 5 3" xfId="6426" xr:uid="{00000000-0005-0000-0000-000014160000}"/>
    <cellStyle name="Normal 4 6 2 2 2 5 4" xfId="11090" xr:uid="{E6473F12-01FC-4029-848B-EEB4757D8895}"/>
    <cellStyle name="Normal 4 6 2 2 2 6" xfId="2554" xr:uid="{00000000-0005-0000-0000-000015160000}"/>
    <cellStyle name="Normal 4 6 2 2 2 6 2" xfId="6839" xr:uid="{00000000-0005-0000-0000-000016160000}"/>
    <cellStyle name="Normal 4 6 2 2 2 6 3" xfId="11503" xr:uid="{0B8D8C8B-5E2F-4C0A-AAC5-FFDA9E017713}"/>
    <cellStyle name="Normal 4 6 2 2 2 7" xfId="4774" xr:uid="{00000000-0005-0000-0000-000017160000}"/>
    <cellStyle name="Normal 4 6 2 2 2 7 2" xfId="9433" xr:uid="{6EC101A9-4373-45EA-A5FB-FE17C3C75AFB}"/>
    <cellStyle name="Normal 4 6 2 2 2 8" xfId="8984" xr:uid="{32FE681F-CA01-4A77-9946-E4A2BA9AE982}"/>
    <cellStyle name="Normal 4 6 2 2 3" xfId="872" xr:uid="{00000000-0005-0000-0000-000018160000}"/>
    <cellStyle name="Normal 4 6 2 2 3 2" xfId="3107" xr:uid="{00000000-0005-0000-0000-000019160000}"/>
    <cellStyle name="Normal 4 6 2 2 3 2 2" xfId="7331" xr:uid="{00000000-0005-0000-0000-00001A160000}"/>
    <cellStyle name="Normal 4 6 2 2 3 2 3" xfId="11995" xr:uid="{1D0C47B8-8384-4CD8-B998-51CAA9AB47A7}"/>
    <cellStyle name="Normal 4 6 2 2 3 3" xfId="5186" xr:uid="{00000000-0005-0000-0000-00001B160000}"/>
    <cellStyle name="Normal 4 6 2 2 3 4" xfId="9849" xr:uid="{B70201F7-BBF9-4766-9296-1B790B47F9A7}"/>
    <cellStyle name="Normal 4 6 2 2 4" xfId="1290" xr:uid="{00000000-0005-0000-0000-00001C160000}"/>
    <cellStyle name="Normal 4 6 2 2 4 2" xfId="3520" xr:uid="{00000000-0005-0000-0000-00001D160000}"/>
    <cellStyle name="Normal 4 6 2 2 4 2 2" xfId="7744" xr:uid="{00000000-0005-0000-0000-00001E160000}"/>
    <cellStyle name="Normal 4 6 2 2 4 2 3" xfId="12408" xr:uid="{70F44AF4-5E5B-4866-AE20-A2286793F395}"/>
    <cellStyle name="Normal 4 6 2 2 4 3" xfId="5599" xr:uid="{00000000-0005-0000-0000-00001F160000}"/>
    <cellStyle name="Normal 4 6 2 2 4 4" xfId="10263" xr:uid="{3A8EB00E-67AB-4BDA-AFC4-641A0EFFD8E1}"/>
    <cellStyle name="Normal 4 6 2 2 5" xfId="1703" xr:uid="{00000000-0005-0000-0000-000020160000}"/>
    <cellStyle name="Normal 4 6 2 2 5 2" xfId="3933" xr:uid="{00000000-0005-0000-0000-000021160000}"/>
    <cellStyle name="Normal 4 6 2 2 5 2 2" xfId="8157" xr:uid="{00000000-0005-0000-0000-000022160000}"/>
    <cellStyle name="Normal 4 6 2 2 5 2 3" xfId="12821" xr:uid="{39AFD226-EA99-4DBC-8260-A0863994A873}"/>
    <cellStyle name="Normal 4 6 2 2 5 3" xfId="6012" xr:uid="{00000000-0005-0000-0000-000023160000}"/>
    <cellStyle name="Normal 4 6 2 2 5 4" xfId="10676" xr:uid="{568DA029-E16C-40ED-9ED4-E7C619B6621A}"/>
    <cellStyle name="Normal 4 6 2 2 6" xfId="2117" xr:uid="{00000000-0005-0000-0000-000024160000}"/>
    <cellStyle name="Normal 4 6 2 2 6 2" xfId="4346" xr:uid="{00000000-0005-0000-0000-000025160000}"/>
    <cellStyle name="Normal 4 6 2 2 6 2 2" xfId="8570" xr:uid="{00000000-0005-0000-0000-000026160000}"/>
    <cellStyle name="Normal 4 6 2 2 6 2 3" xfId="13234" xr:uid="{FCABEA73-3517-4747-B0A3-B4FAD3741BCB}"/>
    <cellStyle name="Normal 4 6 2 2 6 3" xfId="6425" xr:uid="{00000000-0005-0000-0000-000027160000}"/>
    <cellStyle name="Normal 4 6 2 2 6 4" xfId="11089" xr:uid="{137FF02E-43DF-4EA8-994E-DF2AFB654E90}"/>
    <cellStyle name="Normal 4 6 2 2 7" xfId="2553" xr:uid="{00000000-0005-0000-0000-000028160000}"/>
    <cellStyle name="Normal 4 6 2 2 7 2" xfId="6838" xr:uid="{00000000-0005-0000-0000-000029160000}"/>
    <cellStyle name="Normal 4 6 2 2 7 3" xfId="11502" xr:uid="{A08110CF-B75D-4628-912D-18D57841E99F}"/>
    <cellStyle name="Normal 4 6 2 2 8" xfId="4773" xr:uid="{00000000-0005-0000-0000-00002A160000}"/>
    <cellStyle name="Normal 4 6 2 2 8 2" xfId="9432" xr:uid="{153FC6DD-B155-4F8B-A461-6C1111E100E7}"/>
    <cellStyle name="Normal 4 6 2 2 9" xfId="8983" xr:uid="{529BCF46-1246-4892-9082-5D570278FB4C}"/>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3" xfId="11997" xr:uid="{25FDEB72-42C6-4609-94C5-47CD227A8581}"/>
    <cellStyle name="Normal 4 6 2 3 2 3" xfId="5188" xr:uid="{00000000-0005-0000-0000-00002F160000}"/>
    <cellStyle name="Normal 4 6 2 3 2 4" xfId="9851" xr:uid="{877F4108-A795-47CA-82AC-F8A5FFED9795}"/>
    <cellStyle name="Normal 4 6 2 3 3" xfId="1292" xr:uid="{00000000-0005-0000-0000-000030160000}"/>
    <cellStyle name="Normal 4 6 2 3 3 2" xfId="3522" xr:uid="{00000000-0005-0000-0000-000031160000}"/>
    <cellStyle name="Normal 4 6 2 3 3 2 2" xfId="7746" xr:uid="{00000000-0005-0000-0000-000032160000}"/>
    <cellStyle name="Normal 4 6 2 3 3 2 3" xfId="12410" xr:uid="{4CC5E7ED-A565-4A0A-9D80-CF207C911A35}"/>
    <cellStyle name="Normal 4 6 2 3 3 3" xfId="5601" xr:uid="{00000000-0005-0000-0000-000033160000}"/>
    <cellStyle name="Normal 4 6 2 3 3 4" xfId="10265" xr:uid="{6E9ADF46-304C-4972-A693-A3B7342A6B23}"/>
    <cellStyle name="Normal 4 6 2 3 4" xfId="1705" xr:uid="{00000000-0005-0000-0000-000034160000}"/>
    <cellStyle name="Normal 4 6 2 3 4 2" xfId="3935" xr:uid="{00000000-0005-0000-0000-000035160000}"/>
    <cellStyle name="Normal 4 6 2 3 4 2 2" xfId="8159" xr:uid="{00000000-0005-0000-0000-000036160000}"/>
    <cellStyle name="Normal 4 6 2 3 4 2 3" xfId="12823" xr:uid="{ECE9AABC-9848-4FAC-ACE5-26FF7E055552}"/>
    <cellStyle name="Normal 4 6 2 3 4 3" xfId="6014" xr:uid="{00000000-0005-0000-0000-000037160000}"/>
    <cellStyle name="Normal 4 6 2 3 4 4" xfId="10678" xr:uid="{5A7C85CC-50D6-42F9-B3D4-CA8D61AE2F20}"/>
    <cellStyle name="Normal 4 6 2 3 5" xfId="2119" xr:uid="{00000000-0005-0000-0000-000038160000}"/>
    <cellStyle name="Normal 4 6 2 3 5 2" xfId="4348" xr:uid="{00000000-0005-0000-0000-000039160000}"/>
    <cellStyle name="Normal 4 6 2 3 5 2 2" xfId="8572" xr:uid="{00000000-0005-0000-0000-00003A160000}"/>
    <cellStyle name="Normal 4 6 2 3 5 2 3" xfId="13236" xr:uid="{D6F110E5-F4D8-4DCC-B7B2-578F4B7AE92B}"/>
    <cellStyle name="Normal 4 6 2 3 5 3" xfId="6427" xr:uid="{00000000-0005-0000-0000-00003B160000}"/>
    <cellStyle name="Normal 4 6 2 3 5 4" xfId="11091" xr:uid="{3BC21022-A14A-4924-A54D-9743CAF8304C}"/>
    <cellStyle name="Normal 4 6 2 3 6" xfId="2555" xr:uid="{00000000-0005-0000-0000-00003C160000}"/>
    <cellStyle name="Normal 4 6 2 3 6 2" xfId="6840" xr:uid="{00000000-0005-0000-0000-00003D160000}"/>
    <cellStyle name="Normal 4 6 2 3 6 3" xfId="11504" xr:uid="{EE8DABBD-3C1E-4774-98B5-657C176B9E1F}"/>
    <cellStyle name="Normal 4 6 2 3 7" xfId="4775" xr:uid="{00000000-0005-0000-0000-00003E160000}"/>
    <cellStyle name="Normal 4 6 2 3 7 2" xfId="9434" xr:uid="{A709FE70-E774-496E-A2FC-EC15737FB5D3}"/>
    <cellStyle name="Normal 4 6 2 3 8" xfId="8985" xr:uid="{B4687850-9504-4F2D-BDAE-F91E6E3494A6}"/>
    <cellStyle name="Normal 4 6 2 4" xfId="871" xr:uid="{00000000-0005-0000-0000-00003F160000}"/>
    <cellStyle name="Normal 4 6 2 4 2" xfId="3106" xr:uid="{00000000-0005-0000-0000-000040160000}"/>
    <cellStyle name="Normal 4 6 2 4 2 2" xfId="7330" xr:uid="{00000000-0005-0000-0000-000041160000}"/>
    <cellStyle name="Normal 4 6 2 4 2 3" xfId="11994" xr:uid="{37D73471-AB15-4C9A-96C4-7A93CAD6F5E6}"/>
    <cellStyle name="Normal 4 6 2 4 3" xfId="5185" xr:uid="{00000000-0005-0000-0000-000042160000}"/>
    <cellStyle name="Normal 4 6 2 4 4" xfId="9848" xr:uid="{7920EE7F-0D3C-4705-8868-F4D10986D794}"/>
    <cellStyle name="Normal 4 6 2 5" xfId="1289" xr:uid="{00000000-0005-0000-0000-000043160000}"/>
    <cellStyle name="Normal 4 6 2 5 2" xfId="3519" xr:uid="{00000000-0005-0000-0000-000044160000}"/>
    <cellStyle name="Normal 4 6 2 5 2 2" xfId="7743" xr:uid="{00000000-0005-0000-0000-000045160000}"/>
    <cellStyle name="Normal 4 6 2 5 2 3" xfId="12407" xr:uid="{D919A7B6-9D8C-4AF7-81DA-0D487A51DA84}"/>
    <cellStyle name="Normal 4 6 2 5 3" xfId="5598" xr:uid="{00000000-0005-0000-0000-000046160000}"/>
    <cellStyle name="Normal 4 6 2 5 4" xfId="10262" xr:uid="{57BE6EB1-9897-4E8A-8B09-57F91A89207F}"/>
    <cellStyle name="Normal 4 6 2 6" xfId="1702" xr:uid="{00000000-0005-0000-0000-000047160000}"/>
    <cellStyle name="Normal 4 6 2 6 2" xfId="3932" xr:uid="{00000000-0005-0000-0000-000048160000}"/>
    <cellStyle name="Normal 4 6 2 6 2 2" xfId="8156" xr:uid="{00000000-0005-0000-0000-000049160000}"/>
    <cellStyle name="Normal 4 6 2 6 2 3" xfId="12820" xr:uid="{03B110C0-46C3-428B-B561-3713AD16CFBD}"/>
    <cellStyle name="Normal 4 6 2 6 3" xfId="6011" xr:uid="{00000000-0005-0000-0000-00004A160000}"/>
    <cellStyle name="Normal 4 6 2 6 4" xfId="10675" xr:uid="{EAA12BA0-BDA0-479A-854A-F96AC6346580}"/>
    <cellStyle name="Normal 4 6 2 7" xfId="2116" xr:uid="{00000000-0005-0000-0000-00004B160000}"/>
    <cellStyle name="Normal 4 6 2 7 2" xfId="4345" xr:uid="{00000000-0005-0000-0000-00004C160000}"/>
    <cellStyle name="Normal 4 6 2 7 2 2" xfId="8569" xr:uid="{00000000-0005-0000-0000-00004D160000}"/>
    <cellStyle name="Normal 4 6 2 7 2 3" xfId="13233" xr:uid="{BB98B9B8-7D25-4B94-BE7E-F3BD4B44A12E}"/>
    <cellStyle name="Normal 4 6 2 7 3" xfId="6424" xr:uid="{00000000-0005-0000-0000-00004E160000}"/>
    <cellStyle name="Normal 4 6 2 7 4" xfId="11088" xr:uid="{73FAEB4C-97C4-419D-8478-94B30F03F132}"/>
    <cellStyle name="Normal 4 6 2 8" xfId="2552" xr:uid="{00000000-0005-0000-0000-00004F160000}"/>
    <cellStyle name="Normal 4 6 2 8 2" xfId="6837" xr:uid="{00000000-0005-0000-0000-000050160000}"/>
    <cellStyle name="Normal 4 6 2 8 3" xfId="11501" xr:uid="{AF2E1197-A262-4A72-BDBD-8A911C11E683}"/>
    <cellStyle name="Normal 4 6 2 9" xfId="4772" xr:uid="{00000000-0005-0000-0000-000051160000}"/>
    <cellStyle name="Normal 4 6 2 9 2" xfId="9431" xr:uid="{BF15C374-E409-404E-8274-924FA6F4ACE6}"/>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3" xfId="11999" xr:uid="{E67875F1-4449-41A5-A547-610E376D2BCD}"/>
    <cellStyle name="Normal 4 6 3 2 2 3" xfId="5190" xr:uid="{00000000-0005-0000-0000-000057160000}"/>
    <cellStyle name="Normal 4 6 3 2 2 4" xfId="9853" xr:uid="{1A59C1E8-29D9-42DC-9F3C-882697A9A489}"/>
    <cellStyle name="Normal 4 6 3 2 3" xfId="1294" xr:uid="{00000000-0005-0000-0000-000058160000}"/>
    <cellStyle name="Normal 4 6 3 2 3 2" xfId="3524" xr:uid="{00000000-0005-0000-0000-000059160000}"/>
    <cellStyle name="Normal 4 6 3 2 3 2 2" xfId="7748" xr:uid="{00000000-0005-0000-0000-00005A160000}"/>
    <cellStyle name="Normal 4 6 3 2 3 2 3" xfId="12412" xr:uid="{BC2F42C2-93D4-4B57-914C-A7094EFBDEEE}"/>
    <cellStyle name="Normal 4 6 3 2 3 3" xfId="5603" xr:uid="{00000000-0005-0000-0000-00005B160000}"/>
    <cellStyle name="Normal 4 6 3 2 3 4" xfId="10267" xr:uid="{D49DCBDA-9A6B-4470-BD73-CC6FEACF9F5D}"/>
    <cellStyle name="Normal 4 6 3 2 4" xfId="1707" xr:uid="{00000000-0005-0000-0000-00005C160000}"/>
    <cellStyle name="Normal 4 6 3 2 4 2" xfId="3937" xr:uid="{00000000-0005-0000-0000-00005D160000}"/>
    <cellStyle name="Normal 4 6 3 2 4 2 2" xfId="8161" xr:uid="{00000000-0005-0000-0000-00005E160000}"/>
    <cellStyle name="Normal 4 6 3 2 4 2 3" xfId="12825" xr:uid="{614B3D13-DB9D-4F3A-BBBF-3674473AE787}"/>
    <cellStyle name="Normal 4 6 3 2 4 3" xfId="6016" xr:uid="{00000000-0005-0000-0000-00005F160000}"/>
    <cellStyle name="Normal 4 6 3 2 4 4" xfId="10680" xr:uid="{A7DFE141-692C-403F-93DB-AE6E12DF7B23}"/>
    <cellStyle name="Normal 4 6 3 2 5" xfId="2121" xr:uid="{00000000-0005-0000-0000-000060160000}"/>
    <cellStyle name="Normal 4 6 3 2 5 2" xfId="4350" xr:uid="{00000000-0005-0000-0000-000061160000}"/>
    <cellStyle name="Normal 4 6 3 2 5 2 2" xfId="8574" xr:uid="{00000000-0005-0000-0000-000062160000}"/>
    <cellStyle name="Normal 4 6 3 2 5 2 3" xfId="13238" xr:uid="{A4671507-6D7C-439F-9500-7BD06D955301}"/>
    <cellStyle name="Normal 4 6 3 2 5 3" xfId="6429" xr:uid="{00000000-0005-0000-0000-000063160000}"/>
    <cellStyle name="Normal 4 6 3 2 5 4" xfId="11093" xr:uid="{9E70A065-FAE9-4018-ACEF-7084BDBA85B6}"/>
    <cellStyle name="Normal 4 6 3 2 6" xfId="2557" xr:uid="{00000000-0005-0000-0000-000064160000}"/>
    <cellStyle name="Normal 4 6 3 2 6 2" xfId="6842" xr:uid="{00000000-0005-0000-0000-000065160000}"/>
    <cellStyle name="Normal 4 6 3 2 6 3" xfId="11506" xr:uid="{636B2F5B-BF55-4D1C-8B69-FDC7AC245856}"/>
    <cellStyle name="Normal 4 6 3 2 7" xfId="4777" xr:uid="{00000000-0005-0000-0000-000066160000}"/>
    <cellStyle name="Normal 4 6 3 2 7 2" xfId="9436" xr:uid="{F93051B8-1BEB-40FC-8F86-946E920DCB80}"/>
    <cellStyle name="Normal 4 6 3 2 8" xfId="8987" xr:uid="{A144565B-599F-4FE3-932F-FC1B3EB86A7C}"/>
    <cellStyle name="Normal 4 6 3 3" xfId="875" xr:uid="{00000000-0005-0000-0000-000067160000}"/>
    <cellStyle name="Normal 4 6 3 3 2" xfId="3110" xr:uid="{00000000-0005-0000-0000-000068160000}"/>
    <cellStyle name="Normal 4 6 3 3 2 2" xfId="7334" xr:uid="{00000000-0005-0000-0000-000069160000}"/>
    <cellStyle name="Normal 4 6 3 3 2 3" xfId="11998" xr:uid="{0EA0CF66-710E-4A1B-81B9-45F2405FBB00}"/>
    <cellStyle name="Normal 4 6 3 3 3" xfId="5189" xr:uid="{00000000-0005-0000-0000-00006A160000}"/>
    <cellStyle name="Normal 4 6 3 3 4" xfId="9852" xr:uid="{5B90EED2-1CE9-4599-BB51-E15B918DEB1E}"/>
    <cellStyle name="Normal 4 6 3 4" xfId="1293" xr:uid="{00000000-0005-0000-0000-00006B160000}"/>
    <cellStyle name="Normal 4 6 3 4 2" xfId="3523" xr:uid="{00000000-0005-0000-0000-00006C160000}"/>
    <cellStyle name="Normal 4 6 3 4 2 2" xfId="7747" xr:uid="{00000000-0005-0000-0000-00006D160000}"/>
    <cellStyle name="Normal 4 6 3 4 2 3" xfId="12411" xr:uid="{19D20C1E-A3B9-4D4D-9761-ABF3BB1EC40B}"/>
    <cellStyle name="Normal 4 6 3 4 3" xfId="5602" xr:uid="{00000000-0005-0000-0000-00006E160000}"/>
    <cellStyle name="Normal 4 6 3 4 4" xfId="10266" xr:uid="{733662BA-9E9B-4486-98AE-5B7A94FA7F07}"/>
    <cellStyle name="Normal 4 6 3 5" xfId="1706" xr:uid="{00000000-0005-0000-0000-00006F160000}"/>
    <cellStyle name="Normal 4 6 3 5 2" xfId="3936" xr:uid="{00000000-0005-0000-0000-000070160000}"/>
    <cellStyle name="Normal 4 6 3 5 2 2" xfId="8160" xr:uid="{00000000-0005-0000-0000-000071160000}"/>
    <cellStyle name="Normal 4 6 3 5 2 3" xfId="12824" xr:uid="{665189DD-8C7D-498E-A0C8-A5AF34D159DB}"/>
    <cellStyle name="Normal 4 6 3 5 3" xfId="6015" xr:uid="{00000000-0005-0000-0000-000072160000}"/>
    <cellStyle name="Normal 4 6 3 5 4" xfId="10679" xr:uid="{E9B3828D-1E97-4B48-BA91-BEC87DFE876D}"/>
    <cellStyle name="Normal 4 6 3 6" xfId="2120" xr:uid="{00000000-0005-0000-0000-000073160000}"/>
    <cellStyle name="Normal 4 6 3 6 2" xfId="4349" xr:uid="{00000000-0005-0000-0000-000074160000}"/>
    <cellStyle name="Normal 4 6 3 6 2 2" xfId="8573" xr:uid="{00000000-0005-0000-0000-000075160000}"/>
    <cellStyle name="Normal 4 6 3 6 2 3" xfId="13237" xr:uid="{BC1C1F00-E6D0-47D0-AE7D-25A71D8D39B0}"/>
    <cellStyle name="Normal 4 6 3 6 3" xfId="6428" xr:uid="{00000000-0005-0000-0000-000076160000}"/>
    <cellStyle name="Normal 4 6 3 6 4" xfId="11092" xr:uid="{F1FC2D33-33E7-448A-8A52-54A28C1A5174}"/>
    <cellStyle name="Normal 4 6 3 7" xfId="2556" xr:uid="{00000000-0005-0000-0000-000077160000}"/>
    <cellStyle name="Normal 4 6 3 7 2" xfId="6841" xr:uid="{00000000-0005-0000-0000-000078160000}"/>
    <cellStyle name="Normal 4 6 3 7 3" xfId="11505" xr:uid="{AC1A27EB-55FB-4B01-8C3D-306B37E3526C}"/>
    <cellStyle name="Normal 4 6 3 8" xfId="4776" xr:uid="{00000000-0005-0000-0000-000079160000}"/>
    <cellStyle name="Normal 4 6 3 8 2" xfId="9435" xr:uid="{2E3179A6-26D5-454B-8FD4-CE913B50DE6F}"/>
    <cellStyle name="Normal 4 6 3 9" xfId="8986" xr:uid="{B55B2D42-9D95-48CC-B9C9-5EE783098D92}"/>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3" xfId="12000" xr:uid="{216E3244-56D2-4C0C-8987-B9EFD86F3E9A}"/>
    <cellStyle name="Normal 4 6 4 2 3" xfId="5191" xr:uid="{00000000-0005-0000-0000-00007E160000}"/>
    <cellStyle name="Normal 4 6 4 2 4" xfId="9854" xr:uid="{F371CDDF-5BC9-47FC-B74D-3755E8E80B72}"/>
    <cellStyle name="Normal 4 6 4 3" xfId="1295" xr:uid="{00000000-0005-0000-0000-00007F160000}"/>
    <cellStyle name="Normal 4 6 4 3 2" xfId="3525" xr:uid="{00000000-0005-0000-0000-000080160000}"/>
    <cellStyle name="Normal 4 6 4 3 2 2" xfId="7749" xr:uid="{00000000-0005-0000-0000-000081160000}"/>
    <cellStyle name="Normal 4 6 4 3 2 3" xfId="12413" xr:uid="{37376F32-1859-45F5-A891-8DF125FB98E1}"/>
    <cellStyle name="Normal 4 6 4 3 3" xfId="5604" xr:uid="{00000000-0005-0000-0000-000082160000}"/>
    <cellStyle name="Normal 4 6 4 3 4" xfId="10268" xr:uid="{0D8E79CC-C289-4975-85F0-44DADCB6945B}"/>
    <cellStyle name="Normal 4 6 4 4" xfId="1708" xr:uid="{00000000-0005-0000-0000-000083160000}"/>
    <cellStyle name="Normal 4 6 4 4 2" xfId="3938" xr:uid="{00000000-0005-0000-0000-000084160000}"/>
    <cellStyle name="Normal 4 6 4 4 2 2" xfId="8162" xr:uid="{00000000-0005-0000-0000-000085160000}"/>
    <cellStyle name="Normal 4 6 4 4 2 3" xfId="12826" xr:uid="{69ACC83E-3376-4D8B-B7F6-252555F53459}"/>
    <cellStyle name="Normal 4 6 4 4 3" xfId="6017" xr:uid="{00000000-0005-0000-0000-000086160000}"/>
    <cellStyle name="Normal 4 6 4 4 4" xfId="10681" xr:uid="{AE062DE7-36B9-4417-8ED3-EB4ADD7F91D9}"/>
    <cellStyle name="Normal 4 6 4 5" xfId="2122" xr:uid="{00000000-0005-0000-0000-000087160000}"/>
    <cellStyle name="Normal 4 6 4 5 2" xfId="4351" xr:uid="{00000000-0005-0000-0000-000088160000}"/>
    <cellStyle name="Normal 4 6 4 5 2 2" xfId="8575" xr:uid="{00000000-0005-0000-0000-000089160000}"/>
    <cellStyle name="Normal 4 6 4 5 2 3" xfId="13239" xr:uid="{8126B4AD-F345-4FC0-B786-4C045A08CD66}"/>
    <cellStyle name="Normal 4 6 4 5 3" xfId="6430" xr:uid="{00000000-0005-0000-0000-00008A160000}"/>
    <cellStyle name="Normal 4 6 4 5 4" xfId="11094" xr:uid="{5DC75FF5-CF4E-4037-8E0D-CF4E956BC5D4}"/>
    <cellStyle name="Normal 4 6 4 6" xfId="2558" xr:uid="{00000000-0005-0000-0000-00008B160000}"/>
    <cellStyle name="Normal 4 6 4 6 2" xfId="6843" xr:uid="{00000000-0005-0000-0000-00008C160000}"/>
    <cellStyle name="Normal 4 6 4 6 3" xfId="11507" xr:uid="{A216D8BB-A07C-4712-9F8E-FC2DE29D2F39}"/>
    <cellStyle name="Normal 4 6 4 7" xfId="4778" xr:uid="{00000000-0005-0000-0000-00008D160000}"/>
    <cellStyle name="Normal 4 6 4 7 2" xfId="9437" xr:uid="{9ABD43DA-6A46-4949-BC84-8A310696690D}"/>
    <cellStyle name="Normal 4 6 4 8" xfId="8988" xr:uid="{BA220F64-9300-4A50-804F-F39FB9A4C957}"/>
    <cellStyle name="Normal 4 6 5" xfId="870" xr:uid="{00000000-0005-0000-0000-00008E160000}"/>
    <cellStyle name="Normal 4 6 5 2" xfId="3105" xr:uid="{00000000-0005-0000-0000-00008F160000}"/>
    <cellStyle name="Normal 4 6 5 2 2" xfId="7329" xr:uid="{00000000-0005-0000-0000-000090160000}"/>
    <cellStyle name="Normal 4 6 5 2 3" xfId="11993" xr:uid="{A21683B9-BF53-4FE0-AE62-B7043FAD5161}"/>
    <cellStyle name="Normal 4 6 5 3" xfId="5184" xr:uid="{00000000-0005-0000-0000-000091160000}"/>
    <cellStyle name="Normal 4 6 5 4" xfId="9847" xr:uid="{98B11588-0212-4406-9E61-B2DF4DB19326}"/>
    <cellStyle name="Normal 4 6 6" xfId="1288" xr:uid="{00000000-0005-0000-0000-000092160000}"/>
    <cellStyle name="Normal 4 6 6 2" xfId="3518" xr:uid="{00000000-0005-0000-0000-000093160000}"/>
    <cellStyle name="Normal 4 6 6 2 2" xfId="7742" xr:uid="{00000000-0005-0000-0000-000094160000}"/>
    <cellStyle name="Normal 4 6 6 2 3" xfId="12406" xr:uid="{1757A5AB-6B2B-41F4-862F-6903DD401753}"/>
    <cellStyle name="Normal 4 6 6 3" xfId="5597" xr:uid="{00000000-0005-0000-0000-000095160000}"/>
    <cellStyle name="Normal 4 6 6 4" xfId="10261" xr:uid="{D23970EF-E2D7-41A9-9D3A-260E04682A50}"/>
    <cellStyle name="Normal 4 6 7" xfId="1701" xr:uid="{00000000-0005-0000-0000-000096160000}"/>
    <cellStyle name="Normal 4 6 7 2" xfId="3931" xr:uid="{00000000-0005-0000-0000-000097160000}"/>
    <cellStyle name="Normal 4 6 7 2 2" xfId="8155" xr:uid="{00000000-0005-0000-0000-000098160000}"/>
    <cellStyle name="Normal 4 6 7 2 3" xfId="12819" xr:uid="{50078788-4E09-4DD0-8096-83F72D3C099F}"/>
    <cellStyle name="Normal 4 6 7 3" xfId="6010" xr:uid="{00000000-0005-0000-0000-000099160000}"/>
    <cellStyle name="Normal 4 6 7 4" xfId="10674" xr:uid="{5084AA2E-D7AA-4D0C-82F2-DDAA7C52715D}"/>
    <cellStyle name="Normal 4 6 8" xfId="2115" xr:uid="{00000000-0005-0000-0000-00009A160000}"/>
    <cellStyle name="Normal 4 6 8 2" xfId="4344" xr:uid="{00000000-0005-0000-0000-00009B160000}"/>
    <cellStyle name="Normal 4 6 8 2 2" xfId="8568" xr:uid="{00000000-0005-0000-0000-00009C160000}"/>
    <cellStyle name="Normal 4 6 8 2 3" xfId="13232" xr:uid="{EC30D440-F74B-4E85-891F-DF571D6B3804}"/>
    <cellStyle name="Normal 4 6 8 3" xfId="6423" xr:uid="{00000000-0005-0000-0000-00009D160000}"/>
    <cellStyle name="Normal 4 6 8 4" xfId="11087" xr:uid="{D749C335-408B-4905-B3A8-211E6C23DE2D}"/>
    <cellStyle name="Normal 4 6 9" xfId="2551" xr:uid="{00000000-0005-0000-0000-00009E160000}"/>
    <cellStyle name="Normal 4 6 9 2" xfId="6836" xr:uid="{00000000-0005-0000-0000-00009F160000}"/>
    <cellStyle name="Normal 4 6 9 3" xfId="11500" xr:uid="{F4DD8436-E416-4270-9342-AE4F8A67A1BB}"/>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3" xfId="12002" xr:uid="{96FF0DAF-02A2-46B3-9E56-3F0F997A62A0}"/>
    <cellStyle name="Normal 4 7 2 2 3" xfId="5193" xr:uid="{00000000-0005-0000-0000-0000A5160000}"/>
    <cellStyle name="Normal 4 7 2 2 4" xfId="9856" xr:uid="{9641ACD8-1A06-439C-9F0B-F8BC9A50D095}"/>
    <cellStyle name="Normal 4 7 2 3" xfId="1297" xr:uid="{00000000-0005-0000-0000-0000A6160000}"/>
    <cellStyle name="Normal 4 7 2 3 2" xfId="3527" xr:uid="{00000000-0005-0000-0000-0000A7160000}"/>
    <cellStyle name="Normal 4 7 2 3 2 2" xfId="7751" xr:uid="{00000000-0005-0000-0000-0000A8160000}"/>
    <cellStyle name="Normal 4 7 2 3 2 3" xfId="12415" xr:uid="{0A9A59F2-5EB9-4A0C-A782-E5259E16CF1C}"/>
    <cellStyle name="Normal 4 7 2 3 3" xfId="5606" xr:uid="{00000000-0005-0000-0000-0000A9160000}"/>
    <cellStyle name="Normal 4 7 2 3 4" xfId="10270" xr:uid="{282E83E3-8711-48BF-8B7B-921944A00697}"/>
    <cellStyle name="Normal 4 7 2 4" xfId="1710" xr:uid="{00000000-0005-0000-0000-0000AA160000}"/>
    <cellStyle name="Normal 4 7 2 4 2" xfId="3940" xr:uid="{00000000-0005-0000-0000-0000AB160000}"/>
    <cellStyle name="Normal 4 7 2 4 2 2" xfId="8164" xr:uid="{00000000-0005-0000-0000-0000AC160000}"/>
    <cellStyle name="Normal 4 7 2 4 2 3" xfId="12828" xr:uid="{F62F4533-6E7D-458F-8568-19441AEFDE6B}"/>
    <cellStyle name="Normal 4 7 2 4 3" xfId="6019" xr:uid="{00000000-0005-0000-0000-0000AD160000}"/>
    <cellStyle name="Normal 4 7 2 4 4" xfId="10683" xr:uid="{A5251889-5938-4CE6-83C7-EEF75CC5FC90}"/>
    <cellStyle name="Normal 4 7 2 5" xfId="2124" xr:uid="{00000000-0005-0000-0000-0000AE160000}"/>
    <cellStyle name="Normal 4 7 2 5 2" xfId="4353" xr:uid="{00000000-0005-0000-0000-0000AF160000}"/>
    <cellStyle name="Normal 4 7 2 5 2 2" xfId="8577" xr:uid="{00000000-0005-0000-0000-0000B0160000}"/>
    <cellStyle name="Normal 4 7 2 5 2 3" xfId="13241" xr:uid="{E1429AD4-0198-4AB1-9578-48A4C823A79F}"/>
    <cellStyle name="Normal 4 7 2 5 3" xfId="6432" xr:uid="{00000000-0005-0000-0000-0000B1160000}"/>
    <cellStyle name="Normal 4 7 2 5 4" xfId="11096" xr:uid="{160ED4AC-3949-4E70-A1FB-63DC86FC9BC4}"/>
    <cellStyle name="Normal 4 7 2 6" xfId="2560" xr:uid="{00000000-0005-0000-0000-0000B2160000}"/>
    <cellStyle name="Normal 4 7 2 6 2" xfId="6845" xr:uid="{00000000-0005-0000-0000-0000B3160000}"/>
    <cellStyle name="Normal 4 7 2 6 3" xfId="11509" xr:uid="{422A5A3C-F938-4513-836C-5D81EED3344C}"/>
    <cellStyle name="Normal 4 7 2 7" xfId="4780" xr:uid="{00000000-0005-0000-0000-0000B4160000}"/>
    <cellStyle name="Normal 4 7 2 7 2" xfId="9439" xr:uid="{806B6482-6D7D-4798-AA58-E1D3056D4EAE}"/>
    <cellStyle name="Normal 4 7 2 8" xfId="8990" xr:uid="{F2924BC3-B1E1-4227-B832-0655A7CDF25F}"/>
    <cellStyle name="Normal 4 7 3" xfId="878" xr:uid="{00000000-0005-0000-0000-0000B5160000}"/>
    <cellStyle name="Normal 4 7 3 2" xfId="3113" xr:uid="{00000000-0005-0000-0000-0000B6160000}"/>
    <cellStyle name="Normal 4 7 3 2 2" xfId="7337" xr:uid="{00000000-0005-0000-0000-0000B7160000}"/>
    <cellStyle name="Normal 4 7 3 2 3" xfId="12001" xr:uid="{BDE5F2F7-026E-4C0E-80BB-BC5A77EDA3C3}"/>
    <cellStyle name="Normal 4 7 3 3" xfId="5192" xr:uid="{00000000-0005-0000-0000-0000B8160000}"/>
    <cellStyle name="Normal 4 7 3 4" xfId="9855" xr:uid="{707FC0F7-638B-4730-88C7-23EFB30A342C}"/>
    <cellStyle name="Normal 4 7 4" xfId="1296" xr:uid="{00000000-0005-0000-0000-0000B9160000}"/>
    <cellStyle name="Normal 4 7 4 2" xfId="3526" xr:uid="{00000000-0005-0000-0000-0000BA160000}"/>
    <cellStyle name="Normal 4 7 4 2 2" xfId="7750" xr:uid="{00000000-0005-0000-0000-0000BB160000}"/>
    <cellStyle name="Normal 4 7 4 2 3" xfId="12414" xr:uid="{307B6630-4027-4C2D-996C-464CB1556668}"/>
    <cellStyle name="Normal 4 7 4 3" xfId="5605" xr:uid="{00000000-0005-0000-0000-0000BC160000}"/>
    <cellStyle name="Normal 4 7 4 4" xfId="10269" xr:uid="{8EE12FBC-C286-4FA7-9C2C-9BD38C3A9BC0}"/>
    <cellStyle name="Normal 4 7 5" xfId="1709" xr:uid="{00000000-0005-0000-0000-0000BD160000}"/>
    <cellStyle name="Normal 4 7 5 2" xfId="3939" xr:uid="{00000000-0005-0000-0000-0000BE160000}"/>
    <cellStyle name="Normal 4 7 5 2 2" xfId="8163" xr:uid="{00000000-0005-0000-0000-0000BF160000}"/>
    <cellStyle name="Normal 4 7 5 2 3" xfId="12827" xr:uid="{BAFC8C54-7C5E-44A8-B1C6-01A4ACA8951D}"/>
    <cellStyle name="Normal 4 7 5 3" xfId="6018" xr:uid="{00000000-0005-0000-0000-0000C0160000}"/>
    <cellStyle name="Normal 4 7 5 4" xfId="10682" xr:uid="{417F1087-85DE-42F9-9FFD-135E1670C5A8}"/>
    <cellStyle name="Normal 4 7 6" xfId="2123" xr:uid="{00000000-0005-0000-0000-0000C1160000}"/>
    <cellStyle name="Normal 4 7 6 2" xfId="4352" xr:uid="{00000000-0005-0000-0000-0000C2160000}"/>
    <cellStyle name="Normal 4 7 6 2 2" xfId="8576" xr:uid="{00000000-0005-0000-0000-0000C3160000}"/>
    <cellStyle name="Normal 4 7 6 2 3" xfId="13240" xr:uid="{5B6BCA99-20FE-4A68-982C-ACCA4C989FCE}"/>
    <cellStyle name="Normal 4 7 6 3" xfId="6431" xr:uid="{00000000-0005-0000-0000-0000C4160000}"/>
    <cellStyle name="Normal 4 7 6 4" xfId="11095" xr:uid="{D6F5DE46-2697-417E-B61F-44AF43C59122}"/>
    <cellStyle name="Normal 4 7 7" xfId="2559" xr:uid="{00000000-0005-0000-0000-0000C5160000}"/>
    <cellStyle name="Normal 4 7 7 2" xfId="6844" xr:uid="{00000000-0005-0000-0000-0000C6160000}"/>
    <cellStyle name="Normal 4 7 7 3" xfId="11508" xr:uid="{8BAD6FE1-210A-4FE2-8177-9FEBC86CE055}"/>
    <cellStyle name="Normal 4 7 8" xfId="4779" xr:uid="{00000000-0005-0000-0000-0000C7160000}"/>
    <cellStyle name="Normal 4 7 8 2" xfId="9438" xr:uid="{425BDA5D-45EC-487E-B98A-6F06266E2A16}"/>
    <cellStyle name="Normal 4 7 9" xfId="8989" xr:uid="{6555D24C-A1D3-4B7E-9536-AAA37601AED4}"/>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3" xfId="12003" xr:uid="{01BB9FD3-62BF-4A84-B67F-D0DADCBD9F58}"/>
    <cellStyle name="Normal 4 8 2 3" xfId="5194" xr:uid="{00000000-0005-0000-0000-0000CC160000}"/>
    <cellStyle name="Normal 4 8 2 4" xfId="9857" xr:uid="{091D19DF-9678-410B-A9DB-B61BF1A17A72}"/>
    <cellStyle name="Normal 4 8 3" xfId="1298" xr:uid="{00000000-0005-0000-0000-0000CD160000}"/>
    <cellStyle name="Normal 4 8 3 2" xfId="3528" xr:uid="{00000000-0005-0000-0000-0000CE160000}"/>
    <cellStyle name="Normal 4 8 3 2 2" xfId="7752" xr:uid="{00000000-0005-0000-0000-0000CF160000}"/>
    <cellStyle name="Normal 4 8 3 2 3" xfId="12416" xr:uid="{18F7849F-6EFB-4888-9ED1-2C542094D1B1}"/>
    <cellStyle name="Normal 4 8 3 3" xfId="5607" xr:uid="{00000000-0005-0000-0000-0000D0160000}"/>
    <cellStyle name="Normal 4 8 3 4" xfId="10271" xr:uid="{96ADB530-0C47-42EB-9995-37B2391CAB5D}"/>
    <cellStyle name="Normal 4 8 4" xfId="1711" xr:uid="{00000000-0005-0000-0000-0000D1160000}"/>
    <cellStyle name="Normal 4 8 4 2" xfId="3941" xr:uid="{00000000-0005-0000-0000-0000D2160000}"/>
    <cellStyle name="Normal 4 8 4 2 2" xfId="8165" xr:uid="{00000000-0005-0000-0000-0000D3160000}"/>
    <cellStyle name="Normal 4 8 4 2 3" xfId="12829" xr:uid="{C7E5C584-6759-4C22-86DE-859388975B46}"/>
    <cellStyle name="Normal 4 8 4 3" xfId="6020" xr:uid="{00000000-0005-0000-0000-0000D4160000}"/>
    <cellStyle name="Normal 4 8 4 4" xfId="10684" xr:uid="{AB308487-EA68-47A4-BCF2-3A975F07711D}"/>
    <cellStyle name="Normal 4 8 5" xfId="2125" xr:uid="{00000000-0005-0000-0000-0000D5160000}"/>
    <cellStyle name="Normal 4 8 5 2" xfId="4354" xr:uid="{00000000-0005-0000-0000-0000D6160000}"/>
    <cellStyle name="Normal 4 8 5 2 2" xfId="8578" xr:uid="{00000000-0005-0000-0000-0000D7160000}"/>
    <cellStyle name="Normal 4 8 5 2 3" xfId="13242" xr:uid="{AFAE45A3-A176-4101-A9C1-B81A5DD944E2}"/>
    <cellStyle name="Normal 4 8 5 3" xfId="6433" xr:uid="{00000000-0005-0000-0000-0000D8160000}"/>
    <cellStyle name="Normal 4 8 5 4" xfId="11097" xr:uid="{62E3CE45-3AD7-4BDA-8E8F-EFDD556AD1A0}"/>
    <cellStyle name="Normal 4 8 6" xfId="2561" xr:uid="{00000000-0005-0000-0000-0000D9160000}"/>
    <cellStyle name="Normal 4 8 6 2" xfId="6846" xr:uid="{00000000-0005-0000-0000-0000DA160000}"/>
    <cellStyle name="Normal 4 8 6 3" xfId="11510" xr:uid="{06CF4880-11A4-4D5A-B552-751F5818775B}"/>
    <cellStyle name="Normal 4 8 7" xfId="4781" xr:uid="{00000000-0005-0000-0000-0000DB160000}"/>
    <cellStyle name="Normal 4 8 7 2" xfId="9440" xr:uid="{E837BC3A-F516-4A52-99AA-EBEA77FB5DDF}"/>
    <cellStyle name="Normal 4 8 8" xfId="8991" xr:uid="{6AB677DB-A736-4798-941F-973E4787EF07}"/>
    <cellStyle name="Normal 4 9" xfId="4718" xr:uid="{00000000-0005-0000-0000-0000DC160000}"/>
    <cellStyle name="Normal 4 9 2" xfId="9375" xr:uid="{A6F2BECA-DA7E-467E-81B4-F4B0B64DB2D3}"/>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3" xfId="12830" xr:uid="{79E7F48F-8BBA-4303-AB48-B39AA86BDCDB}"/>
    <cellStyle name="Normal 5 10 3" xfId="6021" xr:uid="{00000000-0005-0000-0000-0000E1160000}"/>
    <cellStyle name="Normal 5 10 4" xfId="10685" xr:uid="{99CC50A5-E57B-4D2F-A632-A0F7A2B972AD}"/>
    <cellStyle name="Normal 5 11" xfId="2126" xr:uid="{00000000-0005-0000-0000-0000E2160000}"/>
    <cellStyle name="Normal 5 11 2" xfId="4355" xr:uid="{00000000-0005-0000-0000-0000E3160000}"/>
    <cellStyle name="Normal 5 11 2 2" xfId="8579" xr:uid="{00000000-0005-0000-0000-0000E4160000}"/>
    <cellStyle name="Normal 5 11 2 3" xfId="13243" xr:uid="{EAE9A40F-9780-4142-A3E4-7D448D4AE999}"/>
    <cellStyle name="Normal 5 11 3" xfId="6434" xr:uid="{00000000-0005-0000-0000-0000E5160000}"/>
    <cellStyle name="Normal 5 11 4" xfId="11098" xr:uid="{262BDE6E-B11B-46E4-BA31-A33AA7AFB069}"/>
    <cellStyle name="Normal 5 12" xfId="2562" xr:uid="{00000000-0005-0000-0000-0000E6160000}"/>
    <cellStyle name="Normal 5 12 2" xfId="6847" xr:uid="{00000000-0005-0000-0000-0000E7160000}"/>
    <cellStyle name="Normal 5 12 3" xfId="11511" xr:uid="{EFC6BC22-12F0-4B56-BBCD-A7FF1E9571F2}"/>
    <cellStyle name="Normal 5 13" xfId="4782" xr:uid="{00000000-0005-0000-0000-0000E8160000}"/>
    <cellStyle name="Normal 5 13 2" xfId="9441" xr:uid="{44A7B170-A978-4E33-A773-DE0375152C96}"/>
    <cellStyle name="Normal 5 14" xfId="8992" xr:uid="{9943C59E-0F70-400A-85BB-9EEF9133B8FC}"/>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3" xfId="13244" xr:uid="{9E83423A-FE84-40C4-9A9A-669839B18A34}"/>
    <cellStyle name="Normal 5 2 10 3" xfId="6435" xr:uid="{00000000-0005-0000-0000-0000ED160000}"/>
    <cellStyle name="Normal 5 2 10 4" xfId="11099" xr:uid="{2A2E7B49-6559-41FC-8369-3E0151D1A8AC}"/>
    <cellStyle name="Normal 5 2 11" xfId="2563" xr:uid="{00000000-0005-0000-0000-0000EE160000}"/>
    <cellStyle name="Normal 5 2 11 2" xfId="6848" xr:uid="{00000000-0005-0000-0000-0000EF160000}"/>
    <cellStyle name="Normal 5 2 11 3" xfId="11512" xr:uid="{B37E2360-9A0C-4F39-B204-A94322D47ABB}"/>
    <cellStyle name="Normal 5 2 12" xfId="4783" xr:uid="{00000000-0005-0000-0000-0000F0160000}"/>
    <cellStyle name="Normal 5 2 12 2" xfId="9442" xr:uid="{331C644B-2B9E-44DB-813F-C3006E49E7CD}"/>
    <cellStyle name="Normal 5 2 13" xfId="8993" xr:uid="{BBBF6234-54BD-4198-ACD3-DD29FFA37977}"/>
    <cellStyle name="Normal 5 2 2" xfId="408" xr:uid="{00000000-0005-0000-0000-0000F1160000}"/>
    <cellStyle name="Normal 5 2 2 10" xfId="2564" xr:uid="{00000000-0005-0000-0000-0000F2160000}"/>
    <cellStyle name="Normal 5 2 2 10 2" xfId="6849" xr:uid="{00000000-0005-0000-0000-0000F3160000}"/>
    <cellStyle name="Normal 5 2 2 10 3" xfId="11513" xr:uid="{46C2C6A2-9808-491C-8E20-13C4F4C6ADC5}"/>
    <cellStyle name="Normal 5 2 2 11" xfId="4784" xr:uid="{00000000-0005-0000-0000-0000F4160000}"/>
    <cellStyle name="Normal 5 2 2 11 2" xfId="9443" xr:uid="{B80FE539-3A31-46F9-9F77-7E7504297B75}"/>
    <cellStyle name="Normal 5 2 2 12" xfId="8994" xr:uid="{956B9DCC-63D4-4B32-8353-15B6D5A275AA}"/>
    <cellStyle name="Normal 5 2 2 2" xfId="409" xr:uid="{00000000-0005-0000-0000-0000F5160000}"/>
    <cellStyle name="Normal 5 2 2 2 10" xfId="4785" xr:uid="{00000000-0005-0000-0000-0000F6160000}"/>
    <cellStyle name="Normal 5 2 2 2 10 2" xfId="9444" xr:uid="{11068C00-B4F8-4CB6-972D-BBC9C19CD240}"/>
    <cellStyle name="Normal 5 2 2 2 11" xfId="8995" xr:uid="{62F1B376-B8A6-4535-AB1F-557849F78A04}"/>
    <cellStyle name="Normal 5 2 2 2 2" xfId="410" xr:uid="{00000000-0005-0000-0000-0000F7160000}"/>
    <cellStyle name="Normal 5 2 2 2 2 10" xfId="8996" xr:uid="{D57DD08D-55FA-4067-AB98-3438E2A0F176}"/>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3" xfId="12010" xr:uid="{F8DF9073-DA28-4D89-9673-76F62AE6F874}"/>
    <cellStyle name="Normal 5 2 2 2 2 2 2 2 3" xfId="5201" xr:uid="{00000000-0005-0000-0000-0000FD160000}"/>
    <cellStyle name="Normal 5 2 2 2 2 2 2 2 4" xfId="9864" xr:uid="{D0A2D446-67D5-4914-8896-C08BE44DA9F1}"/>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3" xfId="12423" xr:uid="{E94EC13C-3E07-4AC7-9B53-99371EAB95D6}"/>
    <cellStyle name="Normal 5 2 2 2 2 2 2 3 3" xfId="5614" xr:uid="{00000000-0005-0000-0000-000001170000}"/>
    <cellStyle name="Normal 5 2 2 2 2 2 2 3 4" xfId="10278" xr:uid="{068C2A08-8951-464D-AC59-83B4179BE1E9}"/>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3" xfId="12836" xr:uid="{91E2097F-343C-4ACD-B5D8-A5CE68E5E895}"/>
    <cellStyle name="Normal 5 2 2 2 2 2 2 4 3" xfId="6027" xr:uid="{00000000-0005-0000-0000-000005170000}"/>
    <cellStyle name="Normal 5 2 2 2 2 2 2 4 4" xfId="10691" xr:uid="{A674BC3D-01C3-40A5-9B0D-2DDA75646AAC}"/>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3" xfId="13249" xr:uid="{DBC95C2E-4B42-4B37-9DBE-40996042C8F5}"/>
    <cellStyle name="Normal 5 2 2 2 2 2 2 5 3" xfId="6440" xr:uid="{00000000-0005-0000-0000-000009170000}"/>
    <cellStyle name="Normal 5 2 2 2 2 2 2 5 4" xfId="11104" xr:uid="{C34537F5-3DB1-4A88-B044-F089D600AB34}"/>
    <cellStyle name="Normal 5 2 2 2 2 2 2 6" xfId="2568" xr:uid="{00000000-0005-0000-0000-00000A170000}"/>
    <cellStyle name="Normal 5 2 2 2 2 2 2 6 2" xfId="6853" xr:uid="{00000000-0005-0000-0000-00000B170000}"/>
    <cellStyle name="Normal 5 2 2 2 2 2 2 6 3" xfId="11517" xr:uid="{00E184F6-9631-4202-9F16-67065634622A}"/>
    <cellStyle name="Normal 5 2 2 2 2 2 2 7" xfId="4788" xr:uid="{00000000-0005-0000-0000-00000C170000}"/>
    <cellStyle name="Normal 5 2 2 2 2 2 2 7 2" xfId="9447" xr:uid="{ED7BF2A5-3EA4-4B5D-9ECD-18774A3DECEA}"/>
    <cellStyle name="Normal 5 2 2 2 2 2 2 8" xfId="8998" xr:uid="{DE237AA1-19C5-4549-BDFF-1184F55B23C7}"/>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3" xfId="12009" xr:uid="{0B9EB5E8-2639-4C06-888C-9F6DF2750A40}"/>
    <cellStyle name="Normal 5 2 2 2 2 2 3 3" xfId="5200" xr:uid="{00000000-0005-0000-0000-000010170000}"/>
    <cellStyle name="Normal 5 2 2 2 2 2 3 4" xfId="9863" xr:uid="{063A87F5-05EB-457D-AF8E-069AFE4FEE69}"/>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3" xfId="12422" xr:uid="{A363C326-0357-42A0-AECE-C7E91EBC8780}"/>
    <cellStyle name="Normal 5 2 2 2 2 2 4 3" xfId="5613" xr:uid="{00000000-0005-0000-0000-000014170000}"/>
    <cellStyle name="Normal 5 2 2 2 2 2 4 4" xfId="10277" xr:uid="{B226BFFE-EA8D-4272-98BA-5924CA2296CF}"/>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3" xfId="12835" xr:uid="{1A7FA6B2-47A3-4931-8262-E0132F77923C}"/>
    <cellStyle name="Normal 5 2 2 2 2 2 5 3" xfId="6026" xr:uid="{00000000-0005-0000-0000-000018170000}"/>
    <cellStyle name="Normal 5 2 2 2 2 2 5 4" xfId="10690" xr:uid="{D87B4C49-6421-4F67-A6BA-410AE6788C9F}"/>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3" xfId="13248" xr:uid="{441616AC-172A-4F0A-9376-683A8A5BDEC9}"/>
    <cellStyle name="Normal 5 2 2 2 2 2 6 3" xfId="6439" xr:uid="{00000000-0005-0000-0000-00001C170000}"/>
    <cellStyle name="Normal 5 2 2 2 2 2 6 4" xfId="11103" xr:uid="{261723CD-F455-4690-80D0-3D96594BDC26}"/>
    <cellStyle name="Normal 5 2 2 2 2 2 7" xfId="2567" xr:uid="{00000000-0005-0000-0000-00001D170000}"/>
    <cellStyle name="Normal 5 2 2 2 2 2 7 2" xfId="6852" xr:uid="{00000000-0005-0000-0000-00001E170000}"/>
    <cellStyle name="Normal 5 2 2 2 2 2 7 3" xfId="11516" xr:uid="{59F1834C-AC00-43C7-ADC9-CFCEA39F56F3}"/>
    <cellStyle name="Normal 5 2 2 2 2 2 8" xfId="4787" xr:uid="{00000000-0005-0000-0000-00001F170000}"/>
    <cellStyle name="Normal 5 2 2 2 2 2 8 2" xfId="9446" xr:uid="{1C637DDE-AF5F-4D52-B517-2BEF32C37083}"/>
    <cellStyle name="Normal 5 2 2 2 2 2 9" xfId="8997" xr:uid="{4587F599-9274-43DB-AA78-51DA0E927468}"/>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3" xfId="12011" xr:uid="{0B14FE54-A0CD-4B3C-81FA-92FA64EE70B7}"/>
    <cellStyle name="Normal 5 2 2 2 2 3 2 3" xfId="5202" xr:uid="{00000000-0005-0000-0000-000024170000}"/>
    <cellStyle name="Normal 5 2 2 2 2 3 2 4" xfId="9865" xr:uid="{9B1BB111-E495-4431-BD3E-4D1377C8C6E4}"/>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3" xfId="12424" xr:uid="{11DB5EED-59C5-4E15-8A91-74C313FF08AD}"/>
    <cellStyle name="Normal 5 2 2 2 2 3 3 3" xfId="5615" xr:uid="{00000000-0005-0000-0000-000028170000}"/>
    <cellStyle name="Normal 5 2 2 2 2 3 3 4" xfId="10279" xr:uid="{D2FD138E-C636-4F74-A5DF-EDBF7F456AFE}"/>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3" xfId="12837" xr:uid="{64B886FA-443B-4AA0-B1E9-9F56F72CCFA5}"/>
    <cellStyle name="Normal 5 2 2 2 2 3 4 3" xfId="6028" xr:uid="{00000000-0005-0000-0000-00002C170000}"/>
    <cellStyle name="Normal 5 2 2 2 2 3 4 4" xfId="10692" xr:uid="{8AF6F853-7D2A-453D-9842-C8D04264C4F2}"/>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3" xfId="13250" xr:uid="{29FA23DB-6F9E-4883-9D88-F9D4E822CD9D}"/>
    <cellStyle name="Normal 5 2 2 2 2 3 5 3" xfId="6441" xr:uid="{00000000-0005-0000-0000-000030170000}"/>
    <cellStyle name="Normal 5 2 2 2 2 3 5 4" xfId="11105" xr:uid="{E78BD87E-C178-4E32-B6B8-54A26481AEFD}"/>
    <cellStyle name="Normal 5 2 2 2 2 3 6" xfId="2569" xr:uid="{00000000-0005-0000-0000-000031170000}"/>
    <cellStyle name="Normal 5 2 2 2 2 3 6 2" xfId="6854" xr:uid="{00000000-0005-0000-0000-000032170000}"/>
    <cellStyle name="Normal 5 2 2 2 2 3 6 3" xfId="11518" xr:uid="{943D70CE-66CA-4B12-8A88-2EE33D9D9F64}"/>
    <cellStyle name="Normal 5 2 2 2 2 3 7" xfId="4789" xr:uid="{00000000-0005-0000-0000-000033170000}"/>
    <cellStyle name="Normal 5 2 2 2 2 3 7 2" xfId="9448" xr:uid="{B4FF558D-2A86-44C8-8C23-1D8030F40B70}"/>
    <cellStyle name="Normal 5 2 2 2 2 3 8" xfId="8999" xr:uid="{35313FDE-1745-4623-83FB-32D32A331D52}"/>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3" xfId="12008" xr:uid="{65B0CE13-8F6E-42AC-9710-2598E8052ABA}"/>
    <cellStyle name="Normal 5 2 2 2 2 4 3" xfId="5199" xr:uid="{00000000-0005-0000-0000-000037170000}"/>
    <cellStyle name="Normal 5 2 2 2 2 4 4" xfId="9862" xr:uid="{C26A3BEE-3454-47AD-B363-B90B09BB1ABA}"/>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3" xfId="12421" xr:uid="{C039A74C-130E-4557-9761-EF60AD02EDB4}"/>
    <cellStyle name="Normal 5 2 2 2 2 5 3" xfId="5612" xr:uid="{00000000-0005-0000-0000-00003B170000}"/>
    <cellStyle name="Normal 5 2 2 2 2 5 4" xfId="10276" xr:uid="{E75FDB84-8452-4355-803B-5E697F4A56CD}"/>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3" xfId="12834" xr:uid="{32EAB276-BA57-4ED1-9D10-285BBB1EEB57}"/>
    <cellStyle name="Normal 5 2 2 2 2 6 3" xfId="6025" xr:uid="{00000000-0005-0000-0000-00003F170000}"/>
    <cellStyle name="Normal 5 2 2 2 2 6 4" xfId="10689" xr:uid="{A4BB1EE5-1BB1-4E55-AED3-82A7BE292682}"/>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3" xfId="13247" xr:uid="{05140EBB-9908-43D6-8F24-DDF4DCBA90E5}"/>
    <cellStyle name="Normal 5 2 2 2 2 7 3" xfId="6438" xr:uid="{00000000-0005-0000-0000-000043170000}"/>
    <cellStyle name="Normal 5 2 2 2 2 7 4" xfId="11102" xr:uid="{0E9166FE-DC5B-4A3A-B8D9-E42D418E2791}"/>
    <cellStyle name="Normal 5 2 2 2 2 8" xfId="2566" xr:uid="{00000000-0005-0000-0000-000044170000}"/>
    <cellStyle name="Normal 5 2 2 2 2 8 2" xfId="6851" xr:uid="{00000000-0005-0000-0000-000045170000}"/>
    <cellStyle name="Normal 5 2 2 2 2 8 3" xfId="11515" xr:uid="{F8C0B8FE-58DB-45CB-BF9C-E427E39A4ACA}"/>
    <cellStyle name="Normal 5 2 2 2 2 9" xfId="4786" xr:uid="{00000000-0005-0000-0000-000046170000}"/>
    <cellStyle name="Normal 5 2 2 2 2 9 2" xfId="9445" xr:uid="{5AE6883D-E296-44D0-B841-3610BCC8B30D}"/>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3" xfId="12013" xr:uid="{1F543FF4-4E93-464F-A92F-8F175F7574BA}"/>
    <cellStyle name="Normal 5 2 2 2 3 2 2 3" xfId="5204" xr:uid="{00000000-0005-0000-0000-00004C170000}"/>
    <cellStyle name="Normal 5 2 2 2 3 2 2 4" xfId="9867" xr:uid="{522E77C1-8404-4934-B5DB-6E5607CA71A2}"/>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3" xfId="12426" xr:uid="{0D3413FD-6E8E-4C36-9160-2FB739E33F2C}"/>
    <cellStyle name="Normal 5 2 2 2 3 2 3 3" xfId="5617" xr:uid="{00000000-0005-0000-0000-000050170000}"/>
    <cellStyle name="Normal 5 2 2 2 3 2 3 4" xfId="10281" xr:uid="{630665B9-F0C6-487B-BF3E-883BB58D7C85}"/>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3" xfId="12839" xr:uid="{2D840ACE-A304-4DA6-AAF3-C3385AB325F8}"/>
    <cellStyle name="Normal 5 2 2 2 3 2 4 3" xfId="6030" xr:uid="{00000000-0005-0000-0000-000054170000}"/>
    <cellStyle name="Normal 5 2 2 2 3 2 4 4" xfId="10694" xr:uid="{8E399D02-B6B3-4545-B117-2AB7412302E3}"/>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3" xfId="13252" xr:uid="{AE67C66B-A7BA-4113-8799-97D830685A6B}"/>
    <cellStyle name="Normal 5 2 2 2 3 2 5 3" xfId="6443" xr:uid="{00000000-0005-0000-0000-000058170000}"/>
    <cellStyle name="Normal 5 2 2 2 3 2 5 4" xfId="11107" xr:uid="{4E877A10-E1F0-46D1-849C-04DFE736728F}"/>
    <cellStyle name="Normal 5 2 2 2 3 2 6" xfId="2571" xr:uid="{00000000-0005-0000-0000-000059170000}"/>
    <cellStyle name="Normal 5 2 2 2 3 2 6 2" xfId="6856" xr:uid="{00000000-0005-0000-0000-00005A170000}"/>
    <cellStyle name="Normal 5 2 2 2 3 2 6 3" xfId="11520" xr:uid="{7D0CB19E-8724-416B-893C-A55DEC1D4362}"/>
    <cellStyle name="Normal 5 2 2 2 3 2 7" xfId="4791" xr:uid="{00000000-0005-0000-0000-00005B170000}"/>
    <cellStyle name="Normal 5 2 2 2 3 2 7 2" xfId="9450" xr:uid="{75F980F5-5E3B-4A12-8C66-F560D9654BBE}"/>
    <cellStyle name="Normal 5 2 2 2 3 2 8" xfId="9001" xr:uid="{19FC1D8C-8639-42A6-9A87-295A67FA5DB8}"/>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3" xfId="12012" xr:uid="{41081036-804C-4618-A46A-FB016B9F9954}"/>
    <cellStyle name="Normal 5 2 2 2 3 3 3" xfId="5203" xr:uid="{00000000-0005-0000-0000-00005F170000}"/>
    <cellStyle name="Normal 5 2 2 2 3 3 4" xfId="9866" xr:uid="{17059BA7-6BA4-4D50-8F59-792F2930BF58}"/>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3" xfId="12425" xr:uid="{6EE41D32-AD34-434C-BA8A-564072CC8FAE}"/>
    <cellStyle name="Normal 5 2 2 2 3 4 3" xfId="5616" xr:uid="{00000000-0005-0000-0000-000063170000}"/>
    <cellStyle name="Normal 5 2 2 2 3 4 4" xfId="10280" xr:uid="{6CF9F753-F4D0-4A86-BCE4-387B6E9AC379}"/>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3" xfId="12838" xr:uid="{07E14EA4-1942-4DB1-A420-8241616B0AED}"/>
    <cellStyle name="Normal 5 2 2 2 3 5 3" xfId="6029" xr:uid="{00000000-0005-0000-0000-000067170000}"/>
    <cellStyle name="Normal 5 2 2 2 3 5 4" xfId="10693" xr:uid="{D4202DB1-23A2-49F6-9403-86F76778445D}"/>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3" xfId="13251" xr:uid="{CD175216-BBBB-412B-89E8-57C7A326B6E7}"/>
    <cellStyle name="Normal 5 2 2 2 3 6 3" xfId="6442" xr:uid="{00000000-0005-0000-0000-00006B170000}"/>
    <cellStyle name="Normal 5 2 2 2 3 6 4" xfId="11106" xr:uid="{9FF7B001-24E2-441A-9490-EBEE15016238}"/>
    <cellStyle name="Normal 5 2 2 2 3 7" xfId="2570" xr:uid="{00000000-0005-0000-0000-00006C170000}"/>
    <cellStyle name="Normal 5 2 2 2 3 7 2" xfId="6855" xr:uid="{00000000-0005-0000-0000-00006D170000}"/>
    <cellStyle name="Normal 5 2 2 2 3 7 3" xfId="11519" xr:uid="{1C194E15-B0EE-4C60-9DE1-DF3D94347537}"/>
    <cellStyle name="Normal 5 2 2 2 3 8" xfId="4790" xr:uid="{00000000-0005-0000-0000-00006E170000}"/>
    <cellStyle name="Normal 5 2 2 2 3 8 2" xfId="9449" xr:uid="{6B929E57-85BA-4161-99E8-92CD1432541A}"/>
    <cellStyle name="Normal 5 2 2 2 3 9" xfId="9000" xr:uid="{FD0BA713-2F77-4D9F-9D51-EDE1ECC0B82B}"/>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3" xfId="12014" xr:uid="{4D2E4D02-6E6B-40D6-9EDA-CE435F0B4BEE}"/>
    <cellStyle name="Normal 5 2 2 2 4 2 3" xfId="5205" xr:uid="{00000000-0005-0000-0000-000073170000}"/>
    <cellStyle name="Normal 5 2 2 2 4 2 4" xfId="9868" xr:uid="{3C10D795-8698-4E0A-8969-094657DF8EE6}"/>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3" xfId="12427" xr:uid="{EB7C4750-1B47-4BD4-94CD-3922EA1B55BF}"/>
    <cellStyle name="Normal 5 2 2 2 4 3 3" xfId="5618" xr:uid="{00000000-0005-0000-0000-000077170000}"/>
    <cellStyle name="Normal 5 2 2 2 4 3 4" xfId="10282" xr:uid="{B767CD87-B51F-41A2-943B-867B87C9651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3" xfId="12840" xr:uid="{DFC88D59-9AF9-48ED-89B6-9440A179A0D2}"/>
    <cellStyle name="Normal 5 2 2 2 4 4 3" xfId="6031" xr:uid="{00000000-0005-0000-0000-00007B170000}"/>
    <cellStyle name="Normal 5 2 2 2 4 4 4" xfId="10695" xr:uid="{3EF952A0-EE45-4294-B83C-AE44DA11566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3" xfId="13253" xr:uid="{0271B435-7940-4AE7-AD32-15096397698F}"/>
    <cellStyle name="Normal 5 2 2 2 4 5 3" xfId="6444" xr:uid="{00000000-0005-0000-0000-00007F170000}"/>
    <cellStyle name="Normal 5 2 2 2 4 5 4" xfId="11108" xr:uid="{EC0BD094-2C72-4C5D-877C-891C325DB08E}"/>
    <cellStyle name="Normal 5 2 2 2 4 6" xfId="2572" xr:uid="{00000000-0005-0000-0000-000080170000}"/>
    <cellStyle name="Normal 5 2 2 2 4 6 2" xfId="6857" xr:uid="{00000000-0005-0000-0000-000081170000}"/>
    <cellStyle name="Normal 5 2 2 2 4 6 3" xfId="11521" xr:uid="{48A274B7-E89F-4A6D-A9F7-EC85178EAADC}"/>
    <cellStyle name="Normal 5 2 2 2 4 7" xfId="4792" xr:uid="{00000000-0005-0000-0000-000082170000}"/>
    <cellStyle name="Normal 5 2 2 2 4 7 2" xfId="9451" xr:uid="{305AF1DF-BE9C-4A84-9E00-0A43B8D91C27}"/>
    <cellStyle name="Normal 5 2 2 2 4 8" xfId="9002" xr:uid="{44BBB676-AB69-4242-8B6E-E48226DB211F}"/>
    <cellStyle name="Normal 5 2 2 2 5" xfId="884" xr:uid="{00000000-0005-0000-0000-000083170000}"/>
    <cellStyle name="Normal 5 2 2 2 5 2" xfId="3119" xr:uid="{00000000-0005-0000-0000-000084170000}"/>
    <cellStyle name="Normal 5 2 2 2 5 2 2" xfId="7343" xr:uid="{00000000-0005-0000-0000-000085170000}"/>
    <cellStyle name="Normal 5 2 2 2 5 2 3" xfId="12007" xr:uid="{5C980EF4-7E7E-4574-8758-F6A8541FD727}"/>
    <cellStyle name="Normal 5 2 2 2 5 3" xfId="5198" xr:uid="{00000000-0005-0000-0000-000086170000}"/>
    <cellStyle name="Normal 5 2 2 2 5 4" xfId="9861" xr:uid="{F5C5C39D-19F4-4BFB-BB58-68FDBB590F72}"/>
    <cellStyle name="Normal 5 2 2 2 6" xfId="1302" xr:uid="{00000000-0005-0000-0000-000087170000}"/>
    <cellStyle name="Normal 5 2 2 2 6 2" xfId="3532" xr:uid="{00000000-0005-0000-0000-000088170000}"/>
    <cellStyle name="Normal 5 2 2 2 6 2 2" xfId="7756" xr:uid="{00000000-0005-0000-0000-000089170000}"/>
    <cellStyle name="Normal 5 2 2 2 6 2 3" xfId="12420" xr:uid="{72900101-7678-4FC2-A271-0E439278BC56}"/>
    <cellStyle name="Normal 5 2 2 2 6 3" xfId="5611" xr:uid="{00000000-0005-0000-0000-00008A170000}"/>
    <cellStyle name="Normal 5 2 2 2 6 4" xfId="10275" xr:uid="{072B3555-C33A-4BAF-B8C6-249A0840E739}"/>
    <cellStyle name="Normal 5 2 2 2 7" xfId="1715" xr:uid="{00000000-0005-0000-0000-00008B170000}"/>
    <cellStyle name="Normal 5 2 2 2 7 2" xfId="3945" xr:uid="{00000000-0005-0000-0000-00008C170000}"/>
    <cellStyle name="Normal 5 2 2 2 7 2 2" xfId="8169" xr:uid="{00000000-0005-0000-0000-00008D170000}"/>
    <cellStyle name="Normal 5 2 2 2 7 2 3" xfId="12833" xr:uid="{BBAB5582-5DA3-4A79-925E-17D993B43667}"/>
    <cellStyle name="Normal 5 2 2 2 7 3" xfId="6024" xr:uid="{00000000-0005-0000-0000-00008E170000}"/>
    <cellStyle name="Normal 5 2 2 2 7 4" xfId="10688" xr:uid="{BCEB38B0-3020-4F72-99D7-3105158E4674}"/>
    <cellStyle name="Normal 5 2 2 2 8" xfId="2129" xr:uid="{00000000-0005-0000-0000-00008F170000}"/>
    <cellStyle name="Normal 5 2 2 2 8 2" xfId="4358" xr:uid="{00000000-0005-0000-0000-000090170000}"/>
    <cellStyle name="Normal 5 2 2 2 8 2 2" xfId="8582" xr:uid="{00000000-0005-0000-0000-000091170000}"/>
    <cellStyle name="Normal 5 2 2 2 8 2 3" xfId="13246" xr:uid="{1E32EAA6-8C78-4CDD-BA1C-CA2F389A113B}"/>
    <cellStyle name="Normal 5 2 2 2 8 3" xfId="6437" xr:uid="{00000000-0005-0000-0000-000092170000}"/>
    <cellStyle name="Normal 5 2 2 2 8 4" xfId="11101" xr:uid="{9F1F0694-5BD1-431B-8513-A0CD038B010A}"/>
    <cellStyle name="Normal 5 2 2 2 9" xfId="2565" xr:uid="{00000000-0005-0000-0000-000093170000}"/>
    <cellStyle name="Normal 5 2 2 2 9 2" xfId="6850" xr:uid="{00000000-0005-0000-0000-000094170000}"/>
    <cellStyle name="Normal 5 2 2 2 9 3" xfId="11514" xr:uid="{BF69FF2E-8E62-4948-8F99-D0A3234B1B1C}"/>
    <cellStyle name="Normal 5 2 2 3" xfId="417" xr:uid="{00000000-0005-0000-0000-000095170000}"/>
    <cellStyle name="Normal 5 2 2 3 10" xfId="9003" xr:uid="{CA08A7B4-7C3B-4848-A515-1846A4E6936F}"/>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3" xfId="12017" xr:uid="{3B0866E4-1B7E-4720-85D1-D8D607602892}"/>
    <cellStyle name="Normal 5 2 2 3 2 2 2 3" xfId="5208" xr:uid="{00000000-0005-0000-0000-00009B170000}"/>
    <cellStyle name="Normal 5 2 2 3 2 2 2 4" xfId="9871" xr:uid="{3A18FD42-0E0E-4564-853E-B3282B45D1CE}"/>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3" xfId="12430" xr:uid="{DF526365-33A7-42EA-88BA-BD3C2F7F832C}"/>
    <cellStyle name="Normal 5 2 2 3 2 2 3 3" xfId="5621" xr:uid="{00000000-0005-0000-0000-00009F170000}"/>
    <cellStyle name="Normal 5 2 2 3 2 2 3 4" xfId="10285" xr:uid="{5FF433C0-771B-4DFB-B281-653DE90D7C77}"/>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3" xfId="12843" xr:uid="{CFA8DE63-7F10-4215-B86D-E311AFDCFD62}"/>
    <cellStyle name="Normal 5 2 2 3 2 2 4 3" xfId="6034" xr:uid="{00000000-0005-0000-0000-0000A3170000}"/>
    <cellStyle name="Normal 5 2 2 3 2 2 4 4" xfId="10698" xr:uid="{95F706ED-7F45-47B7-AA4C-30E2ABA40642}"/>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3" xfId="13256" xr:uid="{EE3D3176-4B9B-43FD-8879-E74223CE26B3}"/>
    <cellStyle name="Normal 5 2 2 3 2 2 5 3" xfId="6447" xr:uid="{00000000-0005-0000-0000-0000A7170000}"/>
    <cellStyle name="Normal 5 2 2 3 2 2 5 4" xfId="11111" xr:uid="{97173418-7875-4239-B733-0CB074C04530}"/>
    <cellStyle name="Normal 5 2 2 3 2 2 6" xfId="2575" xr:uid="{00000000-0005-0000-0000-0000A8170000}"/>
    <cellStyle name="Normal 5 2 2 3 2 2 6 2" xfId="6860" xr:uid="{00000000-0005-0000-0000-0000A9170000}"/>
    <cellStyle name="Normal 5 2 2 3 2 2 6 3" xfId="11524" xr:uid="{DA0E5547-7236-4E69-A442-11F1B546D86D}"/>
    <cellStyle name="Normal 5 2 2 3 2 2 7" xfId="4795" xr:uid="{00000000-0005-0000-0000-0000AA170000}"/>
    <cellStyle name="Normal 5 2 2 3 2 2 7 2" xfId="9454" xr:uid="{2DB35E0D-409F-47EE-B5E4-2D1872ECBA04}"/>
    <cellStyle name="Normal 5 2 2 3 2 2 8" xfId="9005" xr:uid="{6E77BD26-3F68-4AD9-841D-09A890BD49F8}"/>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3" xfId="12016" xr:uid="{81880E2B-CA83-449F-8C37-3D4AA0516ACE}"/>
    <cellStyle name="Normal 5 2 2 3 2 3 3" xfId="5207" xr:uid="{00000000-0005-0000-0000-0000AE170000}"/>
    <cellStyle name="Normal 5 2 2 3 2 3 4" xfId="9870" xr:uid="{D46D4037-538A-403E-A3FD-E70F786D721B}"/>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3" xfId="12429" xr:uid="{F0F2FCA6-9495-4D17-8CF1-DD98DA223ACD}"/>
    <cellStyle name="Normal 5 2 2 3 2 4 3" xfId="5620" xr:uid="{00000000-0005-0000-0000-0000B2170000}"/>
    <cellStyle name="Normal 5 2 2 3 2 4 4" xfId="10284" xr:uid="{08E5F6AF-8059-4474-AE91-D27C41A4F4D8}"/>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3" xfId="12842" xr:uid="{2CE21EF1-3172-4D43-AE7E-FEA7877FF473}"/>
    <cellStyle name="Normal 5 2 2 3 2 5 3" xfId="6033" xr:uid="{00000000-0005-0000-0000-0000B6170000}"/>
    <cellStyle name="Normal 5 2 2 3 2 5 4" xfId="10697" xr:uid="{5FB050A9-612F-4633-A59F-C4B5E6784583}"/>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3" xfId="13255" xr:uid="{D1939BC5-DD30-45DB-87EE-8F8A1A5DBC03}"/>
    <cellStyle name="Normal 5 2 2 3 2 6 3" xfId="6446" xr:uid="{00000000-0005-0000-0000-0000BA170000}"/>
    <cellStyle name="Normal 5 2 2 3 2 6 4" xfId="11110" xr:uid="{87BE281F-1337-4CBD-A5B0-900B2D680D9C}"/>
    <cellStyle name="Normal 5 2 2 3 2 7" xfId="2574" xr:uid="{00000000-0005-0000-0000-0000BB170000}"/>
    <cellStyle name="Normal 5 2 2 3 2 7 2" xfId="6859" xr:uid="{00000000-0005-0000-0000-0000BC170000}"/>
    <cellStyle name="Normal 5 2 2 3 2 7 3" xfId="11523" xr:uid="{7FB6FBAC-20F6-421C-AAA1-4BF6C18E4754}"/>
    <cellStyle name="Normal 5 2 2 3 2 8" xfId="4794" xr:uid="{00000000-0005-0000-0000-0000BD170000}"/>
    <cellStyle name="Normal 5 2 2 3 2 8 2" xfId="9453" xr:uid="{E7B6E449-DF48-4046-89FE-D5925C69BEB8}"/>
    <cellStyle name="Normal 5 2 2 3 2 9" xfId="9004" xr:uid="{7331C5C4-55DC-47F1-899D-A31160E7EA93}"/>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3" xfId="12018" xr:uid="{09BA5ED4-4A2E-4C54-9821-76C13D0BF6FF}"/>
    <cellStyle name="Normal 5 2 2 3 3 2 3" xfId="5209" xr:uid="{00000000-0005-0000-0000-0000C2170000}"/>
    <cellStyle name="Normal 5 2 2 3 3 2 4" xfId="9872" xr:uid="{74B7D90D-567D-401A-94F1-A28527060EA7}"/>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3" xfId="12431" xr:uid="{2B91FFDD-92FA-4757-A339-DE0F5AEA69A4}"/>
    <cellStyle name="Normal 5 2 2 3 3 3 3" xfId="5622" xr:uid="{00000000-0005-0000-0000-0000C6170000}"/>
    <cellStyle name="Normal 5 2 2 3 3 3 4" xfId="10286" xr:uid="{332ABD80-2D8C-46FA-8675-B9F691E8568B}"/>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3" xfId="12844" xr:uid="{18251A49-0A59-4E45-9AC8-F87B18E4FE16}"/>
    <cellStyle name="Normal 5 2 2 3 3 4 3" xfId="6035" xr:uid="{00000000-0005-0000-0000-0000CA170000}"/>
    <cellStyle name="Normal 5 2 2 3 3 4 4" xfId="10699" xr:uid="{074C4A54-748A-4A5E-8330-FB41F1564C6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3" xfId="13257" xr:uid="{9A03C827-7BA4-4511-B166-C6796BD0E1D3}"/>
    <cellStyle name="Normal 5 2 2 3 3 5 3" xfId="6448" xr:uid="{00000000-0005-0000-0000-0000CE170000}"/>
    <cellStyle name="Normal 5 2 2 3 3 5 4" xfId="11112" xr:uid="{9CE35273-7B80-48FC-A41D-9C47EE3A6729}"/>
    <cellStyle name="Normal 5 2 2 3 3 6" xfId="2576" xr:uid="{00000000-0005-0000-0000-0000CF170000}"/>
    <cellStyle name="Normal 5 2 2 3 3 6 2" xfId="6861" xr:uid="{00000000-0005-0000-0000-0000D0170000}"/>
    <cellStyle name="Normal 5 2 2 3 3 6 3" xfId="11525" xr:uid="{8DC8CC30-F28E-48F8-9466-4BEF3FF720F1}"/>
    <cellStyle name="Normal 5 2 2 3 3 7" xfId="4796" xr:uid="{00000000-0005-0000-0000-0000D1170000}"/>
    <cellStyle name="Normal 5 2 2 3 3 7 2" xfId="9455" xr:uid="{69F920D1-F308-4039-A8F0-47A96B83B7E1}"/>
    <cellStyle name="Normal 5 2 2 3 3 8" xfId="9006" xr:uid="{54B72547-09FA-4BD5-A5F4-C80BF29C8D1E}"/>
    <cellStyle name="Normal 5 2 2 3 4" xfId="892" xr:uid="{00000000-0005-0000-0000-0000D2170000}"/>
    <cellStyle name="Normal 5 2 2 3 4 2" xfId="3127" xr:uid="{00000000-0005-0000-0000-0000D3170000}"/>
    <cellStyle name="Normal 5 2 2 3 4 2 2" xfId="7351" xr:uid="{00000000-0005-0000-0000-0000D4170000}"/>
    <cellStyle name="Normal 5 2 2 3 4 2 3" xfId="12015" xr:uid="{6AEEE433-9164-4CE5-8C18-849A46E7444D}"/>
    <cellStyle name="Normal 5 2 2 3 4 3" xfId="5206" xr:uid="{00000000-0005-0000-0000-0000D5170000}"/>
    <cellStyle name="Normal 5 2 2 3 4 4" xfId="9869" xr:uid="{97A8CA83-28AF-4C30-A8C5-7285D733FD35}"/>
    <cellStyle name="Normal 5 2 2 3 5" xfId="1310" xr:uid="{00000000-0005-0000-0000-0000D6170000}"/>
    <cellStyle name="Normal 5 2 2 3 5 2" xfId="3540" xr:uid="{00000000-0005-0000-0000-0000D7170000}"/>
    <cellStyle name="Normal 5 2 2 3 5 2 2" xfId="7764" xr:uid="{00000000-0005-0000-0000-0000D8170000}"/>
    <cellStyle name="Normal 5 2 2 3 5 2 3" xfId="12428" xr:uid="{11385CB4-00FC-4084-9685-0D2F6940D08B}"/>
    <cellStyle name="Normal 5 2 2 3 5 3" xfId="5619" xr:uid="{00000000-0005-0000-0000-0000D9170000}"/>
    <cellStyle name="Normal 5 2 2 3 5 4" xfId="10283" xr:uid="{7DE5F706-9F0F-48A9-A4FA-4501115596AA}"/>
    <cellStyle name="Normal 5 2 2 3 6" xfId="1723" xr:uid="{00000000-0005-0000-0000-0000DA170000}"/>
    <cellStyle name="Normal 5 2 2 3 6 2" xfId="3953" xr:uid="{00000000-0005-0000-0000-0000DB170000}"/>
    <cellStyle name="Normal 5 2 2 3 6 2 2" xfId="8177" xr:uid="{00000000-0005-0000-0000-0000DC170000}"/>
    <cellStyle name="Normal 5 2 2 3 6 2 3" xfId="12841" xr:uid="{DA0E3F76-4660-4815-8A2D-0F330A955EB5}"/>
    <cellStyle name="Normal 5 2 2 3 6 3" xfId="6032" xr:uid="{00000000-0005-0000-0000-0000DD170000}"/>
    <cellStyle name="Normal 5 2 2 3 6 4" xfId="10696" xr:uid="{A43ADAAF-750A-43B2-B9A8-FB7604718F2A}"/>
    <cellStyle name="Normal 5 2 2 3 7" xfId="2137" xr:uid="{00000000-0005-0000-0000-0000DE170000}"/>
    <cellStyle name="Normal 5 2 2 3 7 2" xfId="4366" xr:uid="{00000000-0005-0000-0000-0000DF170000}"/>
    <cellStyle name="Normal 5 2 2 3 7 2 2" xfId="8590" xr:uid="{00000000-0005-0000-0000-0000E0170000}"/>
    <cellStyle name="Normal 5 2 2 3 7 2 3" xfId="13254" xr:uid="{9FA9FA07-9B5F-4CA3-A7AD-41EDEB0FD1AD}"/>
    <cellStyle name="Normal 5 2 2 3 7 3" xfId="6445" xr:uid="{00000000-0005-0000-0000-0000E1170000}"/>
    <cellStyle name="Normal 5 2 2 3 7 4" xfId="11109" xr:uid="{67862D8F-5E86-425F-8F64-2DABEBBA8569}"/>
    <cellStyle name="Normal 5 2 2 3 8" xfId="2573" xr:uid="{00000000-0005-0000-0000-0000E2170000}"/>
    <cellStyle name="Normal 5 2 2 3 8 2" xfId="6858" xr:uid="{00000000-0005-0000-0000-0000E3170000}"/>
    <cellStyle name="Normal 5 2 2 3 8 3" xfId="11522" xr:uid="{2D1E9643-2317-46DF-B404-187AFE106897}"/>
    <cellStyle name="Normal 5 2 2 3 9" xfId="4793" xr:uid="{00000000-0005-0000-0000-0000E4170000}"/>
    <cellStyle name="Normal 5 2 2 3 9 2" xfId="9452" xr:uid="{17A07C66-4296-4C90-8A3F-6F3A20BAE5F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3" xfId="12020" xr:uid="{6F328E2B-73C8-4296-9ECE-699611BD5283}"/>
    <cellStyle name="Normal 5 2 2 4 2 2 3" xfId="5211" xr:uid="{00000000-0005-0000-0000-0000EA170000}"/>
    <cellStyle name="Normal 5 2 2 4 2 2 4" xfId="9874" xr:uid="{C068DF10-595C-457E-A16B-0DC7F2C8873E}"/>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3" xfId="12433" xr:uid="{1ED89D26-C771-4EAE-ACEC-038773CA2057}"/>
    <cellStyle name="Normal 5 2 2 4 2 3 3" xfId="5624" xr:uid="{00000000-0005-0000-0000-0000EE170000}"/>
    <cellStyle name="Normal 5 2 2 4 2 3 4" xfId="10288" xr:uid="{88A41897-3F42-4803-ACB0-5C0F44C07DC8}"/>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3" xfId="12846" xr:uid="{FD56B3AB-E004-4EB0-9B0E-168898E2939D}"/>
    <cellStyle name="Normal 5 2 2 4 2 4 3" xfId="6037" xr:uid="{00000000-0005-0000-0000-0000F2170000}"/>
    <cellStyle name="Normal 5 2 2 4 2 4 4" xfId="10701" xr:uid="{2E42FFD6-AF25-411C-9BD2-D435983EC8A5}"/>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3" xfId="13259" xr:uid="{DEB369FB-8B75-470C-A8B8-EC348CCE6A6C}"/>
    <cellStyle name="Normal 5 2 2 4 2 5 3" xfId="6450" xr:uid="{00000000-0005-0000-0000-0000F6170000}"/>
    <cellStyle name="Normal 5 2 2 4 2 5 4" xfId="11114" xr:uid="{67A4DE80-F359-4036-A274-9190D1FE6FD9}"/>
    <cellStyle name="Normal 5 2 2 4 2 6" xfId="2578" xr:uid="{00000000-0005-0000-0000-0000F7170000}"/>
    <cellStyle name="Normal 5 2 2 4 2 6 2" xfId="6863" xr:uid="{00000000-0005-0000-0000-0000F8170000}"/>
    <cellStyle name="Normal 5 2 2 4 2 6 3" xfId="11527" xr:uid="{5F69BF6B-26C4-4F79-BCED-7122FEE5877F}"/>
    <cellStyle name="Normal 5 2 2 4 2 7" xfId="4798" xr:uid="{00000000-0005-0000-0000-0000F9170000}"/>
    <cellStyle name="Normal 5 2 2 4 2 7 2" xfId="9457" xr:uid="{57FF45A6-7C76-43E6-9707-517232ED0F3E}"/>
    <cellStyle name="Normal 5 2 2 4 2 8" xfId="9008" xr:uid="{71DECD6D-3E5E-4409-BF2B-B5D48A8A2A79}"/>
    <cellStyle name="Normal 5 2 2 4 3" xfId="896" xr:uid="{00000000-0005-0000-0000-0000FA170000}"/>
    <cellStyle name="Normal 5 2 2 4 3 2" xfId="3131" xr:uid="{00000000-0005-0000-0000-0000FB170000}"/>
    <cellStyle name="Normal 5 2 2 4 3 2 2" xfId="7355" xr:uid="{00000000-0005-0000-0000-0000FC170000}"/>
    <cellStyle name="Normal 5 2 2 4 3 2 3" xfId="12019" xr:uid="{0D86E6E4-D42D-4D02-9BA4-B9C54A33A830}"/>
    <cellStyle name="Normal 5 2 2 4 3 3" xfId="5210" xr:uid="{00000000-0005-0000-0000-0000FD170000}"/>
    <cellStyle name="Normal 5 2 2 4 3 4" xfId="9873" xr:uid="{4B9C3797-022F-4E21-A190-C7773585B098}"/>
    <cellStyle name="Normal 5 2 2 4 4" xfId="1314" xr:uid="{00000000-0005-0000-0000-0000FE170000}"/>
    <cellStyle name="Normal 5 2 2 4 4 2" xfId="3544" xr:uid="{00000000-0005-0000-0000-0000FF170000}"/>
    <cellStyle name="Normal 5 2 2 4 4 2 2" xfId="7768" xr:uid="{00000000-0005-0000-0000-000000180000}"/>
    <cellStyle name="Normal 5 2 2 4 4 2 3" xfId="12432" xr:uid="{FEFEA0C5-A5C7-4D11-B480-8119B924436A}"/>
    <cellStyle name="Normal 5 2 2 4 4 3" xfId="5623" xr:uid="{00000000-0005-0000-0000-000001180000}"/>
    <cellStyle name="Normal 5 2 2 4 4 4" xfId="10287" xr:uid="{61FF5E9D-B3BA-4E48-9B16-91D51E3F1028}"/>
    <cellStyle name="Normal 5 2 2 4 5" xfId="1727" xr:uid="{00000000-0005-0000-0000-000002180000}"/>
    <cellStyle name="Normal 5 2 2 4 5 2" xfId="3957" xr:uid="{00000000-0005-0000-0000-000003180000}"/>
    <cellStyle name="Normal 5 2 2 4 5 2 2" xfId="8181" xr:uid="{00000000-0005-0000-0000-000004180000}"/>
    <cellStyle name="Normal 5 2 2 4 5 2 3" xfId="12845" xr:uid="{7BE3582E-D8FF-4C4D-8DBB-BABD4BBE7343}"/>
    <cellStyle name="Normal 5 2 2 4 5 3" xfId="6036" xr:uid="{00000000-0005-0000-0000-000005180000}"/>
    <cellStyle name="Normal 5 2 2 4 5 4" xfId="10700" xr:uid="{DBE85291-28D4-4818-A57E-010B82BE2C78}"/>
    <cellStyle name="Normal 5 2 2 4 6" xfId="2141" xr:uid="{00000000-0005-0000-0000-000006180000}"/>
    <cellStyle name="Normal 5 2 2 4 6 2" xfId="4370" xr:uid="{00000000-0005-0000-0000-000007180000}"/>
    <cellStyle name="Normal 5 2 2 4 6 2 2" xfId="8594" xr:uid="{00000000-0005-0000-0000-000008180000}"/>
    <cellStyle name="Normal 5 2 2 4 6 2 3" xfId="13258" xr:uid="{381EDF38-9556-4531-B856-CE4118F68D3B}"/>
    <cellStyle name="Normal 5 2 2 4 6 3" xfId="6449" xr:uid="{00000000-0005-0000-0000-000009180000}"/>
    <cellStyle name="Normal 5 2 2 4 6 4" xfId="11113" xr:uid="{A6D53F5D-763D-4BD9-AE79-DD1A243E3AAB}"/>
    <cellStyle name="Normal 5 2 2 4 7" xfId="2577" xr:uid="{00000000-0005-0000-0000-00000A180000}"/>
    <cellStyle name="Normal 5 2 2 4 7 2" xfId="6862" xr:uid="{00000000-0005-0000-0000-00000B180000}"/>
    <cellStyle name="Normal 5 2 2 4 7 3" xfId="11526" xr:uid="{003F8484-FBA0-4253-966A-C6B80B5C09D6}"/>
    <cellStyle name="Normal 5 2 2 4 8" xfId="4797" xr:uid="{00000000-0005-0000-0000-00000C180000}"/>
    <cellStyle name="Normal 5 2 2 4 8 2" xfId="9456" xr:uid="{BFCA6231-97FA-4256-8441-AFA8CD093250}"/>
    <cellStyle name="Normal 5 2 2 4 9" xfId="9007" xr:uid="{DA4330E9-1FCB-48ED-9D8C-37408EB28E56}"/>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3" xfId="12021" xr:uid="{A99E978D-8282-41CF-8A1E-42279CA06A53}"/>
    <cellStyle name="Normal 5 2 2 5 2 3" xfId="5212" xr:uid="{00000000-0005-0000-0000-000011180000}"/>
    <cellStyle name="Normal 5 2 2 5 2 4" xfId="9875" xr:uid="{4676C855-184B-485A-88A2-A750C110216B}"/>
    <cellStyle name="Normal 5 2 2 5 3" xfId="1316" xr:uid="{00000000-0005-0000-0000-000012180000}"/>
    <cellStyle name="Normal 5 2 2 5 3 2" xfId="3546" xr:uid="{00000000-0005-0000-0000-000013180000}"/>
    <cellStyle name="Normal 5 2 2 5 3 2 2" xfId="7770" xr:uid="{00000000-0005-0000-0000-000014180000}"/>
    <cellStyle name="Normal 5 2 2 5 3 2 3" xfId="12434" xr:uid="{44FC4533-552F-4351-B90F-042FFDBA4AD2}"/>
    <cellStyle name="Normal 5 2 2 5 3 3" xfId="5625" xr:uid="{00000000-0005-0000-0000-000015180000}"/>
    <cellStyle name="Normal 5 2 2 5 3 4" xfId="10289" xr:uid="{A9D55ACE-77AE-4CEA-B2FA-FE03B3111AE3}"/>
    <cellStyle name="Normal 5 2 2 5 4" xfId="1729" xr:uid="{00000000-0005-0000-0000-000016180000}"/>
    <cellStyle name="Normal 5 2 2 5 4 2" xfId="3959" xr:uid="{00000000-0005-0000-0000-000017180000}"/>
    <cellStyle name="Normal 5 2 2 5 4 2 2" xfId="8183" xr:uid="{00000000-0005-0000-0000-000018180000}"/>
    <cellStyle name="Normal 5 2 2 5 4 2 3" xfId="12847" xr:uid="{BB183FBE-4C56-4047-A3F1-D330F981C7BB}"/>
    <cellStyle name="Normal 5 2 2 5 4 3" xfId="6038" xr:uid="{00000000-0005-0000-0000-000019180000}"/>
    <cellStyle name="Normal 5 2 2 5 4 4" xfId="10702" xr:uid="{29D84D8D-AA6F-41C8-B1DE-ABCCFB5CBC52}"/>
    <cellStyle name="Normal 5 2 2 5 5" xfId="2143" xr:uid="{00000000-0005-0000-0000-00001A180000}"/>
    <cellStyle name="Normal 5 2 2 5 5 2" xfId="4372" xr:uid="{00000000-0005-0000-0000-00001B180000}"/>
    <cellStyle name="Normal 5 2 2 5 5 2 2" xfId="8596" xr:uid="{00000000-0005-0000-0000-00001C180000}"/>
    <cellStyle name="Normal 5 2 2 5 5 2 3" xfId="13260" xr:uid="{9F9AB59C-8215-4E67-98FE-8A775CF19AA8}"/>
    <cellStyle name="Normal 5 2 2 5 5 3" xfId="6451" xr:uid="{00000000-0005-0000-0000-00001D180000}"/>
    <cellStyle name="Normal 5 2 2 5 5 4" xfId="11115" xr:uid="{A1EE2F41-DE3C-4AF2-B449-A2AED6E3D084}"/>
    <cellStyle name="Normal 5 2 2 5 6" xfId="2579" xr:uid="{00000000-0005-0000-0000-00001E180000}"/>
    <cellStyle name="Normal 5 2 2 5 6 2" xfId="6864" xr:uid="{00000000-0005-0000-0000-00001F180000}"/>
    <cellStyle name="Normal 5 2 2 5 6 3" xfId="11528" xr:uid="{2F910436-EE87-454F-9596-78948F67943C}"/>
    <cellStyle name="Normal 5 2 2 5 7" xfId="4799" xr:uid="{00000000-0005-0000-0000-000020180000}"/>
    <cellStyle name="Normal 5 2 2 5 7 2" xfId="9458" xr:uid="{ED338483-2C94-48F8-944D-1F39EB9D8A16}"/>
    <cellStyle name="Normal 5 2 2 5 8" xfId="9009" xr:uid="{14656A20-2F30-4786-B6E9-AF3CF6915968}"/>
    <cellStyle name="Normal 5 2 2 6" xfId="883" xr:uid="{00000000-0005-0000-0000-000021180000}"/>
    <cellStyle name="Normal 5 2 2 6 2" xfId="3118" xr:uid="{00000000-0005-0000-0000-000022180000}"/>
    <cellStyle name="Normal 5 2 2 6 2 2" xfId="7342" xr:uid="{00000000-0005-0000-0000-000023180000}"/>
    <cellStyle name="Normal 5 2 2 6 2 3" xfId="12006" xr:uid="{A703071C-510B-4FF6-A565-C5ECCF848271}"/>
    <cellStyle name="Normal 5 2 2 6 3" xfId="5197" xr:uid="{00000000-0005-0000-0000-000024180000}"/>
    <cellStyle name="Normal 5 2 2 6 4" xfId="9860" xr:uid="{54CD5D91-2474-4267-960D-18C65E5234BA}"/>
    <cellStyle name="Normal 5 2 2 7" xfId="1301" xr:uid="{00000000-0005-0000-0000-000025180000}"/>
    <cellStyle name="Normal 5 2 2 7 2" xfId="3531" xr:uid="{00000000-0005-0000-0000-000026180000}"/>
    <cellStyle name="Normal 5 2 2 7 2 2" xfId="7755" xr:uid="{00000000-0005-0000-0000-000027180000}"/>
    <cellStyle name="Normal 5 2 2 7 2 3" xfId="12419" xr:uid="{16566CB9-D076-43AA-9F02-850C3171F569}"/>
    <cellStyle name="Normal 5 2 2 7 3" xfId="5610" xr:uid="{00000000-0005-0000-0000-000028180000}"/>
    <cellStyle name="Normal 5 2 2 7 4" xfId="10274" xr:uid="{5A9045F7-FE75-4A31-B141-7CD8E242FE4B}"/>
    <cellStyle name="Normal 5 2 2 8" xfId="1714" xr:uid="{00000000-0005-0000-0000-000029180000}"/>
    <cellStyle name="Normal 5 2 2 8 2" xfId="3944" xr:uid="{00000000-0005-0000-0000-00002A180000}"/>
    <cellStyle name="Normal 5 2 2 8 2 2" xfId="8168" xr:uid="{00000000-0005-0000-0000-00002B180000}"/>
    <cellStyle name="Normal 5 2 2 8 2 3" xfId="12832" xr:uid="{796D4543-90ED-4205-AE81-1540C769A7EF}"/>
    <cellStyle name="Normal 5 2 2 8 3" xfId="6023" xr:uid="{00000000-0005-0000-0000-00002C180000}"/>
    <cellStyle name="Normal 5 2 2 8 4" xfId="10687" xr:uid="{8CA9DA32-CE87-4687-B171-01959A4359D2}"/>
    <cellStyle name="Normal 5 2 2 9" xfId="2128" xr:uid="{00000000-0005-0000-0000-00002D180000}"/>
    <cellStyle name="Normal 5 2 2 9 2" xfId="4357" xr:uid="{00000000-0005-0000-0000-00002E180000}"/>
    <cellStyle name="Normal 5 2 2 9 2 2" xfId="8581" xr:uid="{00000000-0005-0000-0000-00002F180000}"/>
    <cellStyle name="Normal 5 2 2 9 2 3" xfId="13245" xr:uid="{B92B2320-4DBB-4AE3-A540-DAF89A2A0DC4}"/>
    <cellStyle name="Normal 5 2 2 9 3" xfId="6436" xr:uid="{00000000-0005-0000-0000-000030180000}"/>
    <cellStyle name="Normal 5 2 2 9 4" xfId="11100" xr:uid="{844BD2D2-809B-4ADD-9C91-485346590000}"/>
    <cellStyle name="Normal 5 2 3" xfId="424" xr:uid="{00000000-0005-0000-0000-000031180000}"/>
    <cellStyle name="Normal 5 2 3 10" xfId="4800" xr:uid="{00000000-0005-0000-0000-000032180000}"/>
    <cellStyle name="Normal 5 2 3 10 2" xfId="9459" xr:uid="{3C70B51D-BA09-434E-A406-558CF32CE033}"/>
    <cellStyle name="Normal 5 2 3 11" xfId="9010" xr:uid="{16F272C5-BD67-4419-8343-C96784C6B0B2}"/>
    <cellStyle name="Normal 5 2 3 2" xfId="425" xr:uid="{00000000-0005-0000-0000-000033180000}"/>
    <cellStyle name="Normal 5 2 3 2 10" xfId="9011" xr:uid="{9E9FD0E9-20FD-4AFD-8EB0-709FFAAEBE0A}"/>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3" xfId="12025" xr:uid="{0C0C61FD-8AF0-4B53-B81D-9A3A6CDE1E90}"/>
    <cellStyle name="Normal 5 2 3 2 2 2 2 3" xfId="5216" xr:uid="{00000000-0005-0000-0000-000039180000}"/>
    <cellStyle name="Normal 5 2 3 2 2 2 2 4" xfId="9879" xr:uid="{23E93428-6B6B-4443-B12A-6FE0097559E1}"/>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3" xfId="12438" xr:uid="{8C306E9F-A4B6-48E2-8816-9233D211FD5C}"/>
    <cellStyle name="Normal 5 2 3 2 2 2 3 3" xfId="5629" xr:uid="{00000000-0005-0000-0000-00003D180000}"/>
    <cellStyle name="Normal 5 2 3 2 2 2 3 4" xfId="10293" xr:uid="{7B45163B-666D-433F-82E8-55FAF45D6B4A}"/>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3" xfId="12851" xr:uid="{2C12EF47-7296-458D-A4C3-C20FC50F80A1}"/>
    <cellStyle name="Normal 5 2 3 2 2 2 4 3" xfId="6042" xr:uid="{00000000-0005-0000-0000-000041180000}"/>
    <cellStyle name="Normal 5 2 3 2 2 2 4 4" xfId="10706" xr:uid="{B872C2EA-2C0C-49DE-B7A8-721E9245D176}"/>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3" xfId="13264" xr:uid="{52F98588-53A8-492C-83C4-1299531B0DFB}"/>
    <cellStyle name="Normal 5 2 3 2 2 2 5 3" xfId="6455" xr:uid="{00000000-0005-0000-0000-000045180000}"/>
    <cellStyle name="Normal 5 2 3 2 2 2 5 4" xfId="11119" xr:uid="{77F0BEEF-6978-4FD1-8F57-9134E2B3CDC7}"/>
    <cellStyle name="Normal 5 2 3 2 2 2 6" xfId="2583" xr:uid="{00000000-0005-0000-0000-000046180000}"/>
    <cellStyle name="Normal 5 2 3 2 2 2 6 2" xfId="6868" xr:uid="{00000000-0005-0000-0000-000047180000}"/>
    <cellStyle name="Normal 5 2 3 2 2 2 6 3" xfId="11532" xr:uid="{B14E8A52-90C4-4EEC-8B21-907638E0EC44}"/>
    <cellStyle name="Normal 5 2 3 2 2 2 7" xfId="4803" xr:uid="{00000000-0005-0000-0000-000048180000}"/>
    <cellStyle name="Normal 5 2 3 2 2 2 7 2" xfId="9462" xr:uid="{0E43CCBC-B6B4-4990-890C-E6ED82A153C9}"/>
    <cellStyle name="Normal 5 2 3 2 2 2 8" xfId="9013" xr:uid="{372924B2-6015-4F23-9BD2-86BB50B0840A}"/>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3" xfId="12024" xr:uid="{8B466DF9-59F2-43F4-A123-7DD1C1264D0B}"/>
    <cellStyle name="Normal 5 2 3 2 2 3 3" xfId="5215" xr:uid="{00000000-0005-0000-0000-00004C180000}"/>
    <cellStyle name="Normal 5 2 3 2 2 3 4" xfId="9878" xr:uid="{86117B3B-F26D-405D-9BC0-9C537093E26B}"/>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3" xfId="12437" xr:uid="{C76BA910-78DB-4C8A-BB40-861B6F6ACE7C}"/>
    <cellStyle name="Normal 5 2 3 2 2 4 3" xfId="5628" xr:uid="{00000000-0005-0000-0000-000050180000}"/>
    <cellStyle name="Normal 5 2 3 2 2 4 4" xfId="10292" xr:uid="{6B18B06C-4079-4611-9389-09596BC50A27}"/>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3" xfId="12850" xr:uid="{2A70F5E2-F9F9-4467-AA26-1736416FC3AB}"/>
    <cellStyle name="Normal 5 2 3 2 2 5 3" xfId="6041" xr:uid="{00000000-0005-0000-0000-000054180000}"/>
    <cellStyle name="Normal 5 2 3 2 2 5 4" xfId="10705" xr:uid="{B94BD773-F391-4B87-9996-284C65739C48}"/>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3" xfId="13263" xr:uid="{84CEF1C5-94C4-4322-BBAE-1526F5E1EFCC}"/>
    <cellStyle name="Normal 5 2 3 2 2 6 3" xfId="6454" xr:uid="{00000000-0005-0000-0000-000058180000}"/>
    <cellStyle name="Normal 5 2 3 2 2 6 4" xfId="11118" xr:uid="{A86681BF-593C-4954-AB94-1259F0354A49}"/>
    <cellStyle name="Normal 5 2 3 2 2 7" xfId="2582" xr:uid="{00000000-0005-0000-0000-000059180000}"/>
    <cellStyle name="Normal 5 2 3 2 2 7 2" xfId="6867" xr:uid="{00000000-0005-0000-0000-00005A180000}"/>
    <cellStyle name="Normal 5 2 3 2 2 7 3" xfId="11531" xr:uid="{E5DE4D3F-EF45-45CB-8427-C1336192D36B}"/>
    <cellStyle name="Normal 5 2 3 2 2 8" xfId="4802" xr:uid="{00000000-0005-0000-0000-00005B180000}"/>
    <cellStyle name="Normal 5 2 3 2 2 8 2" xfId="9461" xr:uid="{9D639AB7-5265-497F-82FB-62E60659D38C}"/>
    <cellStyle name="Normal 5 2 3 2 2 9" xfId="9012" xr:uid="{EE98906A-3DDB-47A9-8192-0C9415084AB6}"/>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3" xfId="12026" xr:uid="{D2B05EF9-A5CE-458A-BAF4-52900F6C2513}"/>
    <cellStyle name="Normal 5 2 3 2 3 2 3" xfId="5217" xr:uid="{00000000-0005-0000-0000-000060180000}"/>
    <cellStyle name="Normal 5 2 3 2 3 2 4" xfId="9880" xr:uid="{662B9DA8-FF0A-463A-8C4D-1E454EEF05D9}"/>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3" xfId="12439" xr:uid="{2577F935-6DB2-439C-8B8C-2C4D2AD60EC3}"/>
    <cellStyle name="Normal 5 2 3 2 3 3 3" xfId="5630" xr:uid="{00000000-0005-0000-0000-000064180000}"/>
    <cellStyle name="Normal 5 2 3 2 3 3 4" xfId="10294" xr:uid="{7F0CA04C-B0E9-412C-91AD-9585D271BF4A}"/>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3" xfId="12852" xr:uid="{88585813-5A45-45D7-B382-D9A0C1C5FC04}"/>
    <cellStyle name="Normal 5 2 3 2 3 4 3" xfId="6043" xr:uid="{00000000-0005-0000-0000-000068180000}"/>
    <cellStyle name="Normal 5 2 3 2 3 4 4" xfId="10707" xr:uid="{94245871-F42B-4B55-984A-A0B88B4E73DA}"/>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3" xfId="13265" xr:uid="{12A4D804-606C-4D39-988D-AE2F12D7C4A6}"/>
    <cellStyle name="Normal 5 2 3 2 3 5 3" xfId="6456" xr:uid="{00000000-0005-0000-0000-00006C180000}"/>
    <cellStyle name="Normal 5 2 3 2 3 5 4" xfId="11120" xr:uid="{F1EB4751-9123-4917-B484-D4C5EA1DB8D2}"/>
    <cellStyle name="Normal 5 2 3 2 3 6" xfId="2584" xr:uid="{00000000-0005-0000-0000-00006D180000}"/>
    <cellStyle name="Normal 5 2 3 2 3 6 2" xfId="6869" xr:uid="{00000000-0005-0000-0000-00006E180000}"/>
    <cellStyle name="Normal 5 2 3 2 3 6 3" xfId="11533" xr:uid="{6CB6C2E3-2584-45F1-8E4C-02172A06AEFA}"/>
    <cellStyle name="Normal 5 2 3 2 3 7" xfId="4804" xr:uid="{00000000-0005-0000-0000-00006F180000}"/>
    <cellStyle name="Normal 5 2 3 2 3 7 2" xfId="9463" xr:uid="{1B4ED4BB-1B2B-460D-BA76-4338282ADDB3}"/>
    <cellStyle name="Normal 5 2 3 2 3 8" xfId="9014" xr:uid="{4A2EE582-FC00-4A6A-9BC9-C3233A78F854}"/>
    <cellStyle name="Normal 5 2 3 2 4" xfId="900" xr:uid="{00000000-0005-0000-0000-000070180000}"/>
    <cellStyle name="Normal 5 2 3 2 4 2" xfId="3135" xr:uid="{00000000-0005-0000-0000-000071180000}"/>
    <cellStyle name="Normal 5 2 3 2 4 2 2" xfId="7359" xr:uid="{00000000-0005-0000-0000-000072180000}"/>
    <cellStyle name="Normal 5 2 3 2 4 2 3" xfId="12023" xr:uid="{A3B1655C-DBB6-432B-A1FD-FC51BB87DBA8}"/>
    <cellStyle name="Normal 5 2 3 2 4 3" xfId="5214" xr:uid="{00000000-0005-0000-0000-000073180000}"/>
    <cellStyle name="Normal 5 2 3 2 4 4" xfId="9877" xr:uid="{BA0C7201-FA14-4992-ADCC-CCCDB6AFDB39}"/>
    <cellStyle name="Normal 5 2 3 2 5" xfId="1318" xr:uid="{00000000-0005-0000-0000-000074180000}"/>
    <cellStyle name="Normal 5 2 3 2 5 2" xfId="3548" xr:uid="{00000000-0005-0000-0000-000075180000}"/>
    <cellStyle name="Normal 5 2 3 2 5 2 2" xfId="7772" xr:uid="{00000000-0005-0000-0000-000076180000}"/>
    <cellStyle name="Normal 5 2 3 2 5 2 3" xfId="12436" xr:uid="{1F1F0968-EDF0-4B27-87A9-06C1F5DDECC2}"/>
    <cellStyle name="Normal 5 2 3 2 5 3" xfId="5627" xr:uid="{00000000-0005-0000-0000-000077180000}"/>
    <cellStyle name="Normal 5 2 3 2 5 4" xfId="10291" xr:uid="{39D0D45E-1F4E-49E6-A19C-0EEE738A9162}"/>
    <cellStyle name="Normal 5 2 3 2 6" xfId="1731" xr:uid="{00000000-0005-0000-0000-000078180000}"/>
    <cellStyle name="Normal 5 2 3 2 6 2" xfId="3961" xr:uid="{00000000-0005-0000-0000-000079180000}"/>
    <cellStyle name="Normal 5 2 3 2 6 2 2" xfId="8185" xr:uid="{00000000-0005-0000-0000-00007A180000}"/>
    <cellStyle name="Normal 5 2 3 2 6 2 3" xfId="12849" xr:uid="{5B73988F-CF61-4C6A-BC38-30C2136E9336}"/>
    <cellStyle name="Normal 5 2 3 2 6 3" xfId="6040" xr:uid="{00000000-0005-0000-0000-00007B180000}"/>
    <cellStyle name="Normal 5 2 3 2 6 4" xfId="10704" xr:uid="{E8D72151-81AF-4BFD-83EC-2F00501AC4EF}"/>
    <cellStyle name="Normal 5 2 3 2 7" xfId="2145" xr:uid="{00000000-0005-0000-0000-00007C180000}"/>
    <cellStyle name="Normal 5 2 3 2 7 2" xfId="4374" xr:uid="{00000000-0005-0000-0000-00007D180000}"/>
    <cellStyle name="Normal 5 2 3 2 7 2 2" xfId="8598" xr:uid="{00000000-0005-0000-0000-00007E180000}"/>
    <cellStyle name="Normal 5 2 3 2 7 2 3" xfId="13262" xr:uid="{078F7310-CF40-4342-B096-7827BE171112}"/>
    <cellStyle name="Normal 5 2 3 2 7 3" xfId="6453" xr:uid="{00000000-0005-0000-0000-00007F180000}"/>
    <cellStyle name="Normal 5 2 3 2 7 4" xfId="11117" xr:uid="{073E3CF0-EF6F-408B-A821-830254D96FB7}"/>
    <cellStyle name="Normal 5 2 3 2 8" xfId="2581" xr:uid="{00000000-0005-0000-0000-000080180000}"/>
    <cellStyle name="Normal 5 2 3 2 8 2" xfId="6866" xr:uid="{00000000-0005-0000-0000-000081180000}"/>
    <cellStyle name="Normal 5 2 3 2 8 3" xfId="11530" xr:uid="{97B377A1-7A9F-4552-8787-90E314110892}"/>
    <cellStyle name="Normal 5 2 3 2 9" xfId="4801" xr:uid="{00000000-0005-0000-0000-000082180000}"/>
    <cellStyle name="Normal 5 2 3 2 9 2" xfId="9460" xr:uid="{EC66CAEC-492C-4630-B4E3-49A35EAD0AC4}"/>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3" xfId="12028" xr:uid="{44CA6A24-A22F-4003-8E1D-2C9E3C58723D}"/>
    <cellStyle name="Normal 5 2 3 3 2 2 3" xfId="5219" xr:uid="{00000000-0005-0000-0000-000088180000}"/>
    <cellStyle name="Normal 5 2 3 3 2 2 4" xfId="9882" xr:uid="{623A26F2-5B0E-4226-90C1-E16D357556CF}"/>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3" xfId="12441" xr:uid="{495FF3BB-F331-42D8-8ADF-5418331A4B1F}"/>
    <cellStyle name="Normal 5 2 3 3 2 3 3" xfId="5632" xr:uid="{00000000-0005-0000-0000-00008C180000}"/>
    <cellStyle name="Normal 5 2 3 3 2 3 4" xfId="10296" xr:uid="{B5CCEAC7-D8D4-47E8-889C-021C3138380D}"/>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3" xfId="12854" xr:uid="{95477D72-A167-4312-AA2E-33FF0C24ED5A}"/>
    <cellStyle name="Normal 5 2 3 3 2 4 3" xfId="6045" xr:uid="{00000000-0005-0000-0000-000090180000}"/>
    <cellStyle name="Normal 5 2 3 3 2 4 4" xfId="10709" xr:uid="{D473C835-28D4-4A57-B00A-9D62D6999D3C}"/>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3" xfId="13267" xr:uid="{8CF621E1-64B8-486B-BF0C-63F31E7EDE2B}"/>
    <cellStyle name="Normal 5 2 3 3 2 5 3" xfId="6458" xr:uid="{00000000-0005-0000-0000-000094180000}"/>
    <cellStyle name="Normal 5 2 3 3 2 5 4" xfId="11122" xr:uid="{9D82FED7-2122-4BF4-B86A-6C3983D0D37B}"/>
    <cellStyle name="Normal 5 2 3 3 2 6" xfId="2586" xr:uid="{00000000-0005-0000-0000-000095180000}"/>
    <cellStyle name="Normal 5 2 3 3 2 6 2" xfId="6871" xr:uid="{00000000-0005-0000-0000-000096180000}"/>
    <cellStyle name="Normal 5 2 3 3 2 6 3" xfId="11535" xr:uid="{E0AC5983-06EB-4CA5-AC1D-B718E34D9E82}"/>
    <cellStyle name="Normal 5 2 3 3 2 7" xfId="4806" xr:uid="{00000000-0005-0000-0000-000097180000}"/>
    <cellStyle name="Normal 5 2 3 3 2 7 2" xfId="9465" xr:uid="{2DB87A46-168F-433E-ABC6-07B3F62F8930}"/>
    <cellStyle name="Normal 5 2 3 3 2 8" xfId="9016" xr:uid="{D92A631B-7E64-4430-ACD3-F9E0075DE361}"/>
    <cellStyle name="Normal 5 2 3 3 3" xfId="904" xr:uid="{00000000-0005-0000-0000-000098180000}"/>
    <cellStyle name="Normal 5 2 3 3 3 2" xfId="3139" xr:uid="{00000000-0005-0000-0000-000099180000}"/>
    <cellStyle name="Normal 5 2 3 3 3 2 2" xfId="7363" xr:uid="{00000000-0005-0000-0000-00009A180000}"/>
    <cellStyle name="Normal 5 2 3 3 3 2 3" xfId="12027" xr:uid="{8A59BB93-CDE8-48DC-AB3D-2F8413F35377}"/>
    <cellStyle name="Normal 5 2 3 3 3 3" xfId="5218" xr:uid="{00000000-0005-0000-0000-00009B180000}"/>
    <cellStyle name="Normal 5 2 3 3 3 4" xfId="9881" xr:uid="{033D5F20-B8E4-46A0-B07C-0FE2CD6B5122}"/>
    <cellStyle name="Normal 5 2 3 3 4" xfId="1322" xr:uid="{00000000-0005-0000-0000-00009C180000}"/>
    <cellStyle name="Normal 5 2 3 3 4 2" xfId="3552" xr:uid="{00000000-0005-0000-0000-00009D180000}"/>
    <cellStyle name="Normal 5 2 3 3 4 2 2" xfId="7776" xr:uid="{00000000-0005-0000-0000-00009E180000}"/>
    <cellStyle name="Normal 5 2 3 3 4 2 3" xfId="12440" xr:uid="{F99D6573-F141-468B-9A4B-0A103D1B5D41}"/>
    <cellStyle name="Normal 5 2 3 3 4 3" xfId="5631" xr:uid="{00000000-0005-0000-0000-00009F180000}"/>
    <cellStyle name="Normal 5 2 3 3 4 4" xfId="10295" xr:uid="{88784FF6-4225-439D-AB04-E24CF36177CB}"/>
    <cellStyle name="Normal 5 2 3 3 5" xfId="1735" xr:uid="{00000000-0005-0000-0000-0000A0180000}"/>
    <cellStyle name="Normal 5 2 3 3 5 2" xfId="3965" xr:uid="{00000000-0005-0000-0000-0000A1180000}"/>
    <cellStyle name="Normal 5 2 3 3 5 2 2" xfId="8189" xr:uid="{00000000-0005-0000-0000-0000A2180000}"/>
    <cellStyle name="Normal 5 2 3 3 5 2 3" xfId="12853" xr:uid="{FEBF8ED8-5641-487C-8BE2-F445CF582F06}"/>
    <cellStyle name="Normal 5 2 3 3 5 3" xfId="6044" xr:uid="{00000000-0005-0000-0000-0000A3180000}"/>
    <cellStyle name="Normal 5 2 3 3 5 4" xfId="10708" xr:uid="{BC319D35-F443-4099-93B6-EF24302FCECD}"/>
    <cellStyle name="Normal 5 2 3 3 6" xfId="2149" xr:uid="{00000000-0005-0000-0000-0000A4180000}"/>
    <cellStyle name="Normal 5 2 3 3 6 2" xfId="4378" xr:uid="{00000000-0005-0000-0000-0000A5180000}"/>
    <cellStyle name="Normal 5 2 3 3 6 2 2" xfId="8602" xr:uid="{00000000-0005-0000-0000-0000A6180000}"/>
    <cellStyle name="Normal 5 2 3 3 6 2 3" xfId="13266" xr:uid="{FD149B26-4290-4339-8B39-49BA422D9211}"/>
    <cellStyle name="Normal 5 2 3 3 6 3" xfId="6457" xr:uid="{00000000-0005-0000-0000-0000A7180000}"/>
    <cellStyle name="Normal 5 2 3 3 6 4" xfId="11121" xr:uid="{0B722AB8-BCA7-4142-9E66-6A6D3D880FDF}"/>
    <cellStyle name="Normal 5 2 3 3 7" xfId="2585" xr:uid="{00000000-0005-0000-0000-0000A8180000}"/>
    <cellStyle name="Normal 5 2 3 3 7 2" xfId="6870" xr:uid="{00000000-0005-0000-0000-0000A9180000}"/>
    <cellStyle name="Normal 5 2 3 3 7 3" xfId="11534" xr:uid="{3FA55838-C37A-41A6-8D28-60942EA685B7}"/>
    <cellStyle name="Normal 5 2 3 3 8" xfId="4805" xr:uid="{00000000-0005-0000-0000-0000AA180000}"/>
    <cellStyle name="Normal 5 2 3 3 8 2" xfId="9464" xr:uid="{51EEE3F2-DAF7-40AF-B41F-850DDC9528FA}"/>
    <cellStyle name="Normal 5 2 3 3 9" xfId="9015" xr:uid="{04D55A93-BDF9-4717-B135-E53E5AC08CDD}"/>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3" xfId="12029" xr:uid="{7803E750-6720-4D62-A834-3955CD38F6D4}"/>
    <cellStyle name="Normal 5 2 3 4 2 3" xfId="5220" xr:uid="{00000000-0005-0000-0000-0000AF180000}"/>
    <cellStyle name="Normal 5 2 3 4 2 4" xfId="9883" xr:uid="{9F47B623-0F58-4AC3-9DB6-F8A4AF763006}"/>
    <cellStyle name="Normal 5 2 3 4 3" xfId="1324" xr:uid="{00000000-0005-0000-0000-0000B0180000}"/>
    <cellStyle name="Normal 5 2 3 4 3 2" xfId="3554" xr:uid="{00000000-0005-0000-0000-0000B1180000}"/>
    <cellStyle name="Normal 5 2 3 4 3 2 2" xfId="7778" xr:uid="{00000000-0005-0000-0000-0000B2180000}"/>
    <cellStyle name="Normal 5 2 3 4 3 2 3" xfId="12442" xr:uid="{2E459506-CD5E-49AB-A38C-8F4DAF9A532A}"/>
    <cellStyle name="Normal 5 2 3 4 3 3" xfId="5633" xr:uid="{00000000-0005-0000-0000-0000B3180000}"/>
    <cellStyle name="Normal 5 2 3 4 3 4" xfId="10297" xr:uid="{F0D0DA7E-57F5-496A-8499-AFCB0B215A3A}"/>
    <cellStyle name="Normal 5 2 3 4 4" xfId="1737" xr:uid="{00000000-0005-0000-0000-0000B4180000}"/>
    <cellStyle name="Normal 5 2 3 4 4 2" xfId="3967" xr:uid="{00000000-0005-0000-0000-0000B5180000}"/>
    <cellStyle name="Normal 5 2 3 4 4 2 2" xfId="8191" xr:uid="{00000000-0005-0000-0000-0000B6180000}"/>
    <cellStyle name="Normal 5 2 3 4 4 2 3" xfId="12855" xr:uid="{99F5AFC5-1470-444A-874B-A667F09A6AA4}"/>
    <cellStyle name="Normal 5 2 3 4 4 3" xfId="6046" xr:uid="{00000000-0005-0000-0000-0000B7180000}"/>
    <cellStyle name="Normal 5 2 3 4 4 4" xfId="10710" xr:uid="{E5275100-2068-4840-AEF3-F2951A4D8410}"/>
    <cellStyle name="Normal 5 2 3 4 5" xfId="2151" xr:uid="{00000000-0005-0000-0000-0000B8180000}"/>
    <cellStyle name="Normal 5 2 3 4 5 2" xfId="4380" xr:uid="{00000000-0005-0000-0000-0000B9180000}"/>
    <cellStyle name="Normal 5 2 3 4 5 2 2" xfId="8604" xr:uid="{00000000-0005-0000-0000-0000BA180000}"/>
    <cellStyle name="Normal 5 2 3 4 5 2 3" xfId="13268" xr:uid="{5B3BF1F2-35ED-4CE8-8B8E-0B2114370BF0}"/>
    <cellStyle name="Normal 5 2 3 4 5 3" xfId="6459" xr:uid="{00000000-0005-0000-0000-0000BB180000}"/>
    <cellStyle name="Normal 5 2 3 4 5 4" xfId="11123" xr:uid="{1C193E27-D4D9-4682-BB9F-95890A98B325}"/>
    <cellStyle name="Normal 5 2 3 4 6" xfId="2587" xr:uid="{00000000-0005-0000-0000-0000BC180000}"/>
    <cellStyle name="Normal 5 2 3 4 6 2" xfId="6872" xr:uid="{00000000-0005-0000-0000-0000BD180000}"/>
    <cellStyle name="Normal 5 2 3 4 6 3" xfId="11536" xr:uid="{6896F30B-1020-4545-ADFD-3C85A3D44BB7}"/>
    <cellStyle name="Normal 5 2 3 4 7" xfId="4807" xr:uid="{00000000-0005-0000-0000-0000BE180000}"/>
    <cellStyle name="Normal 5 2 3 4 7 2" xfId="9466" xr:uid="{E3DE090D-22D0-4DB3-8C7A-C7BD403F5686}"/>
    <cellStyle name="Normal 5 2 3 4 8" xfId="9017" xr:uid="{EFAFB8DF-9FA8-49FD-9985-721F24A10A8D}"/>
    <cellStyle name="Normal 5 2 3 5" xfId="899" xr:uid="{00000000-0005-0000-0000-0000BF180000}"/>
    <cellStyle name="Normal 5 2 3 5 2" xfId="3134" xr:uid="{00000000-0005-0000-0000-0000C0180000}"/>
    <cellStyle name="Normal 5 2 3 5 2 2" xfId="7358" xr:uid="{00000000-0005-0000-0000-0000C1180000}"/>
    <cellStyle name="Normal 5 2 3 5 2 3" xfId="12022" xr:uid="{A3EA8FF2-0717-4D01-9D16-E5C28CED1E77}"/>
    <cellStyle name="Normal 5 2 3 5 3" xfId="5213" xr:uid="{00000000-0005-0000-0000-0000C2180000}"/>
    <cellStyle name="Normal 5 2 3 5 4" xfId="9876" xr:uid="{565EC597-B7A7-48B4-8702-D3BE7CFAF929}"/>
    <cellStyle name="Normal 5 2 3 6" xfId="1317" xr:uid="{00000000-0005-0000-0000-0000C3180000}"/>
    <cellStyle name="Normal 5 2 3 6 2" xfId="3547" xr:uid="{00000000-0005-0000-0000-0000C4180000}"/>
    <cellStyle name="Normal 5 2 3 6 2 2" xfId="7771" xr:uid="{00000000-0005-0000-0000-0000C5180000}"/>
    <cellStyle name="Normal 5 2 3 6 2 3" xfId="12435" xr:uid="{30B50C5D-5208-45AD-A580-65993D05AF46}"/>
    <cellStyle name="Normal 5 2 3 6 3" xfId="5626" xr:uid="{00000000-0005-0000-0000-0000C6180000}"/>
    <cellStyle name="Normal 5 2 3 6 4" xfId="10290" xr:uid="{12B8DB3B-AB71-4DA7-9BB4-1CE155D8551F}"/>
    <cellStyle name="Normal 5 2 3 7" xfId="1730" xr:uid="{00000000-0005-0000-0000-0000C7180000}"/>
    <cellStyle name="Normal 5 2 3 7 2" xfId="3960" xr:uid="{00000000-0005-0000-0000-0000C8180000}"/>
    <cellStyle name="Normal 5 2 3 7 2 2" xfId="8184" xr:uid="{00000000-0005-0000-0000-0000C9180000}"/>
    <cellStyle name="Normal 5 2 3 7 2 3" xfId="12848" xr:uid="{5F30B93E-207B-497B-A983-30DB8469A9A8}"/>
    <cellStyle name="Normal 5 2 3 7 3" xfId="6039" xr:uid="{00000000-0005-0000-0000-0000CA180000}"/>
    <cellStyle name="Normal 5 2 3 7 4" xfId="10703" xr:uid="{6D2EB446-E54E-45D2-980A-E1A98A4DEE86}"/>
    <cellStyle name="Normal 5 2 3 8" xfId="2144" xr:uid="{00000000-0005-0000-0000-0000CB180000}"/>
    <cellStyle name="Normal 5 2 3 8 2" xfId="4373" xr:uid="{00000000-0005-0000-0000-0000CC180000}"/>
    <cellStyle name="Normal 5 2 3 8 2 2" xfId="8597" xr:uid="{00000000-0005-0000-0000-0000CD180000}"/>
    <cellStyle name="Normal 5 2 3 8 2 3" xfId="13261" xr:uid="{23401334-BE9E-4614-80BF-64DE28CC883F}"/>
    <cellStyle name="Normal 5 2 3 8 3" xfId="6452" xr:uid="{00000000-0005-0000-0000-0000CE180000}"/>
    <cellStyle name="Normal 5 2 3 8 4" xfId="11116" xr:uid="{97F9C1B8-3220-4E1C-8DEC-95F9153F324F}"/>
    <cellStyle name="Normal 5 2 3 9" xfId="2580" xr:uid="{00000000-0005-0000-0000-0000CF180000}"/>
    <cellStyle name="Normal 5 2 3 9 2" xfId="6865" xr:uid="{00000000-0005-0000-0000-0000D0180000}"/>
    <cellStyle name="Normal 5 2 3 9 3" xfId="11529" xr:uid="{1A3EE9DD-2115-46C4-9EE1-2EDC5A08562C}"/>
    <cellStyle name="Normal 5 2 4" xfId="432" xr:uid="{00000000-0005-0000-0000-0000D1180000}"/>
    <cellStyle name="Normal 5 2 4 10" xfId="9018" xr:uid="{94ADE5B7-F024-4AAA-933D-F3CC52A19C49}"/>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3" xfId="12032" xr:uid="{2791DAFE-9F30-4168-AF89-A811BEB1C715}"/>
    <cellStyle name="Normal 5 2 4 2 2 2 3" xfId="5223" xr:uid="{00000000-0005-0000-0000-0000D7180000}"/>
    <cellStyle name="Normal 5 2 4 2 2 2 4" xfId="9886" xr:uid="{C56AE4C6-9D82-487E-8D6B-3651E24F36BF}"/>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3" xfId="12445" xr:uid="{67004C51-5267-40A6-83B5-45B666866E7A}"/>
    <cellStyle name="Normal 5 2 4 2 2 3 3" xfId="5636" xr:uid="{00000000-0005-0000-0000-0000DB180000}"/>
    <cellStyle name="Normal 5 2 4 2 2 3 4" xfId="10300" xr:uid="{8F6B64AB-9F00-49D9-B579-73BAA5B8D186}"/>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3" xfId="12858" xr:uid="{08D12FFC-BF19-4E42-86B3-9813D43E87DD}"/>
    <cellStyle name="Normal 5 2 4 2 2 4 3" xfId="6049" xr:uid="{00000000-0005-0000-0000-0000DF180000}"/>
    <cellStyle name="Normal 5 2 4 2 2 4 4" xfId="10713" xr:uid="{3D8E4369-EE46-41AE-9F2C-8B39C7F6353E}"/>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3" xfId="13271" xr:uid="{E46BB304-02C6-4052-99F2-F8943F4AF1A3}"/>
    <cellStyle name="Normal 5 2 4 2 2 5 3" xfId="6462" xr:uid="{00000000-0005-0000-0000-0000E3180000}"/>
    <cellStyle name="Normal 5 2 4 2 2 5 4" xfId="11126" xr:uid="{0FE2CC0F-718E-476C-B099-4012365F5272}"/>
    <cellStyle name="Normal 5 2 4 2 2 6" xfId="2590" xr:uid="{00000000-0005-0000-0000-0000E4180000}"/>
    <cellStyle name="Normal 5 2 4 2 2 6 2" xfId="6875" xr:uid="{00000000-0005-0000-0000-0000E5180000}"/>
    <cellStyle name="Normal 5 2 4 2 2 6 3" xfId="11539" xr:uid="{22DBA44F-567F-42F1-8427-D97DD7DFCA0D}"/>
    <cellStyle name="Normal 5 2 4 2 2 7" xfId="4810" xr:uid="{00000000-0005-0000-0000-0000E6180000}"/>
    <cellStyle name="Normal 5 2 4 2 2 7 2" xfId="9469" xr:uid="{98BFA8DD-1745-4CDC-BA5D-E87667C878F7}"/>
    <cellStyle name="Normal 5 2 4 2 2 8" xfId="9020" xr:uid="{D84FB2A7-4401-40BE-B27E-2581075F149F}"/>
    <cellStyle name="Normal 5 2 4 2 3" xfId="908" xr:uid="{00000000-0005-0000-0000-0000E7180000}"/>
    <cellStyle name="Normal 5 2 4 2 3 2" xfId="3143" xr:uid="{00000000-0005-0000-0000-0000E8180000}"/>
    <cellStyle name="Normal 5 2 4 2 3 2 2" xfId="7367" xr:uid="{00000000-0005-0000-0000-0000E9180000}"/>
    <cellStyle name="Normal 5 2 4 2 3 2 3" xfId="12031" xr:uid="{7327E405-9369-4B4E-A614-B59A4D05B503}"/>
    <cellStyle name="Normal 5 2 4 2 3 3" xfId="5222" xr:uid="{00000000-0005-0000-0000-0000EA180000}"/>
    <cellStyle name="Normal 5 2 4 2 3 4" xfId="9885" xr:uid="{F12B1D24-6AD3-40E0-9B47-829FB3314A6E}"/>
    <cellStyle name="Normal 5 2 4 2 4" xfId="1326" xr:uid="{00000000-0005-0000-0000-0000EB180000}"/>
    <cellStyle name="Normal 5 2 4 2 4 2" xfId="3556" xr:uid="{00000000-0005-0000-0000-0000EC180000}"/>
    <cellStyle name="Normal 5 2 4 2 4 2 2" xfId="7780" xr:uid="{00000000-0005-0000-0000-0000ED180000}"/>
    <cellStyle name="Normal 5 2 4 2 4 2 3" xfId="12444" xr:uid="{48D365BD-D6BB-431B-9906-6EF1CE5E8B29}"/>
    <cellStyle name="Normal 5 2 4 2 4 3" xfId="5635" xr:uid="{00000000-0005-0000-0000-0000EE180000}"/>
    <cellStyle name="Normal 5 2 4 2 4 4" xfId="10299" xr:uid="{E230BC41-3FA1-45F3-BC52-C1E6E006E2AE}"/>
    <cellStyle name="Normal 5 2 4 2 5" xfId="1739" xr:uid="{00000000-0005-0000-0000-0000EF180000}"/>
    <cellStyle name="Normal 5 2 4 2 5 2" xfId="3969" xr:uid="{00000000-0005-0000-0000-0000F0180000}"/>
    <cellStyle name="Normal 5 2 4 2 5 2 2" xfId="8193" xr:uid="{00000000-0005-0000-0000-0000F1180000}"/>
    <cellStyle name="Normal 5 2 4 2 5 2 3" xfId="12857" xr:uid="{FDB2BCF7-5A36-49DD-856F-034BD48E0263}"/>
    <cellStyle name="Normal 5 2 4 2 5 3" xfId="6048" xr:uid="{00000000-0005-0000-0000-0000F2180000}"/>
    <cellStyle name="Normal 5 2 4 2 5 4" xfId="10712" xr:uid="{74216521-75EC-44FA-9A56-6E9EE310F172}"/>
    <cellStyle name="Normal 5 2 4 2 6" xfId="2153" xr:uid="{00000000-0005-0000-0000-0000F3180000}"/>
    <cellStyle name="Normal 5 2 4 2 6 2" xfId="4382" xr:uid="{00000000-0005-0000-0000-0000F4180000}"/>
    <cellStyle name="Normal 5 2 4 2 6 2 2" xfId="8606" xr:uid="{00000000-0005-0000-0000-0000F5180000}"/>
    <cellStyle name="Normal 5 2 4 2 6 2 3" xfId="13270" xr:uid="{C6AEB8C0-682A-4211-9560-14E8F9D8D7A8}"/>
    <cellStyle name="Normal 5 2 4 2 6 3" xfId="6461" xr:uid="{00000000-0005-0000-0000-0000F6180000}"/>
    <cellStyle name="Normal 5 2 4 2 6 4" xfId="11125" xr:uid="{8811FC2B-AA3F-43CC-AED0-D881ACF9969D}"/>
    <cellStyle name="Normal 5 2 4 2 7" xfId="2589" xr:uid="{00000000-0005-0000-0000-0000F7180000}"/>
    <cellStyle name="Normal 5 2 4 2 7 2" xfId="6874" xr:uid="{00000000-0005-0000-0000-0000F8180000}"/>
    <cellStyle name="Normal 5 2 4 2 7 3" xfId="11538" xr:uid="{FFC75E7F-FC00-4DD8-B915-5581A6721639}"/>
    <cellStyle name="Normal 5 2 4 2 8" xfId="4809" xr:uid="{00000000-0005-0000-0000-0000F9180000}"/>
    <cellStyle name="Normal 5 2 4 2 8 2" xfId="9468" xr:uid="{77DBEDC6-45FA-4043-B85A-BF5E1D94D3B3}"/>
    <cellStyle name="Normal 5 2 4 2 9" xfId="9019" xr:uid="{62D49D93-A3E0-49BC-B777-F1C5C2B2A1A9}"/>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3" xfId="12033" xr:uid="{26A9AF87-5AB5-4BF5-B5CE-0122C588F97D}"/>
    <cellStyle name="Normal 5 2 4 3 2 3" xfId="5224" xr:uid="{00000000-0005-0000-0000-0000FE180000}"/>
    <cellStyle name="Normal 5 2 4 3 2 4" xfId="9887" xr:uid="{27E4596F-79F5-4482-A99F-A32D4013384F}"/>
    <cellStyle name="Normal 5 2 4 3 3" xfId="1328" xr:uid="{00000000-0005-0000-0000-0000FF180000}"/>
    <cellStyle name="Normal 5 2 4 3 3 2" xfId="3558" xr:uid="{00000000-0005-0000-0000-000000190000}"/>
    <cellStyle name="Normal 5 2 4 3 3 2 2" xfId="7782" xr:uid="{00000000-0005-0000-0000-000001190000}"/>
    <cellStyle name="Normal 5 2 4 3 3 2 3" xfId="12446" xr:uid="{D73158CC-4254-4450-96AC-B1F892DAF483}"/>
    <cellStyle name="Normal 5 2 4 3 3 3" xfId="5637" xr:uid="{00000000-0005-0000-0000-000002190000}"/>
    <cellStyle name="Normal 5 2 4 3 3 4" xfId="10301" xr:uid="{2178F92A-A892-4AD7-8EBD-0E30D0D7CF13}"/>
    <cellStyle name="Normal 5 2 4 3 4" xfId="1741" xr:uid="{00000000-0005-0000-0000-000003190000}"/>
    <cellStyle name="Normal 5 2 4 3 4 2" xfId="3971" xr:uid="{00000000-0005-0000-0000-000004190000}"/>
    <cellStyle name="Normal 5 2 4 3 4 2 2" xfId="8195" xr:uid="{00000000-0005-0000-0000-000005190000}"/>
    <cellStyle name="Normal 5 2 4 3 4 2 3" xfId="12859" xr:uid="{54BD4D07-C6EC-4D67-80C9-09EF5BB38558}"/>
    <cellStyle name="Normal 5 2 4 3 4 3" xfId="6050" xr:uid="{00000000-0005-0000-0000-000006190000}"/>
    <cellStyle name="Normal 5 2 4 3 4 4" xfId="10714" xr:uid="{AA661DC6-408D-4B44-8259-48CAA24D2E74}"/>
    <cellStyle name="Normal 5 2 4 3 5" xfId="2155" xr:uid="{00000000-0005-0000-0000-000007190000}"/>
    <cellStyle name="Normal 5 2 4 3 5 2" xfId="4384" xr:uid="{00000000-0005-0000-0000-000008190000}"/>
    <cellStyle name="Normal 5 2 4 3 5 2 2" xfId="8608" xr:uid="{00000000-0005-0000-0000-000009190000}"/>
    <cellStyle name="Normal 5 2 4 3 5 2 3" xfId="13272" xr:uid="{B46A5444-0632-4EB4-917E-D8E20FEB0AA0}"/>
    <cellStyle name="Normal 5 2 4 3 5 3" xfId="6463" xr:uid="{00000000-0005-0000-0000-00000A190000}"/>
    <cellStyle name="Normal 5 2 4 3 5 4" xfId="11127" xr:uid="{17BBE40F-C78A-4E06-AD26-01038F550019}"/>
    <cellStyle name="Normal 5 2 4 3 6" xfId="2591" xr:uid="{00000000-0005-0000-0000-00000B190000}"/>
    <cellStyle name="Normal 5 2 4 3 6 2" xfId="6876" xr:uid="{00000000-0005-0000-0000-00000C190000}"/>
    <cellStyle name="Normal 5 2 4 3 6 3" xfId="11540" xr:uid="{325B1B7D-72A3-4A8E-B93A-5035A265C36B}"/>
    <cellStyle name="Normal 5 2 4 3 7" xfId="4811" xr:uid="{00000000-0005-0000-0000-00000D190000}"/>
    <cellStyle name="Normal 5 2 4 3 7 2" xfId="9470" xr:uid="{2B041A4E-BBC2-4217-9DE5-41C11496531D}"/>
    <cellStyle name="Normal 5 2 4 3 8" xfId="9021" xr:uid="{60B5FA5C-E422-4985-871F-17A368632373}"/>
    <cellStyle name="Normal 5 2 4 4" xfId="907" xr:uid="{00000000-0005-0000-0000-00000E190000}"/>
    <cellStyle name="Normal 5 2 4 4 2" xfId="3142" xr:uid="{00000000-0005-0000-0000-00000F190000}"/>
    <cellStyle name="Normal 5 2 4 4 2 2" xfId="7366" xr:uid="{00000000-0005-0000-0000-000010190000}"/>
    <cellStyle name="Normal 5 2 4 4 2 3" xfId="12030" xr:uid="{966F6977-8811-48E1-9A14-E044E381E30A}"/>
    <cellStyle name="Normal 5 2 4 4 3" xfId="5221" xr:uid="{00000000-0005-0000-0000-000011190000}"/>
    <cellStyle name="Normal 5 2 4 4 4" xfId="9884" xr:uid="{C198F196-4A52-4FC2-822F-55AD794A7C65}"/>
    <cellStyle name="Normal 5 2 4 5" xfId="1325" xr:uid="{00000000-0005-0000-0000-000012190000}"/>
    <cellStyle name="Normal 5 2 4 5 2" xfId="3555" xr:uid="{00000000-0005-0000-0000-000013190000}"/>
    <cellStyle name="Normal 5 2 4 5 2 2" xfId="7779" xr:uid="{00000000-0005-0000-0000-000014190000}"/>
    <cellStyle name="Normal 5 2 4 5 2 3" xfId="12443" xr:uid="{1FEAE172-C9CE-49F4-8DEB-6823D41E3A6E}"/>
    <cellStyle name="Normal 5 2 4 5 3" xfId="5634" xr:uid="{00000000-0005-0000-0000-000015190000}"/>
    <cellStyle name="Normal 5 2 4 5 4" xfId="10298" xr:uid="{CF3EACAF-B4CF-4CED-9608-408E1491630F}"/>
    <cellStyle name="Normal 5 2 4 6" xfId="1738" xr:uid="{00000000-0005-0000-0000-000016190000}"/>
    <cellStyle name="Normal 5 2 4 6 2" xfId="3968" xr:uid="{00000000-0005-0000-0000-000017190000}"/>
    <cellStyle name="Normal 5 2 4 6 2 2" xfId="8192" xr:uid="{00000000-0005-0000-0000-000018190000}"/>
    <cellStyle name="Normal 5 2 4 6 2 3" xfId="12856" xr:uid="{457D0684-F2FA-484F-958B-C90F6EF8F65C}"/>
    <cellStyle name="Normal 5 2 4 6 3" xfId="6047" xr:uid="{00000000-0005-0000-0000-000019190000}"/>
    <cellStyle name="Normal 5 2 4 6 4" xfId="10711" xr:uid="{7B685C45-FE6B-4E86-AE62-FCBA088508FC}"/>
    <cellStyle name="Normal 5 2 4 7" xfId="2152" xr:uid="{00000000-0005-0000-0000-00001A190000}"/>
    <cellStyle name="Normal 5 2 4 7 2" xfId="4381" xr:uid="{00000000-0005-0000-0000-00001B190000}"/>
    <cellStyle name="Normal 5 2 4 7 2 2" xfId="8605" xr:uid="{00000000-0005-0000-0000-00001C190000}"/>
    <cellStyle name="Normal 5 2 4 7 2 3" xfId="13269" xr:uid="{A1D29055-9D81-4BBF-9C54-F9F88DA2387A}"/>
    <cellStyle name="Normal 5 2 4 7 3" xfId="6460" xr:uid="{00000000-0005-0000-0000-00001D190000}"/>
    <cellStyle name="Normal 5 2 4 7 4" xfId="11124" xr:uid="{05B33C01-4F31-4862-9D35-3DABC6624D92}"/>
    <cellStyle name="Normal 5 2 4 8" xfId="2588" xr:uid="{00000000-0005-0000-0000-00001E190000}"/>
    <cellStyle name="Normal 5 2 4 8 2" xfId="6873" xr:uid="{00000000-0005-0000-0000-00001F190000}"/>
    <cellStyle name="Normal 5 2 4 8 3" xfId="11537" xr:uid="{2F8A48E5-A817-45E0-B122-FD3678D7E820}"/>
    <cellStyle name="Normal 5 2 4 9" xfId="4808" xr:uid="{00000000-0005-0000-0000-000020190000}"/>
    <cellStyle name="Normal 5 2 4 9 2" xfId="9467" xr:uid="{19A27505-869E-438B-9A31-E5BE031C77A8}"/>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3" xfId="12035" xr:uid="{83A11D6F-279A-4898-B862-EA9590C423B6}"/>
    <cellStyle name="Normal 5 2 5 2 2 3" xfId="5226" xr:uid="{00000000-0005-0000-0000-000026190000}"/>
    <cellStyle name="Normal 5 2 5 2 2 4" xfId="9889" xr:uid="{6F906A0B-8485-49ED-96AA-FEE916F53456}"/>
    <cellStyle name="Normal 5 2 5 2 3" xfId="1330" xr:uid="{00000000-0005-0000-0000-000027190000}"/>
    <cellStyle name="Normal 5 2 5 2 3 2" xfId="3560" xr:uid="{00000000-0005-0000-0000-000028190000}"/>
    <cellStyle name="Normal 5 2 5 2 3 2 2" xfId="7784" xr:uid="{00000000-0005-0000-0000-000029190000}"/>
    <cellStyle name="Normal 5 2 5 2 3 2 3" xfId="12448" xr:uid="{6E00EB2B-D771-4373-B424-44A4668FAB48}"/>
    <cellStyle name="Normal 5 2 5 2 3 3" xfId="5639" xr:uid="{00000000-0005-0000-0000-00002A190000}"/>
    <cellStyle name="Normal 5 2 5 2 3 4" xfId="10303" xr:uid="{DDB31539-A10D-4D93-A0C7-8C141995C097}"/>
    <cellStyle name="Normal 5 2 5 2 4" xfId="1743" xr:uid="{00000000-0005-0000-0000-00002B190000}"/>
    <cellStyle name="Normal 5 2 5 2 4 2" xfId="3973" xr:uid="{00000000-0005-0000-0000-00002C190000}"/>
    <cellStyle name="Normal 5 2 5 2 4 2 2" xfId="8197" xr:uid="{00000000-0005-0000-0000-00002D190000}"/>
    <cellStyle name="Normal 5 2 5 2 4 2 3" xfId="12861" xr:uid="{4E396E6E-8838-4543-BD1B-5C5D77902C2E}"/>
    <cellStyle name="Normal 5 2 5 2 4 3" xfId="6052" xr:uid="{00000000-0005-0000-0000-00002E190000}"/>
    <cellStyle name="Normal 5 2 5 2 4 4" xfId="10716" xr:uid="{390B29D3-589C-4CF2-A50D-02721BE3C1AA}"/>
    <cellStyle name="Normal 5 2 5 2 5" xfId="2157" xr:uid="{00000000-0005-0000-0000-00002F190000}"/>
    <cellStyle name="Normal 5 2 5 2 5 2" xfId="4386" xr:uid="{00000000-0005-0000-0000-000030190000}"/>
    <cellStyle name="Normal 5 2 5 2 5 2 2" xfId="8610" xr:uid="{00000000-0005-0000-0000-000031190000}"/>
    <cellStyle name="Normal 5 2 5 2 5 2 3" xfId="13274" xr:uid="{CAFF9D22-E218-4DB1-B31F-BEEAD10F1DD5}"/>
    <cellStyle name="Normal 5 2 5 2 5 3" xfId="6465" xr:uid="{00000000-0005-0000-0000-000032190000}"/>
    <cellStyle name="Normal 5 2 5 2 5 4" xfId="11129" xr:uid="{9D6BD61E-9918-4326-BF1C-3231AC44613C}"/>
    <cellStyle name="Normal 5 2 5 2 6" xfId="2593" xr:uid="{00000000-0005-0000-0000-000033190000}"/>
    <cellStyle name="Normal 5 2 5 2 6 2" xfId="6878" xr:uid="{00000000-0005-0000-0000-000034190000}"/>
    <cellStyle name="Normal 5 2 5 2 6 3" xfId="11542" xr:uid="{9E865EFC-A953-4412-A3B1-2CB9567E166B}"/>
    <cellStyle name="Normal 5 2 5 2 7" xfId="4813" xr:uid="{00000000-0005-0000-0000-000035190000}"/>
    <cellStyle name="Normal 5 2 5 2 7 2" xfId="9472" xr:uid="{A2A6DA35-A022-4F67-8757-708017D0A88C}"/>
    <cellStyle name="Normal 5 2 5 2 8" xfId="9023" xr:uid="{E7C85406-D304-44B1-9565-2FE027E9729E}"/>
    <cellStyle name="Normal 5 2 5 3" xfId="911" xr:uid="{00000000-0005-0000-0000-000036190000}"/>
    <cellStyle name="Normal 5 2 5 3 2" xfId="3146" xr:uid="{00000000-0005-0000-0000-000037190000}"/>
    <cellStyle name="Normal 5 2 5 3 2 2" xfId="7370" xr:uid="{00000000-0005-0000-0000-000038190000}"/>
    <cellStyle name="Normal 5 2 5 3 2 3" xfId="12034" xr:uid="{BF911848-6D34-41B9-9B07-676570C61920}"/>
    <cellStyle name="Normal 5 2 5 3 3" xfId="5225" xr:uid="{00000000-0005-0000-0000-000039190000}"/>
    <cellStyle name="Normal 5 2 5 3 4" xfId="9888" xr:uid="{BBFE82E4-7F5C-46F2-AF03-DAB9543062E7}"/>
    <cellStyle name="Normal 5 2 5 4" xfId="1329" xr:uid="{00000000-0005-0000-0000-00003A190000}"/>
    <cellStyle name="Normal 5 2 5 4 2" xfId="3559" xr:uid="{00000000-0005-0000-0000-00003B190000}"/>
    <cellStyle name="Normal 5 2 5 4 2 2" xfId="7783" xr:uid="{00000000-0005-0000-0000-00003C190000}"/>
    <cellStyle name="Normal 5 2 5 4 2 3" xfId="12447" xr:uid="{E894B117-24C0-4222-9413-1C31C0F281B8}"/>
    <cellStyle name="Normal 5 2 5 4 3" xfId="5638" xr:uid="{00000000-0005-0000-0000-00003D190000}"/>
    <cellStyle name="Normal 5 2 5 4 4" xfId="10302" xr:uid="{57C13DE3-BA81-4EA0-BA1A-7F429A19C4D0}"/>
    <cellStyle name="Normal 5 2 5 5" xfId="1742" xr:uid="{00000000-0005-0000-0000-00003E190000}"/>
    <cellStyle name="Normal 5 2 5 5 2" xfId="3972" xr:uid="{00000000-0005-0000-0000-00003F190000}"/>
    <cellStyle name="Normal 5 2 5 5 2 2" xfId="8196" xr:uid="{00000000-0005-0000-0000-000040190000}"/>
    <cellStyle name="Normal 5 2 5 5 2 3" xfId="12860" xr:uid="{2B53E8D8-611A-405E-A1F9-2E5BC3A66A95}"/>
    <cellStyle name="Normal 5 2 5 5 3" xfId="6051" xr:uid="{00000000-0005-0000-0000-000041190000}"/>
    <cellStyle name="Normal 5 2 5 5 4" xfId="10715" xr:uid="{855AC26B-D36A-480E-8580-43503EDBA18C}"/>
    <cellStyle name="Normal 5 2 5 6" xfId="2156" xr:uid="{00000000-0005-0000-0000-000042190000}"/>
    <cellStyle name="Normal 5 2 5 6 2" xfId="4385" xr:uid="{00000000-0005-0000-0000-000043190000}"/>
    <cellStyle name="Normal 5 2 5 6 2 2" xfId="8609" xr:uid="{00000000-0005-0000-0000-000044190000}"/>
    <cellStyle name="Normal 5 2 5 6 2 3" xfId="13273" xr:uid="{A3A2F5B5-9028-4252-8501-6C532DA48CBD}"/>
    <cellStyle name="Normal 5 2 5 6 3" xfId="6464" xr:uid="{00000000-0005-0000-0000-000045190000}"/>
    <cellStyle name="Normal 5 2 5 6 4" xfId="11128" xr:uid="{AB324DF2-AB9F-4FA8-958A-F7E4299FB2D4}"/>
    <cellStyle name="Normal 5 2 5 7" xfId="2592" xr:uid="{00000000-0005-0000-0000-000046190000}"/>
    <cellStyle name="Normal 5 2 5 7 2" xfId="6877" xr:uid="{00000000-0005-0000-0000-000047190000}"/>
    <cellStyle name="Normal 5 2 5 7 3" xfId="11541" xr:uid="{91EDBF05-4368-4C3A-9345-2B368B1F81EB}"/>
    <cellStyle name="Normal 5 2 5 8" xfId="4812" xr:uid="{00000000-0005-0000-0000-000048190000}"/>
    <cellStyle name="Normal 5 2 5 8 2" xfId="9471" xr:uid="{D2D3FB53-6414-4059-854C-D6684212FDF5}"/>
    <cellStyle name="Normal 5 2 5 9" xfId="9022" xr:uid="{1ABBC2F7-C8EB-468E-B8DD-CF2B14EB7EB2}"/>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3" xfId="12036" xr:uid="{1F22BEEB-C40D-4312-BC0E-68827B48F0A0}"/>
    <cellStyle name="Normal 5 2 6 2 3" xfId="5227" xr:uid="{00000000-0005-0000-0000-00004D190000}"/>
    <cellStyle name="Normal 5 2 6 2 4" xfId="9890" xr:uid="{9DE82797-20D4-4619-95A0-B5E8826A7C27}"/>
    <cellStyle name="Normal 5 2 6 3" xfId="1331" xr:uid="{00000000-0005-0000-0000-00004E190000}"/>
    <cellStyle name="Normal 5 2 6 3 2" xfId="3561" xr:uid="{00000000-0005-0000-0000-00004F190000}"/>
    <cellStyle name="Normal 5 2 6 3 2 2" xfId="7785" xr:uid="{00000000-0005-0000-0000-000050190000}"/>
    <cellStyle name="Normal 5 2 6 3 2 3" xfId="12449" xr:uid="{93574FBD-2915-44FD-AC00-1754350D6B49}"/>
    <cellStyle name="Normal 5 2 6 3 3" xfId="5640" xr:uid="{00000000-0005-0000-0000-000051190000}"/>
    <cellStyle name="Normal 5 2 6 3 4" xfId="10304" xr:uid="{52086B09-9FAD-4780-BCA6-27ED8659B11F}"/>
    <cellStyle name="Normal 5 2 6 4" xfId="1744" xr:uid="{00000000-0005-0000-0000-000052190000}"/>
    <cellStyle name="Normal 5 2 6 4 2" xfId="3974" xr:uid="{00000000-0005-0000-0000-000053190000}"/>
    <cellStyle name="Normal 5 2 6 4 2 2" xfId="8198" xr:uid="{00000000-0005-0000-0000-000054190000}"/>
    <cellStyle name="Normal 5 2 6 4 2 3" xfId="12862" xr:uid="{008191BA-7857-415F-9375-ED26751D25B8}"/>
    <cellStyle name="Normal 5 2 6 4 3" xfId="6053" xr:uid="{00000000-0005-0000-0000-000055190000}"/>
    <cellStyle name="Normal 5 2 6 4 4" xfId="10717" xr:uid="{E04CF251-AE4B-4BAC-A9C5-9C1E165E2A47}"/>
    <cellStyle name="Normal 5 2 6 5" xfId="2158" xr:uid="{00000000-0005-0000-0000-000056190000}"/>
    <cellStyle name="Normal 5 2 6 5 2" xfId="4387" xr:uid="{00000000-0005-0000-0000-000057190000}"/>
    <cellStyle name="Normal 5 2 6 5 2 2" xfId="8611" xr:uid="{00000000-0005-0000-0000-000058190000}"/>
    <cellStyle name="Normal 5 2 6 5 2 3" xfId="13275" xr:uid="{DA336815-8A2F-4387-9897-40FB93414B7B}"/>
    <cellStyle name="Normal 5 2 6 5 3" xfId="6466" xr:uid="{00000000-0005-0000-0000-000059190000}"/>
    <cellStyle name="Normal 5 2 6 5 4" xfId="11130" xr:uid="{AF284080-A0D5-4CCD-B8FA-4398D347AD4D}"/>
    <cellStyle name="Normal 5 2 6 6" xfId="2594" xr:uid="{00000000-0005-0000-0000-00005A190000}"/>
    <cellStyle name="Normal 5 2 6 6 2" xfId="6879" xr:uid="{00000000-0005-0000-0000-00005B190000}"/>
    <cellStyle name="Normal 5 2 6 6 3" xfId="11543" xr:uid="{CEAC5950-F595-48F0-9E45-18DCEF3553B0}"/>
    <cellStyle name="Normal 5 2 6 7" xfId="4814" xr:uid="{00000000-0005-0000-0000-00005C190000}"/>
    <cellStyle name="Normal 5 2 6 7 2" xfId="9473" xr:uid="{C49FF748-6551-40BF-8E0E-26E0D96FAE4A}"/>
    <cellStyle name="Normal 5 2 6 8" xfId="9024" xr:uid="{0F281791-B968-4F19-89BB-A6CE8CF188CF}"/>
    <cellStyle name="Normal 5 2 7" xfId="882" xr:uid="{00000000-0005-0000-0000-00005D190000}"/>
    <cellStyle name="Normal 5 2 7 2" xfId="3117" xr:uid="{00000000-0005-0000-0000-00005E190000}"/>
    <cellStyle name="Normal 5 2 7 2 2" xfId="7341" xr:uid="{00000000-0005-0000-0000-00005F190000}"/>
    <cellStyle name="Normal 5 2 7 2 3" xfId="12005" xr:uid="{5D88CEDD-B348-4839-9604-D5D031D39F5B}"/>
    <cellStyle name="Normal 5 2 7 3" xfId="5196" xr:uid="{00000000-0005-0000-0000-000060190000}"/>
    <cellStyle name="Normal 5 2 7 4" xfId="9859" xr:uid="{F7086C16-C9DE-4AE1-A213-F8F303E6BB05}"/>
    <cellStyle name="Normal 5 2 8" xfId="1300" xr:uid="{00000000-0005-0000-0000-000061190000}"/>
    <cellStyle name="Normal 5 2 8 2" xfId="3530" xr:uid="{00000000-0005-0000-0000-000062190000}"/>
    <cellStyle name="Normal 5 2 8 2 2" xfId="7754" xr:uid="{00000000-0005-0000-0000-000063190000}"/>
    <cellStyle name="Normal 5 2 8 2 3" xfId="12418" xr:uid="{192DFD4F-CAFB-4EF0-B8CA-2DBE5EA0C151}"/>
    <cellStyle name="Normal 5 2 8 3" xfId="5609" xr:uid="{00000000-0005-0000-0000-000064190000}"/>
    <cellStyle name="Normal 5 2 8 4" xfId="10273" xr:uid="{D04B60E4-F0A9-4999-8794-6A2D85F45CAC}"/>
    <cellStyle name="Normal 5 2 9" xfId="1713" xr:uid="{00000000-0005-0000-0000-000065190000}"/>
    <cellStyle name="Normal 5 2 9 2" xfId="3943" xr:uid="{00000000-0005-0000-0000-000066190000}"/>
    <cellStyle name="Normal 5 2 9 2 2" xfId="8167" xr:uid="{00000000-0005-0000-0000-000067190000}"/>
    <cellStyle name="Normal 5 2 9 2 3" xfId="12831" xr:uid="{7BC789CD-C76F-4B40-8587-2CF220EE6A8C}"/>
    <cellStyle name="Normal 5 2 9 3" xfId="6022" xr:uid="{00000000-0005-0000-0000-000068190000}"/>
    <cellStyle name="Normal 5 2 9 4" xfId="10686" xr:uid="{AE78D861-47FC-4958-976F-4489D4A763A4}"/>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3" xfId="13276" xr:uid="{AF8DABB7-AAE6-4C7B-8A57-EB34A82BBB01}"/>
    <cellStyle name="Normal 5 3 10 3" xfId="6467" xr:uid="{00000000-0005-0000-0000-00006D190000}"/>
    <cellStyle name="Normal 5 3 10 4" xfId="11131" xr:uid="{CE604224-A9FE-49D5-974A-1BDC0E5A36F5}"/>
    <cellStyle name="Normal 5 3 11" xfId="2595" xr:uid="{00000000-0005-0000-0000-00006E190000}"/>
    <cellStyle name="Normal 5 3 11 2" xfId="6880" xr:uid="{00000000-0005-0000-0000-00006F190000}"/>
    <cellStyle name="Normal 5 3 11 3" xfId="11544" xr:uid="{4EC12319-62FD-42CF-8083-5623BFD17293}"/>
    <cellStyle name="Normal 5 3 12" xfId="4815" xr:uid="{00000000-0005-0000-0000-000070190000}"/>
    <cellStyle name="Normal 5 3 12 2" xfId="9474" xr:uid="{7C0745A0-C035-4D3B-AB77-43F9D37F0BAE}"/>
    <cellStyle name="Normal 5 3 13" xfId="9025" xr:uid="{BEFEC29D-0893-442D-BC14-B1CCD0EC2A9C}"/>
    <cellStyle name="Normal 5 3 2" xfId="440" xr:uid="{00000000-0005-0000-0000-000071190000}"/>
    <cellStyle name="Normal 5 3 2 2" xfId="915" xr:uid="{00000000-0005-0000-0000-000072190000}"/>
    <cellStyle name="Normal 5 3 2 3" xfId="9475" xr:uid="{E6E0D132-198C-41E1-A1B2-A0B6ED1DDC0C}"/>
    <cellStyle name="Normal 5 3 3" xfId="441" xr:uid="{00000000-0005-0000-0000-000073190000}"/>
    <cellStyle name="Normal 5 3 3 10" xfId="4816" xr:uid="{00000000-0005-0000-0000-000074190000}"/>
    <cellStyle name="Normal 5 3 3 10 2" xfId="9476" xr:uid="{DAACF370-68EF-4DB5-8AEE-9058094FE9D1}"/>
    <cellStyle name="Normal 5 3 3 11" xfId="9026" xr:uid="{1D2FAC99-D738-4958-B7E6-CABA8C24795A}"/>
    <cellStyle name="Normal 5 3 3 2" xfId="442" xr:uid="{00000000-0005-0000-0000-000075190000}"/>
    <cellStyle name="Normal 5 3 3 2 10" xfId="9027" xr:uid="{5147A30E-CD8A-4FA6-B849-C8292C85440B}"/>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3" xfId="12041" xr:uid="{26781389-3882-419B-B9EC-AA1F1DB44041}"/>
    <cellStyle name="Normal 5 3 3 2 2 2 2 3" xfId="5232" xr:uid="{00000000-0005-0000-0000-00007B190000}"/>
    <cellStyle name="Normal 5 3 3 2 2 2 2 4" xfId="9895" xr:uid="{765F2876-3B0D-45E2-9ACF-3A060F8DCF9E}"/>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3" xfId="12454" xr:uid="{F1119A83-DE4B-4797-A304-DA66605F3B0A}"/>
    <cellStyle name="Normal 5 3 3 2 2 2 3 3" xfId="5645" xr:uid="{00000000-0005-0000-0000-00007F190000}"/>
    <cellStyle name="Normal 5 3 3 2 2 2 3 4" xfId="10309" xr:uid="{145EED7D-C44A-491B-B84C-9EB9EFDFCFA9}"/>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3" xfId="12867" xr:uid="{25595669-AF8F-4188-9C5A-88706703948C}"/>
    <cellStyle name="Normal 5 3 3 2 2 2 4 3" xfId="6058" xr:uid="{00000000-0005-0000-0000-000083190000}"/>
    <cellStyle name="Normal 5 3 3 2 2 2 4 4" xfId="10722" xr:uid="{8D41D69D-2D9D-446A-8B72-6A7A72F81358}"/>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3" xfId="13280" xr:uid="{CEE2B611-1D66-485F-8D3F-49EC7E44CF00}"/>
    <cellStyle name="Normal 5 3 3 2 2 2 5 3" xfId="6471" xr:uid="{00000000-0005-0000-0000-000087190000}"/>
    <cellStyle name="Normal 5 3 3 2 2 2 5 4" xfId="11135" xr:uid="{9F3AD262-8FC4-48AB-B30C-184B622EEADB}"/>
    <cellStyle name="Normal 5 3 3 2 2 2 6" xfId="2599" xr:uid="{00000000-0005-0000-0000-000088190000}"/>
    <cellStyle name="Normal 5 3 3 2 2 2 6 2" xfId="6884" xr:uid="{00000000-0005-0000-0000-000089190000}"/>
    <cellStyle name="Normal 5 3 3 2 2 2 6 3" xfId="11548" xr:uid="{E192BC3B-4652-46DD-8555-3AA9D0E74983}"/>
    <cellStyle name="Normal 5 3 3 2 2 2 7" xfId="4819" xr:uid="{00000000-0005-0000-0000-00008A190000}"/>
    <cellStyle name="Normal 5 3 3 2 2 2 7 2" xfId="9479" xr:uid="{2723E5A1-2121-469F-9646-ECEE7EE2B979}"/>
    <cellStyle name="Normal 5 3 3 2 2 2 8" xfId="9029" xr:uid="{4A11B6F1-A236-484E-9495-A0568F7E63A1}"/>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3" xfId="12040" xr:uid="{C971A3D1-32B0-429D-922F-B7A73E68CC22}"/>
    <cellStyle name="Normal 5 3 3 2 2 3 3" xfId="5231" xr:uid="{00000000-0005-0000-0000-00008E190000}"/>
    <cellStyle name="Normal 5 3 3 2 2 3 4" xfId="9894" xr:uid="{7E3B449D-948A-447A-AC5C-F20F8ED009F3}"/>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3" xfId="12453" xr:uid="{684B4504-BA2C-4380-A241-D3DC4D16D1E9}"/>
    <cellStyle name="Normal 5 3 3 2 2 4 3" xfId="5644" xr:uid="{00000000-0005-0000-0000-000092190000}"/>
    <cellStyle name="Normal 5 3 3 2 2 4 4" xfId="10308" xr:uid="{815F2049-37E1-4C88-A2A9-C57C8B04C6F2}"/>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3" xfId="12866" xr:uid="{21624CE2-F125-4066-996C-CE78240FDA12}"/>
    <cellStyle name="Normal 5 3 3 2 2 5 3" xfId="6057" xr:uid="{00000000-0005-0000-0000-000096190000}"/>
    <cellStyle name="Normal 5 3 3 2 2 5 4" xfId="10721" xr:uid="{77B4B214-29AD-4893-9673-82585B1B6B11}"/>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3" xfId="13279" xr:uid="{6AF72FC6-3A38-493E-819E-2F04350A8410}"/>
    <cellStyle name="Normal 5 3 3 2 2 6 3" xfId="6470" xr:uid="{00000000-0005-0000-0000-00009A190000}"/>
    <cellStyle name="Normal 5 3 3 2 2 6 4" xfId="11134" xr:uid="{8AF41283-44AD-481F-9983-EFF7458C0874}"/>
    <cellStyle name="Normal 5 3 3 2 2 7" xfId="2598" xr:uid="{00000000-0005-0000-0000-00009B190000}"/>
    <cellStyle name="Normal 5 3 3 2 2 7 2" xfId="6883" xr:uid="{00000000-0005-0000-0000-00009C190000}"/>
    <cellStyle name="Normal 5 3 3 2 2 7 3" xfId="11547" xr:uid="{15D11338-609B-4C1C-8333-E5468493AB3C}"/>
    <cellStyle name="Normal 5 3 3 2 2 8" xfId="4818" xr:uid="{00000000-0005-0000-0000-00009D190000}"/>
    <cellStyle name="Normal 5 3 3 2 2 8 2" xfId="9478" xr:uid="{107B2652-C2F4-4DEA-A5DC-EAA371D1D56C}"/>
    <cellStyle name="Normal 5 3 3 2 2 9" xfId="9028" xr:uid="{ABEB2D62-A101-4C3E-8060-C4C627F0FEC6}"/>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3" xfId="12042" xr:uid="{E2941182-433E-4EFD-B298-DD7B8E90F6BB}"/>
    <cellStyle name="Normal 5 3 3 2 3 2 3" xfId="5233" xr:uid="{00000000-0005-0000-0000-0000A2190000}"/>
    <cellStyle name="Normal 5 3 3 2 3 2 4" xfId="9896" xr:uid="{99E64A1D-8DA8-46FB-8710-EA84959AE009}"/>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3" xfId="12455" xr:uid="{163D7238-DB60-4A42-88D5-FBFE9AD50277}"/>
    <cellStyle name="Normal 5 3 3 2 3 3 3" xfId="5646" xr:uid="{00000000-0005-0000-0000-0000A6190000}"/>
    <cellStyle name="Normal 5 3 3 2 3 3 4" xfId="10310" xr:uid="{8856B698-C8B6-4A1B-8B5B-D159FB53CEAC}"/>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3" xfId="12868" xr:uid="{0F4F1802-7E54-421D-AB8C-BBA92CD5A103}"/>
    <cellStyle name="Normal 5 3 3 2 3 4 3" xfId="6059" xr:uid="{00000000-0005-0000-0000-0000AA190000}"/>
    <cellStyle name="Normal 5 3 3 2 3 4 4" xfId="10723" xr:uid="{43D5EBFB-C852-4D95-83A1-0D398DBF7303}"/>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3" xfId="13281" xr:uid="{4275BEFA-DF7A-4230-904C-C33E59EF4FC1}"/>
    <cellStyle name="Normal 5 3 3 2 3 5 3" xfId="6472" xr:uid="{00000000-0005-0000-0000-0000AE190000}"/>
    <cellStyle name="Normal 5 3 3 2 3 5 4" xfId="11136" xr:uid="{D289F47F-A783-4FEA-B472-BEA97157E3EF}"/>
    <cellStyle name="Normal 5 3 3 2 3 6" xfId="2600" xr:uid="{00000000-0005-0000-0000-0000AF190000}"/>
    <cellStyle name="Normal 5 3 3 2 3 6 2" xfId="6885" xr:uid="{00000000-0005-0000-0000-0000B0190000}"/>
    <cellStyle name="Normal 5 3 3 2 3 6 3" xfId="11549" xr:uid="{7EDA1E20-0B62-4301-8584-2A93A2A867D8}"/>
    <cellStyle name="Normal 5 3 3 2 3 7" xfId="4820" xr:uid="{00000000-0005-0000-0000-0000B1190000}"/>
    <cellStyle name="Normal 5 3 3 2 3 7 2" xfId="9480" xr:uid="{6CB2EFF1-D7D6-4696-BAB5-3E8698109DF9}"/>
    <cellStyle name="Normal 5 3 3 2 3 8" xfId="9030" xr:uid="{4F0C4298-06E1-421A-90C2-100982367634}"/>
    <cellStyle name="Normal 5 3 3 2 4" xfId="917" xr:uid="{00000000-0005-0000-0000-0000B2190000}"/>
    <cellStyle name="Normal 5 3 3 2 4 2" xfId="3151" xr:uid="{00000000-0005-0000-0000-0000B3190000}"/>
    <cellStyle name="Normal 5 3 3 2 4 2 2" xfId="7375" xr:uid="{00000000-0005-0000-0000-0000B4190000}"/>
    <cellStyle name="Normal 5 3 3 2 4 2 3" xfId="12039" xr:uid="{3177326B-84B4-44B8-8938-0FBD1D58BFAF}"/>
    <cellStyle name="Normal 5 3 3 2 4 3" xfId="5230" xr:uid="{00000000-0005-0000-0000-0000B5190000}"/>
    <cellStyle name="Normal 5 3 3 2 4 4" xfId="9893" xr:uid="{4B614EA3-2BB1-4792-90A0-E36015A35B6F}"/>
    <cellStyle name="Normal 5 3 3 2 5" xfId="1334" xr:uid="{00000000-0005-0000-0000-0000B6190000}"/>
    <cellStyle name="Normal 5 3 3 2 5 2" xfId="3564" xr:uid="{00000000-0005-0000-0000-0000B7190000}"/>
    <cellStyle name="Normal 5 3 3 2 5 2 2" xfId="7788" xr:uid="{00000000-0005-0000-0000-0000B8190000}"/>
    <cellStyle name="Normal 5 3 3 2 5 2 3" xfId="12452" xr:uid="{4B359E9D-8C9B-4B2F-BF3E-71D77CF023E7}"/>
    <cellStyle name="Normal 5 3 3 2 5 3" xfId="5643" xr:uid="{00000000-0005-0000-0000-0000B9190000}"/>
    <cellStyle name="Normal 5 3 3 2 5 4" xfId="10307" xr:uid="{8ED068F6-99F0-4BB1-B6EC-C369B314CC01}"/>
    <cellStyle name="Normal 5 3 3 2 6" xfId="1747" xr:uid="{00000000-0005-0000-0000-0000BA190000}"/>
    <cellStyle name="Normal 5 3 3 2 6 2" xfId="3977" xr:uid="{00000000-0005-0000-0000-0000BB190000}"/>
    <cellStyle name="Normal 5 3 3 2 6 2 2" xfId="8201" xr:uid="{00000000-0005-0000-0000-0000BC190000}"/>
    <cellStyle name="Normal 5 3 3 2 6 2 3" xfId="12865" xr:uid="{9400D863-1F98-4B77-BA36-8E7107835492}"/>
    <cellStyle name="Normal 5 3 3 2 6 3" xfId="6056" xr:uid="{00000000-0005-0000-0000-0000BD190000}"/>
    <cellStyle name="Normal 5 3 3 2 6 4" xfId="10720" xr:uid="{4D062676-1B0C-4661-B3D2-7B8F37B5AB66}"/>
    <cellStyle name="Normal 5 3 3 2 7" xfId="2161" xr:uid="{00000000-0005-0000-0000-0000BE190000}"/>
    <cellStyle name="Normal 5 3 3 2 7 2" xfId="4390" xr:uid="{00000000-0005-0000-0000-0000BF190000}"/>
    <cellStyle name="Normal 5 3 3 2 7 2 2" xfId="8614" xr:uid="{00000000-0005-0000-0000-0000C0190000}"/>
    <cellStyle name="Normal 5 3 3 2 7 2 3" xfId="13278" xr:uid="{F3636EF8-22AB-4B06-A8BF-01E9875D46A8}"/>
    <cellStyle name="Normal 5 3 3 2 7 3" xfId="6469" xr:uid="{00000000-0005-0000-0000-0000C1190000}"/>
    <cellStyle name="Normal 5 3 3 2 7 4" xfId="11133" xr:uid="{0FB087B6-6082-4A6A-9B89-28272C582748}"/>
    <cellStyle name="Normal 5 3 3 2 8" xfId="2597" xr:uid="{00000000-0005-0000-0000-0000C2190000}"/>
    <cellStyle name="Normal 5 3 3 2 8 2" xfId="6882" xr:uid="{00000000-0005-0000-0000-0000C3190000}"/>
    <cellStyle name="Normal 5 3 3 2 8 3" xfId="11546" xr:uid="{862BCCBD-5CD3-41BD-8690-D205833B9B6B}"/>
    <cellStyle name="Normal 5 3 3 2 9" xfId="4817" xr:uid="{00000000-0005-0000-0000-0000C4190000}"/>
    <cellStyle name="Normal 5 3 3 2 9 2" xfId="9477" xr:uid="{D4AF030F-8D0A-488D-B422-FB5DC470E2BF}"/>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3" xfId="12044" xr:uid="{7CD95A7A-EEC4-4782-AB6E-7C1765C2F9B3}"/>
    <cellStyle name="Normal 5 3 3 3 2 2 3" xfId="5235" xr:uid="{00000000-0005-0000-0000-0000CA190000}"/>
    <cellStyle name="Normal 5 3 3 3 2 2 4" xfId="9898" xr:uid="{61184F45-34E3-4AD0-A62D-2833E6286835}"/>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3" xfId="12457" xr:uid="{D1E13763-3FBC-45B1-A090-E56A0F79EE09}"/>
    <cellStyle name="Normal 5 3 3 3 2 3 3" xfId="5648" xr:uid="{00000000-0005-0000-0000-0000CE190000}"/>
    <cellStyle name="Normal 5 3 3 3 2 3 4" xfId="10312" xr:uid="{E0DE09DC-DE5B-4C85-815C-CE18071FA46D}"/>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3" xfId="12870" xr:uid="{F15F7E62-C635-45D4-BDF0-D41DCF33BE6D}"/>
    <cellStyle name="Normal 5 3 3 3 2 4 3" xfId="6061" xr:uid="{00000000-0005-0000-0000-0000D2190000}"/>
    <cellStyle name="Normal 5 3 3 3 2 4 4" xfId="10725" xr:uid="{079D0259-3D64-4DEE-9960-D0EBB87DFC95}"/>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3" xfId="13283" xr:uid="{44F12436-B2EE-494F-8B98-21E6BE40E2F9}"/>
    <cellStyle name="Normal 5 3 3 3 2 5 3" xfId="6474" xr:uid="{00000000-0005-0000-0000-0000D6190000}"/>
    <cellStyle name="Normal 5 3 3 3 2 5 4" xfId="11138" xr:uid="{18D036D0-608B-4211-A2DA-CF746590EC28}"/>
    <cellStyle name="Normal 5 3 3 3 2 6" xfId="2602" xr:uid="{00000000-0005-0000-0000-0000D7190000}"/>
    <cellStyle name="Normal 5 3 3 3 2 6 2" xfId="6887" xr:uid="{00000000-0005-0000-0000-0000D8190000}"/>
    <cellStyle name="Normal 5 3 3 3 2 6 3" xfId="11551" xr:uid="{E589A0EF-4341-4301-B8C0-E396A2EA80F9}"/>
    <cellStyle name="Normal 5 3 3 3 2 7" xfId="4822" xr:uid="{00000000-0005-0000-0000-0000D9190000}"/>
    <cellStyle name="Normal 5 3 3 3 2 7 2" xfId="9482" xr:uid="{FCD174AC-DC9F-4434-B488-C260B2B29EEA}"/>
    <cellStyle name="Normal 5 3 3 3 2 8" xfId="9032" xr:uid="{0B7C12E1-7D0E-4D49-8CDB-261BE7DABB14}"/>
    <cellStyle name="Normal 5 3 3 3 3" xfId="921" xr:uid="{00000000-0005-0000-0000-0000DA190000}"/>
    <cellStyle name="Normal 5 3 3 3 3 2" xfId="3155" xr:uid="{00000000-0005-0000-0000-0000DB190000}"/>
    <cellStyle name="Normal 5 3 3 3 3 2 2" xfId="7379" xr:uid="{00000000-0005-0000-0000-0000DC190000}"/>
    <cellStyle name="Normal 5 3 3 3 3 2 3" xfId="12043" xr:uid="{73CD0718-CD16-48C9-ABC1-39D322C19D3C}"/>
    <cellStyle name="Normal 5 3 3 3 3 3" xfId="5234" xr:uid="{00000000-0005-0000-0000-0000DD190000}"/>
    <cellStyle name="Normal 5 3 3 3 3 4" xfId="9897" xr:uid="{B3EF2A93-62DE-4729-AAE3-AF4547E65C52}"/>
    <cellStyle name="Normal 5 3 3 3 4" xfId="1338" xr:uid="{00000000-0005-0000-0000-0000DE190000}"/>
    <cellStyle name="Normal 5 3 3 3 4 2" xfId="3568" xr:uid="{00000000-0005-0000-0000-0000DF190000}"/>
    <cellStyle name="Normal 5 3 3 3 4 2 2" xfId="7792" xr:uid="{00000000-0005-0000-0000-0000E0190000}"/>
    <cellStyle name="Normal 5 3 3 3 4 2 3" xfId="12456" xr:uid="{CE2AE68C-BAF4-4F91-92C2-87B4B5F3B5F1}"/>
    <cellStyle name="Normal 5 3 3 3 4 3" xfId="5647" xr:uid="{00000000-0005-0000-0000-0000E1190000}"/>
    <cellStyle name="Normal 5 3 3 3 4 4" xfId="10311" xr:uid="{4F10CCFC-8F95-46BC-A247-1052ACA32279}"/>
    <cellStyle name="Normal 5 3 3 3 5" xfId="1751" xr:uid="{00000000-0005-0000-0000-0000E2190000}"/>
    <cellStyle name="Normal 5 3 3 3 5 2" xfId="3981" xr:uid="{00000000-0005-0000-0000-0000E3190000}"/>
    <cellStyle name="Normal 5 3 3 3 5 2 2" xfId="8205" xr:uid="{00000000-0005-0000-0000-0000E4190000}"/>
    <cellStyle name="Normal 5 3 3 3 5 2 3" xfId="12869" xr:uid="{81C9623F-33CC-4990-8628-F8FFC63FC168}"/>
    <cellStyle name="Normal 5 3 3 3 5 3" xfId="6060" xr:uid="{00000000-0005-0000-0000-0000E5190000}"/>
    <cellStyle name="Normal 5 3 3 3 5 4" xfId="10724" xr:uid="{1636C176-3366-4543-8D3E-364FDD863D25}"/>
    <cellStyle name="Normal 5 3 3 3 6" xfId="2165" xr:uid="{00000000-0005-0000-0000-0000E6190000}"/>
    <cellStyle name="Normal 5 3 3 3 6 2" xfId="4394" xr:uid="{00000000-0005-0000-0000-0000E7190000}"/>
    <cellStyle name="Normal 5 3 3 3 6 2 2" xfId="8618" xr:uid="{00000000-0005-0000-0000-0000E8190000}"/>
    <cellStyle name="Normal 5 3 3 3 6 2 3" xfId="13282" xr:uid="{AA4A0944-7ED5-43D3-BAEF-02FEB414FACC}"/>
    <cellStyle name="Normal 5 3 3 3 6 3" xfId="6473" xr:uid="{00000000-0005-0000-0000-0000E9190000}"/>
    <cellStyle name="Normal 5 3 3 3 6 4" xfId="11137" xr:uid="{428FB4A4-C402-4391-8384-31372DFA462D}"/>
    <cellStyle name="Normal 5 3 3 3 7" xfId="2601" xr:uid="{00000000-0005-0000-0000-0000EA190000}"/>
    <cellStyle name="Normal 5 3 3 3 7 2" xfId="6886" xr:uid="{00000000-0005-0000-0000-0000EB190000}"/>
    <cellStyle name="Normal 5 3 3 3 7 3" xfId="11550" xr:uid="{DE17EB3A-947A-4D04-B3C8-D1F632ECCEDF}"/>
    <cellStyle name="Normal 5 3 3 3 8" xfId="4821" xr:uid="{00000000-0005-0000-0000-0000EC190000}"/>
    <cellStyle name="Normal 5 3 3 3 8 2" xfId="9481" xr:uid="{ABC0C0CA-A67E-4F32-AEA1-90675E106ED3}"/>
    <cellStyle name="Normal 5 3 3 3 9" xfId="9031" xr:uid="{BDF036BB-9D9D-4D8B-A65C-EB12B8A0A46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3" xfId="12045" xr:uid="{A496CA7C-A5F3-4916-81E3-F6C1A936180B}"/>
    <cellStyle name="Normal 5 3 3 4 2 3" xfId="5236" xr:uid="{00000000-0005-0000-0000-0000F1190000}"/>
    <cellStyle name="Normal 5 3 3 4 2 4" xfId="9899" xr:uid="{151E7ED2-CBCE-4D2F-A6C6-2BD029BB6D65}"/>
    <cellStyle name="Normal 5 3 3 4 3" xfId="1340" xr:uid="{00000000-0005-0000-0000-0000F2190000}"/>
    <cellStyle name="Normal 5 3 3 4 3 2" xfId="3570" xr:uid="{00000000-0005-0000-0000-0000F3190000}"/>
    <cellStyle name="Normal 5 3 3 4 3 2 2" xfId="7794" xr:uid="{00000000-0005-0000-0000-0000F4190000}"/>
    <cellStyle name="Normal 5 3 3 4 3 2 3" xfId="12458" xr:uid="{08F397FC-58C3-4AF0-A324-444ABBF2A4D7}"/>
    <cellStyle name="Normal 5 3 3 4 3 3" xfId="5649" xr:uid="{00000000-0005-0000-0000-0000F5190000}"/>
    <cellStyle name="Normal 5 3 3 4 3 4" xfId="10313" xr:uid="{560E230B-B7E3-4D39-99D7-92AFCC084684}"/>
    <cellStyle name="Normal 5 3 3 4 4" xfId="1753" xr:uid="{00000000-0005-0000-0000-0000F6190000}"/>
    <cellStyle name="Normal 5 3 3 4 4 2" xfId="3983" xr:uid="{00000000-0005-0000-0000-0000F7190000}"/>
    <cellStyle name="Normal 5 3 3 4 4 2 2" xfId="8207" xr:uid="{00000000-0005-0000-0000-0000F8190000}"/>
    <cellStyle name="Normal 5 3 3 4 4 2 3" xfId="12871" xr:uid="{4D6BE7B6-5F22-4276-95FD-4AC5E53D7E90}"/>
    <cellStyle name="Normal 5 3 3 4 4 3" xfId="6062" xr:uid="{00000000-0005-0000-0000-0000F9190000}"/>
    <cellStyle name="Normal 5 3 3 4 4 4" xfId="10726" xr:uid="{1B16A2B6-AA34-4678-8E83-81B1D982525B}"/>
    <cellStyle name="Normal 5 3 3 4 5" xfId="2167" xr:uid="{00000000-0005-0000-0000-0000FA190000}"/>
    <cellStyle name="Normal 5 3 3 4 5 2" xfId="4396" xr:uid="{00000000-0005-0000-0000-0000FB190000}"/>
    <cellStyle name="Normal 5 3 3 4 5 2 2" xfId="8620" xr:uid="{00000000-0005-0000-0000-0000FC190000}"/>
    <cellStyle name="Normal 5 3 3 4 5 2 3" xfId="13284" xr:uid="{E79DD555-39A1-4178-A4CE-466774BE96C8}"/>
    <cellStyle name="Normal 5 3 3 4 5 3" xfId="6475" xr:uid="{00000000-0005-0000-0000-0000FD190000}"/>
    <cellStyle name="Normal 5 3 3 4 5 4" xfId="11139" xr:uid="{80FCBD34-2257-4DB2-8AC6-F6657355A0F6}"/>
    <cellStyle name="Normal 5 3 3 4 6" xfId="2603" xr:uid="{00000000-0005-0000-0000-0000FE190000}"/>
    <cellStyle name="Normal 5 3 3 4 6 2" xfId="6888" xr:uid="{00000000-0005-0000-0000-0000FF190000}"/>
    <cellStyle name="Normal 5 3 3 4 6 3" xfId="11552" xr:uid="{6C63AE44-0094-4802-BF3E-95C1CD840399}"/>
    <cellStyle name="Normal 5 3 3 4 7" xfId="4823" xr:uid="{00000000-0005-0000-0000-0000001A0000}"/>
    <cellStyle name="Normal 5 3 3 4 7 2" xfId="9483" xr:uid="{7EA9C724-CC30-4CCE-AFCD-50D93B9E9643}"/>
    <cellStyle name="Normal 5 3 3 4 8" xfId="9033" xr:uid="{0F7EFAFC-62BC-4A1A-941F-A1FC2133F610}"/>
    <cellStyle name="Normal 5 3 3 5" xfId="916" xr:uid="{00000000-0005-0000-0000-0000011A0000}"/>
    <cellStyle name="Normal 5 3 3 5 2" xfId="3150" xr:uid="{00000000-0005-0000-0000-0000021A0000}"/>
    <cellStyle name="Normal 5 3 3 5 2 2" xfId="7374" xr:uid="{00000000-0005-0000-0000-0000031A0000}"/>
    <cellStyle name="Normal 5 3 3 5 2 3" xfId="12038" xr:uid="{CA0B2ED4-6474-47F0-BCD3-316494493246}"/>
    <cellStyle name="Normal 5 3 3 5 3" xfId="5229" xr:uid="{00000000-0005-0000-0000-0000041A0000}"/>
    <cellStyle name="Normal 5 3 3 5 4" xfId="9892" xr:uid="{50FC4C12-539F-46D7-BAB1-C37A28492E98}"/>
    <cellStyle name="Normal 5 3 3 6" xfId="1333" xr:uid="{00000000-0005-0000-0000-0000051A0000}"/>
    <cellStyle name="Normal 5 3 3 6 2" xfId="3563" xr:uid="{00000000-0005-0000-0000-0000061A0000}"/>
    <cellStyle name="Normal 5 3 3 6 2 2" xfId="7787" xr:uid="{00000000-0005-0000-0000-0000071A0000}"/>
    <cellStyle name="Normal 5 3 3 6 2 3" xfId="12451" xr:uid="{58629EC5-9ABF-441C-A3C1-781678AAF935}"/>
    <cellStyle name="Normal 5 3 3 6 3" xfId="5642" xr:uid="{00000000-0005-0000-0000-0000081A0000}"/>
    <cellStyle name="Normal 5 3 3 6 4" xfId="10306" xr:uid="{F032409A-6AC0-4C9D-95EF-0BDB12F263B2}"/>
    <cellStyle name="Normal 5 3 3 7" xfId="1746" xr:uid="{00000000-0005-0000-0000-0000091A0000}"/>
    <cellStyle name="Normal 5 3 3 7 2" xfId="3976" xr:uid="{00000000-0005-0000-0000-00000A1A0000}"/>
    <cellStyle name="Normal 5 3 3 7 2 2" xfId="8200" xr:uid="{00000000-0005-0000-0000-00000B1A0000}"/>
    <cellStyle name="Normal 5 3 3 7 2 3" xfId="12864" xr:uid="{FDDF6759-3407-432F-AFE1-52A22F657306}"/>
    <cellStyle name="Normal 5 3 3 7 3" xfId="6055" xr:uid="{00000000-0005-0000-0000-00000C1A0000}"/>
    <cellStyle name="Normal 5 3 3 7 4" xfId="10719" xr:uid="{559B72F0-9F3A-4DAD-A01E-D6ECA5CD6DCF}"/>
    <cellStyle name="Normal 5 3 3 8" xfId="2160" xr:uid="{00000000-0005-0000-0000-00000D1A0000}"/>
    <cellStyle name="Normal 5 3 3 8 2" xfId="4389" xr:uid="{00000000-0005-0000-0000-00000E1A0000}"/>
    <cellStyle name="Normal 5 3 3 8 2 2" xfId="8613" xr:uid="{00000000-0005-0000-0000-00000F1A0000}"/>
    <cellStyle name="Normal 5 3 3 8 2 3" xfId="13277" xr:uid="{6053C998-A02E-4ECA-B98F-02B857015825}"/>
    <cellStyle name="Normal 5 3 3 8 3" xfId="6468" xr:uid="{00000000-0005-0000-0000-0000101A0000}"/>
    <cellStyle name="Normal 5 3 3 8 4" xfId="11132" xr:uid="{AABC6DE4-D51F-4F81-8BB6-F595368BC5B3}"/>
    <cellStyle name="Normal 5 3 3 9" xfId="2596" xr:uid="{00000000-0005-0000-0000-0000111A0000}"/>
    <cellStyle name="Normal 5 3 3 9 2" xfId="6881" xr:uid="{00000000-0005-0000-0000-0000121A0000}"/>
    <cellStyle name="Normal 5 3 3 9 3" xfId="11545" xr:uid="{22851F2D-4734-4C10-9E4D-B1B9F509357B}"/>
    <cellStyle name="Normal 5 3 4" xfId="449" xr:uid="{00000000-0005-0000-0000-0000131A0000}"/>
    <cellStyle name="Normal 5 3 4 10" xfId="9034" xr:uid="{B39195B9-9362-476B-93E3-1FA328AFBA4D}"/>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3" xfId="12048" xr:uid="{EAB0CFFD-B484-413B-94DD-E09E75C942BE}"/>
    <cellStyle name="Normal 5 3 4 2 2 2 3" xfId="5239" xr:uid="{00000000-0005-0000-0000-0000191A0000}"/>
    <cellStyle name="Normal 5 3 4 2 2 2 4" xfId="9902" xr:uid="{2FEC822B-C818-40B3-B989-2CE662AAB23E}"/>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3" xfId="12461" xr:uid="{29FE1C7F-2A16-4837-89AA-A3F781966926}"/>
    <cellStyle name="Normal 5 3 4 2 2 3 3" xfId="5652" xr:uid="{00000000-0005-0000-0000-00001D1A0000}"/>
    <cellStyle name="Normal 5 3 4 2 2 3 4" xfId="10316" xr:uid="{1C543994-FD57-4A60-A702-5169193A0C16}"/>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3" xfId="12874" xr:uid="{AAAA533C-B479-4E0E-B1D8-A3644F4291A3}"/>
    <cellStyle name="Normal 5 3 4 2 2 4 3" xfId="6065" xr:uid="{00000000-0005-0000-0000-0000211A0000}"/>
    <cellStyle name="Normal 5 3 4 2 2 4 4" xfId="10729" xr:uid="{2AF6311F-1442-4F3C-BA9F-8A0090B0736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3" xfId="13287" xr:uid="{FCDAA907-12CF-42BF-BEF4-F2748D99C419}"/>
    <cellStyle name="Normal 5 3 4 2 2 5 3" xfId="6478" xr:uid="{00000000-0005-0000-0000-0000251A0000}"/>
    <cellStyle name="Normal 5 3 4 2 2 5 4" xfId="11142" xr:uid="{C58DE479-E31B-4990-BEF2-3E3C05BD2C6C}"/>
    <cellStyle name="Normal 5 3 4 2 2 6" xfId="2606" xr:uid="{00000000-0005-0000-0000-0000261A0000}"/>
    <cellStyle name="Normal 5 3 4 2 2 6 2" xfId="6891" xr:uid="{00000000-0005-0000-0000-0000271A0000}"/>
    <cellStyle name="Normal 5 3 4 2 2 6 3" xfId="11555" xr:uid="{589F4ADA-0EDD-4822-BDBB-A4724A26EE78}"/>
    <cellStyle name="Normal 5 3 4 2 2 7" xfId="4826" xr:uid="{00000000-0005-0000-0000-0000281A0000}"/>
    <cellStyle name="Normal 5 3 4 2 2 7 2" xfId="9486" xr:uid="{5A1D25C1-85BA-41EA-9CC3-5462695612D0}"/>
    <cellStyle name="Normal 5 3 4 2 2 8" xfId="9036" xr:uid="{D5810A0D-B4EA-4345-9BAE-42F72D9CA337}"/>
    <cellStyle name="Normal 5 3 4 2 3" xfId="925" xr:uid="{00000000-0005-0000-0000-0000291A0000}"/>
    <cellStyle name="Normal 5 3 4 2 3 2" xfId="3159" xr:uid="{00000000-0005-0000-0000-00002A1A0000}"/>
    <cellStyle name="Normal 5 3 4 2 3 2 2" xfId="7383" xr:uid="{00000000-0005-0000-0000-00002B1A0000}"/>
    <cellStyle name="Normal 5 3 4 2 3 2 3" xfId="12047" xr:uid="{C5FA8F58-EB37-4565-B06F-F4C05367E1FA}"/>
    <cellStyle name="Normal 5 3 4 2 3 3" xfId="5238" xr:uid="{00000000-0005-0000-0000-00002C1A0000}"/>
    <cellStyle name="Normal 5 3 4 2 3 4" xfId="9901" xr:uid="{7F46E0E7-2EDE-48DF-86E1-1709AD6BFC04}"/>
    <cellStyle name="Normal 5 3 4 2 4" xfId="1342" xr:uid="{00000000-0005-0000-0000-00002D1A0000}"/>
    <cellStyle name="Normal 5 3 4 2 4 2" xfId="3572" xr:uid="{00000000-0005-0000-0000-00002E1A0000}"/>
    <cellStyle name="Normal 5 3 4 2 4 2 2" xfId="7796" xr:uid="{00000000-0005-0000-0000-00002F1A0000}"/>
    <cellStyle name="Normal 5 3 4 2 4 2 3" xfId="12460" xr:uid="{8F54D61B-BCD6-46CA-8B10-30F1BB002C5A}"/>
    <cellStyle name="Normal 5 3 4 2 4 3" xfId="5651" xr:uid="{00000000-0005-0000-0000-0000301A0000}"/>
    <cellStyle name="Normal 5 3 4 2 4 4" xfId="10315" xr:uid="{98976CA5-7408-4B73-9447-3C38D8131FA5}"/>
    <cellStyle name="Normal 5 3 4 2 5" xfId="1755" xr:uid="{00000000-0005-0000-0000-0000311A0000}"/>
    <cellStyle name="Normal 5 3 4 2 5 2" xfId="3985" xr:uid="{00000000-0005-0000-0000-0000321A0000}"/>
    <cellStyle name="Normal 5 3 4 2 5 2 2" xfId="8209" xr:uid="{00000000-0005-0000-0000-0000331A0000}"/>
    <cellStyle name="Normal 5 3 4 2 5 2 3" xfId="12873" xr:uid="{A4AE3AEF-749B-4AF8-9495-7ACA873F20F6}"/>
    <cellStyle name="Normal 5 3 4 2 5 3" xfId="6064" xr:uid="{00000000-0005-0000-0000-0000341A0000}"/>
    <cellStyle name="Normal 5 3 4 2 5 4" xfId="10728" xr:uid="{7CB58810-B247-4870-B2AB-A196A344593D}"/>
    <cellStyle name="Normal 5 3 4 2 6" xfId="2169" xr:uid="{00000000-0005-0000-0000-0000351A0000}"/>
    <cellStyle name="Normal 5 3 4 2 6 2" xfId="4398" xr:uid="{00000000-0005-0000-0000-0000361A0000}"/>
    <cellStyle name="Normal 5 3 4 2 6 2 2" xfId="8622" xr:uid="{00000000-0005-0000-0000-0000371A0000}"/>
    <cellStyle name="Normal 5 3 4 2 6 2 3" xfId="13286" xr:uid="{009C2FD5-6C5D-41EC-A445-87BF31C717F4}"/>
    <cellStyle name="Normal 5 3 4 2 6 3" xfId="6477" xr:uid="{00000000-0005-0000-0000-0000381A0000}"/>
    <cellStyle name="Normal 5 3 4 2 6 4" xfId="11141" xr:uid="{3964DF9F-4145-40AB-9418-85FCA1440931}"/>
    <cellStyle name="Normal 5 3 4 2 7" xfId="2605" xr:uid="{00000000-0005-0000-0000-0000391A0000}"/>
    <cellStyle name="Normal 5 3 4 2 7 2" xfId="6890" xr:uid="{00000000-0005-0000-0000-00003A1A0000}"/>
    <cellStyle name="Normal 5 3 4 2 7 3" xfId="11554" xr:uid="{BA8186C8-FB8A-43B9-8BFD-DC0D0B76CB8C}"/>
    <cellStyle name="Normal 5 3 4 2 8" xfId="4825" xr:uid="{00000000-0005-0000-0000-00003B1A0000}"/>
    <cellStyle name="Normal 5 3 4 2 8 2" xfId="9485" xr:uid="{DFB7074B-E6E2-43C2-AA75-CBC6D2FF4B1E}"/>
    <cellStyle name="Normal 5 3 4 2 9" xfId="9035" xr:uid="{EA3D0E4E-211F-4410-BABF-643077AC66A2}"/>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3" xfId="12049" xr:uid="{80EA96AC-65FF-4064-B6D6-3F5F41C50CEE}"/>
    <cellStyle name="Normal 5 3 4 3 2 3" xfId="5240" xr:uid="{00000000-0005-0000-0000-0000401A0000}"/>
    <cellStyle name="Normal 5 3 4 3 2 4" xfId="9903" xr:uid="{43368016-C54A-44E0-A04F-6751364002FD}"/>
    <cellStyle name="Normal 5 3 4 3 3" xfId="1344" xr:uid="{00000000-0005-0000-0000-0000411A0000}"/>
    <cellStyle name="Normal 5 3 4 3 3 2" xfId="3574" xr:uid="{00000000-0005-0000-0000-0000421A0000}"/>
    <cellStyle name="Normal 5 3 4 3 3 2 2" xfId="7798" xr:uid="{00000000-0005-0000-0000-0000431A0000}"/>
    <cellStyle name="Normal 5 3 4 3 3 2 3" xfId="12462" xr:uid="{7D69BD63-043E-4124-A5E8-50A334AAC58F}"/>
    <cellStyle name="Normal 5 3 4 3 3 3" xfId="5653" xr:uid="{00000000-0005-0000-0000-0000441A0000}"/>
    <cellStyle name="Normal 5 3 4 3 3 4" xfId="10317" xr:uid="{63421BBC-574A-4A6B-8F65-853E611CDA8B}"/>
    <cellStyle name="Normal 5 3 4 3 4" xfId="1757" xr:uid="{00000000-0005-0000-0000-0000451A0000}"/>
    <cellStyle name="Normal 5 3 4 3 4 2" xfId="3987" xr:uid="{00000000-0005-0000-0000-0000461A0000}"/>
    <cellStyle name="Normal 5 3 4 3 4 2 2" xfId="8211" xr:uid="{00000000-0005-0000-0000-0000471A0000}"/>
    <cellStyle name="Normal 5 3 4 3 4 2 3" xfId="12875" xr:uid="{AF7E1E45-A2A3-45CF-823B-F78E87146F04}"/>
    <cellStyle name="Normal 5 3 4 3 4 3" xfId="6066" xr:uid="{00000000-0005-0000-0000-0000481A0000}"/>
    <cellStyle name="Normal 5 3 4 3 4 4" xfId="10730" xr:uid="{19262A41-103E-44FC-A7A2-6F15796B1C7F}"/>
    <cellStyle name="Normal 5 3 4 3 5" xfId="2171" xr:uid="{00000000-0005-0000-0000-0000491A0000}"/>
    <cellStyle name="Normal 5 3 4 3 5 2" xfId="4400" xr:uid="{00000000-0005-0000-0000-00004A1A0000}"/>
    <cellStyle name="Normal 5 3 4 3 5 2 2" xfId="8624" xr:uid="{00000000-0005-0000-0000-00004B1A0000}"/>
    <cellStyle name="Normal 5 3 4 3 5 2 3" xfId="13288" xr:uid="{6861DAA6-230E-4BA3-B17C-0AA68E722BC2}"/>
    <cellStyle name="Normal 5 3 4 3 5 3" xfId="6479" xr:uid="{00000000-0005-0000-0000-00004C1A0000}"/>
    <cellStyle name="Normal 5 3 4 3 5 4" xfId="11143" xr:uid="{5C1F3C88-7940-4340-B9F3-26AC6225EF55}"/>
    <cellStyle name="Normal 5 3 4 3 6" xfId="2607" xr:uid="{00000000-0005-0000-0000-00004D1A0000}"/>
    <cellStyle name="Normal 5 3 4 3 6 2" xfId="6892" xr:uid="{00000000-0005-0000-0000-00004E1A0000}"/>
    <cellStyle name="Normal 5 3 4 3 6 3" xfId="11556" xr:uid="{5E0AEC7E-753C-41E0-B50B-C9F078C53573}"/>
    <cellStyle name="Normal 5 3 4 3 7" xfId="4827" xr:uid="{00000000-0005-0000-0000-00004F1A0000}"/>
    <cellStyle name="Normal 5 3 4 3 7 2" xfId="9487" xr:uid="{A9FA0B32-AC2B-4AED-ABDF-423334903188}"/>
    <cellStyle name="Normal 5 3 4 3 8" xfId="9037" xr:uid="{9CD8746D-B18D-46A6-8CAE-4565F17CB3C8}"/>
    <cellStyle name="Normal 5 3 4 4" xfId="924" xr:uid="{00000000-0005-0000-0000-0000501A0000}"/>
    <cellStyle name="Normal 5 3 4 4 2" xfId="3158" xr:uid="{00000000-0005-0000-0000-0000511A0000}"/>
    <cellStyle name="Normal 5 3 4 4 2 2" xfId="7382" xr:uid="{00000000-0005-0000-0000-0000521A0000}"/>
    <cellStyle name="Normal 5 3 4 4 2 3" xfId="12046" xr:uid="{777055BD-6EAB-403C-B1F5-0E8534689548}"/>
    <cellStyle name="Normal 5 3 4 4 3" xfId="5237" xr:uid="{00000000-0005-0000-0000-0000531A0000}"/>
    <cellStyle name="Normal 5 3 4 4 4" xfId="9900" xr:uid="{AD48A7EA-46BD-4378-BCC5-A415E39032F1}"/>
    <cellStyle name="Normal 5 3 4 5" xfId="1341" xr:uid="{00000000-0005-0000-0000-0000541A0000}"/>
    <cellStyle name="Normal 5 3 4 5 2" xfId="3571" xr:uid="{00000000-0005-0000-0000-0000551A0000}"/>
    <cellStyle name="Normal 5 3 4 5 2 2" xfId="7795" xr:uid="{00000000-0005-0000-0000-0000561A0000}"/>
    <cellStyle name="Normal 5 3 4 5 2 3" xfId="12459" xr:uid="{2A7D20BF-C0B3-412C-B941-E7EF8ECF61C4}"/>
    <cellStyle name="Normal 5 3 4 5 3" xfId="5650" xr:uid="{00000000-0005-0000-0000-0000571A0000}"/>
    <cellStyle name="Normal 5 3 4 5 4" xfId="10314" xr:uid="{3C29344F-7F41-4B4C-8591-100BE341F95F}"/>
    <cellStyle name="Normal 5 3 4 6" xfId="1754" xr:uid="{00000000-0005-0000-0000-0000581A0000}"/>
    <cellStyle name="Normal 5 3 4 6 2" xfId="3984" xr:uid="{00000000-0005-0000-0000-0000591A0000}"/>
    <cellStyle name="Normal 5 3 4 6 2 2" xfId="8208" xr:uid="{00000000-0005-0000-0000-00005A1A0000}"/>
    <cellStyle name="Normal 5 3 4 6 2 3" xfId="12872" xr:uid="{B69F1E51-8046-440A-A10A-32082E3FC43F}"/>
    <cellStyle name="Normal 5 3 4 6 3" xfId="6063" xr:uid="{00000000-0005-0000-0000-00005B1A0000}"/>
    <cellStyle name="Normal 5 3 4 6 4" xfId="10727" xr:uid="{5344452D-FFF0-4877-8DCB-3AD800B66625}"/>
    <cellStyle name="Normal 5 3 4 7" xfId="2168" xr:uid="{00000000-0005-0000-0000-00005C1A0000}"/>
    <cellStyle name="Normal 5 3 4 7 2" xfId="4397" xr:uid="{00000000-0005-0000-0000-00005D1A0000}"/>
    <cellStyle name="Normal 5 3 4 7 2 2" xfId="8621" xr:uid="{00000000-0005-0000-0000-00005E1A0000}"/>
    <cellStyle name="Normal 5 3 4 7 2 3" xfId="13285" xr:uid="{F982AC6C-E0B3-46AD-ADDB-6D5DC78659F3}"/>
    <cellStyle name="Normal 5 3 4 7 3" xfId="6476" xr:uid="{00000000-0005-0000-0000-00005F1A0000}"/>
    <cellStyle name="Normal 5 3 4 7 4" xfId="11140" xr:uid="{6033C270-1077-44DD-A03B-89C75153CF34}"/>
    <cellStyle name="Normal 5 3 4 8" xfId="2604" xr:uid="{00000000-0005-0000-0000-0000601A0000}"/>
    <cellStyle name="Normal 5 3 4 8 2" xfId="6889" xr:uid="{00000000-0005-0000-0000-0000611A0000}"/>
    <cellStyle name="Normal 5 3 4 8 3" xfId="11553" xr:uid="{852EC932-CEC3-404B-A2BF-AB8765BA39D4}"/>
    <cellStyle name="Normal 5 3 4 9" xfId="4824" xr:uid="{00000000-0005-0000-0000-0000621A0000}"/>
    <cellStyle name="Normal 5 3 4 9 2" xfId="9484" xr:uid="{B9C7B9AA-2510-4D43-AA34-FE899E265EE9}"/>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3" xfId="12051" xr:uid="{9984EDA4-7EC3-4683-9726-B95E43108E22}"/>
    <cellStyle name="Normal 5 3 5 2 2 3" xfId="5242" xr:uid="{00000000-0005-0000-0000-0000681A0000}"/>
    <cellStyle name="Normal 5 3 5 2 2 4" xfId="9905" xr:uid="{FE2EBA8A-5A7C-48FD-87EC-B1FF8E6FE9D7}"/>
    <cellStyle name="Normal 5 3 5 2 3" xfId="1346" xr:uid="{00000000-0005-0000-0000-0000691A0000}"/>
    <cellStyle name="Normal 5 3 5 2 3 2" xfId="3576" xr:uid="{00000000-0005-0000-0000-00006A1A0000}"/>
    <cellStyle name="Normal 5 3 5 2 3 2 2" xfId="7800" xr:uid="{00000000-0005-0000-0000-00006B1A0000}"/>
    <cellStyle name="Normal 5 3 5 2 3 2 3" xfId="12464" xr:uid="{7421F527-2EE1-4AE1-AE4A-9EB5506AEEC4}"/>
    <cellStyle name="Normal 5 3 5 2 3 3" xfId="5655" xr:uid="{00000000-0005-0000-0000-00006C1A0000}"/>
    <cellStyle name="Normal 5 3 5 2 3 4" xfId="10319" xr:uid="{BEF0B825-5521-4C78-902F-6DEB1B224823}"/>
    <cellStyle name="Normal 5 3 5 2 4" xfId="1759" xr:uid="{00000000-0005-0000-0000-00006D1A0000}"/>
    <cellStyle name="Normal 5 3 5 2 4 2" xfId="3989" xr:uid="{00000000-0005-0000-0000-00006E1A0000}"/>
    <cellStyle name="Normal 5 3 5 2 4 2 2" xfId="8213" xr:uid="{00000000-0005-0000-0000-00006F1A0000}"/>
    <cellStyle name="Normal 5 3 5 2 4 2 3" xfId="12877" xr:uid="{693E1A31-67F3-4D7B-AF95-E9D94E209BE5}"/>
    <cellStyle name="Normal 5 3 5 2 4 3" xfId="6068" xr:uid="{00000000-0005-0000-0000-0000701A0000}"/>
    <cellStyle name="Normal 5 3 5 2 4 4" xfId="10732" xr:uid="{0EFBCD53-3F1A-4068-9CE3-1792692D1F99}"/>
    <cellStyle name="Normal 5 3 5 2 5" xfId="2173" xr:uid="{00000000-0005-0000-0000-0000711A0000}"/>
    <cellStyle name="Normal 5 3 5 2 5 2" xfId="4402" xr:uid="{00000000-0005-0000-0000-0000721A0000}"/>
    <cellStyle name="Normal 5 3 5 2 5 2 2" xfId="8626" xr:uid="{00000000-0005-0000-0000-0000731A0000}"/>
    <cellStyle name="Normal 5 3 5 2 5 2 3" xfId="13290" xr:uid="{4C4D14A4-B8D0-4E65-B43D-60281DAED9FE}"/>
    <cellStyle name="Normal 5 3 5 2 5 3" xfId="6481" xr:uid="{00000000-0005-0000-0000-0000741A0000}"/>
    <cellStyle name="Normal 5 3 5 2 5 4" xfId="11145" xr:uid="{970E19D0-5AF8-4312-BA9C-0F24D1E49C49}"/>
    <cellStyle name="Normal 5 3 5 2 6" xfId="2609" xr:uid="{00000000-0005-0000-0000-0000751A0000}"/>
    <cellStyle name="Normal 5 3 5 2 6 2" xfId="6894" xr:uid="{00000000-0005-0000-0000-0000761A0000}"/>
    <cellStyle name="Normal 5 3 5 2 6 3" xfId="11558" xr:uid="{03CEA956-295A-4021-990E-A6B38C4A4E30}"/>
    <cellStyle name="Normal 5 3 5 2 7" xfId="4829" xr:uid="{00000000-0005-0000-0000-0000771A0000}"/>
    <cellStyle name="Normal 5 3 5 2 7 2" xfId="9489" xr:uid="{D2802401-1A4A-409C-937C-6129B841832A}"/>
    <cellStyle name="Normal 5 3 5 2 8" xfId="9039" xr:uid="{82247D7A-7C9F-42B3-AA7F-33026246A19F}"/>
    <cellStyle name="Normal 5 3 5 3" xfId="928" xr:uid="{00000000-0005-0000-0000-0000781A0000}"/>
    <cellStyle name="Normal 5 3 5 3 2" xfId="3162" xr:uid="{00000000-0005-0000-0000-0000791A0000}"/>
    <cellStyle name="Normal 5 3 5 3 2 2" xfId="7386" xr:uid="{00000000-0005-0000-0000-00007A1A0000}"/>
    <cellStyle name="Normal 5 3 5 3 2 3" xfId="12050" xr:uid="{5A734B21-CCB8-45AC-8CB1-F29D38CCE567}"/>
    <cellStyle name="Normal 5 3 5 3 3" xfId="5241" xr:uid="{00000000-0005-0000-0000-00007B1A0000}"/>
    <cellStyle name="Normal 5 3 5 3 4" xfId="9904" xr:uid="{24778AF9-17FE-49CD-874F-063AFA8E2F33}"/>
    <cellStyle name="Normal 5 3 5 4" xfId="1345" xr:uid="{00000000-0005-0000-0000-00007C1A0000}"/>
    <cellStyle name="Normal 5 3 5 4 2" xfId="3575" xr:uid="{00000000-0005-0000-0000-00007D1A0000}"/>
    <cellStyle name="Normal 5 3 5 4 2 2" xfId="7799" xr:uid="{00000000-0005-0000-0000-00007E1A0000}"/>
    <cellStyle name="Normal 5 3 5 4 2 3" xfId="12463" xr:uid="{B12CBD63-C320-4BB5-8D41-E3E772811FFF}"/>
    <cellStyle name="Normal 5 3 5 4 3" xfId="5654" xr:uid="{00000000-0005-0000-0000-00007F1A0000}"/>
    <cellStyle name="Normal 5 3 5 4 4" xfId="10318" xr:uid="{AE7D8B0E-E927-4405-A531-1A7D9D593802}"/>
    <cellStyle name="Normal 5 3 5 5" xfId="1758" xr:uid="{00000000-0005-0000-0000-0000801A0000}"/>
    <cellStyle name="Normal 5 3 5 5 2" xfId="3988" xr:uid="{00000000-0005-0000-0000-0000811A0000}"/>
    <cellStyle name="Normal 5 3 5 5 2 2" xfId="8212" xr:uid="{00000000-0005-0000-0000-0000821A0000}"/>
    <cellStyle name="Normal 5 3 5 5 2 3" xfId="12876" xr:uid="{AEFCB174-5375-45F6-B120-C9603DB4B31F}"/>
    <cellStyle name="Normal 5 3 5 5 3" xfId="6067" xr:uid="{00000000-0005-0000-0000-0000831A0000}"/>
    <cellStyle name="Normal 5 3 5 5 4" xfId="10731" xr:uid="{F5DCB778-665B-430F-B6A8-EC3B4C8755B7}"/>
    <cellStyle name="Normal 5 3 5 6" xfId="2172" xr:uid="{00000000-0005-0000-0000-0000841A0000}"/>
    <cellStyle name="Normal 5 3 5 6 2" xfId="4401" xr:uid="{00000000-0005-0000-0000-0000851A0000}"/>
    <cellStyle name="Normal 5 3 5 6 2 2" xfId="8625" xr:uid="{00000000-0005-0000-0000-0000861A0000}"/>
    <cellStyle name="Normal 5 3 5 6 2 3" xfId="13289" xr:uid="{CC89C141-2030-4DDA-AC6F-23F000C42EF6}"/>
    <cellStyle name="Normal 5 3 5 6 3" xfId="6480" xr:uid="{00000000-0005-0000-0000-0000871A0000}"/>
    <cellStyle name="Normal 5 3 5 6 4" xfId="11144" xr:uid="{05621DB5-3BDF-4EFD-A52D-E7A6A432B4EB}"/>
    <cellStyle name="Normal 5 3 5 7" xfId="2608" xr:uid="{00000000-0005-0000-0000-0000881A0000}"/>
    <cellStyle name="Normal 5 3 5 7 2" xfId="6893" xr:uid="{00000000-0005-0000-0000-0000891A0000}"/>
    <cellStyle name="Normal 5 3 5 7 3" xfId="11557" xr:uid="{4336A95F-ADE4-46AF-B2F8-DA84A8F08EB0}"/>
    <cellStyle name="Normal 5 3 5 8" xfId="4828" xr:uid="{00000000-0005-0000-0000-00008A1A0000}"/>
    <cellStyle name="Normal 5 3 5 8 2" xfId="9488" xr:uid="{29C88A06-4F8E-4EB7-AF87-9655EBD4F8A6}"/>
    <cellStyle name="Normal 5 3 5 9" xfId="9038" xr:uid="{C26A5595-022D-445C-925B-633C9EAF8916}"/>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3" xfId="12052" xr:uid="{7E247F9B-2AC1-4746-9426-D36BEA5916E3}"/>
    <cellStyle name="Normal 5 3 6 2 3" xfId="5243" xr:uid="{00000000-0005-0000-0000-00008F1A0000}"/>
    <cellStyle name="Normal 5 3 6 2 4" xfId="9906" xr:uid="{6C227C14-A5DA-4515-BBCF-DF62CC827DF8}"/>
    <cellStyle name="Normal 5 3 6 3" xfId="1347" xr:uid="{00000000-0005-0000-0000-0000901A0000}"/>
    <cellStyle name="Normal 5 3 6 3 2" xfId="3577" xr:uid="{00000000-0005-0000-0000-0000911A0000}"/>
    <cellStyle name="Normal 5 3 6 3 2 2" xfId="7801" xr:uid="{00000000-0005-0000-0000-0000921A0000}"/>
    <cellStyle name="Normal 5 3 6 3 2 3" xfId="12465" xr:uid="{5629F252-BDC2-4CDE-92CD-DCFED5BE29A4}"/>
    <cellStyle name="Normal 5 3 6 3 3" xfId="5656" xr:uid="{00000000-0005-0000-0000-0000931A0000}"/>
    <cellStyle name="Normal 5 3 6 3 4" xfId="10320" xr:uid="{89E8825D-E06B-4DCE-84C3-9533407F23E8}"/>
    <cellStyle name="Normal 5 3 6 4" xfId="1760" xr:uid="{00000000-0005-0000-0000-0000941A0000}"/>
    <cellStyle name="Normal 5 3 6 4 2" xfId="3990" xr:uid="{00000000-0005-0000-0000-0000951A0000}"/>
    <cellStyle name="Normal 5 3 6 4 2 2" xfId="8214" xr:uid="{00000000-0005-0000-0000-0000961A0000}"/>
    <cellStyle name="Normal 5 3 6 4 2 3" xfId="12878" xr:uid="{CF11E952-DE6F-45D2-B8B7-9288829B82FF}"/>
    <cellStyle name="Normal 5 3 6 4 3" xfId="6069" xr:uid="{00000000-0005-0000-0000-0000971A0000}"/>
    <cellStyle name="Normal 5 3 6 4 4" xfId="10733" xr:uid="{354AFBA8-83D5-4282-8A22-A3C04527A764}"/>
    <cellStyle name="Normal 5 3 6 5" xfId="2174" xr:uid="{00000000-0005-0000-0000-0000981A0000}"/>
    <cellStyle name="Normal 5 3 6 5 2" xfId="4403" xr:uid="{00000000-0005-0000-0000-0000991A0000}"/>
    <cellStyle name="Normal 5 3 6 5 2 2" xfId="8627" xr:uid="{00000000-0005-0000-0000-00009A1A0000}"/>
    <cellStyle name="Normal 5 3 6 5 2 3" xfId="13291" xr:uid="{5C4562E0-EA6B-4D06-8E0E-6877FC4313B7}"/>
    <cellStyle name="Normal 5 3 6 5 3" xfId="6482" xr:uid="{00000000-0005-0000-0000-00009B1A0000}"/>
    <cellStyle name="Normal 5 3 6 5 4" xfId="11146" xr:uid="{CEF00C09-1B7B-4FB8-B17C-E1D33B784055}"/>
    <cellStyle name="Normal 5 3 6 6" xfId="2610" xr:uid="{00000000-0005-0000-0000-00009C1A0000}"/>
    <cellStyle name="Normal 5 3 6 6 2" xfId="6895" xr:uid="{00000000-0005-0000-0000-00009D1A0000}"/>
    <cellStyle name="Normal 5 3 6 6 3" xfId="11559" xr:uid="{5EE62AE1-CCD8-43C6-9507-F9A98F5E5A81}"/>
    <cellStyle name="Normal 5 3 6 7" xfId="4830" xr:uid="{00000000-0005-0000-0000-00009E1A0000}"/>
    <cellStyle name="Normal 5 3 6 7 2" xfId="9490" xr:uid="{B7BB99F3-F3B2-4ABA-9893-0F870A7470E2}"/>
    <cellStyle name="Normal 5 3 6 8" xfId="9040" xr:uid="{E38728FA-DE5D-4E94-ABC7-24334F4C6539}"/>
    <cellStyle name="Normal 5 3 7" xfId="914" xr:uid="{00000000-0005-0000-0000-00009F1A0000}"/>
    <cellStyle name="Normal 5 3 7 2" xfId="3149" xr:uid="{00000000-0005-0000-0000-0000A01A0000}"/>
    <cellStyle name="Normal 5 3 7 2 2" xfId="7373" xr:uid="{00000000-0005-0000-0000-0000A11A0000}"/>
    <cellStyle name="Normal 5 3 7 2 3" xfId="12037" xr:uid="{3ECDF278-2378-47AE-8D07-A9C1C28B607F}"/>
    <cellStyle name="Normal 5 3 7 3" xfId="5228" xr:uid="{00000000-0005-0000-0000-0000A21A0000}"/>
    <cellStyle name="Normal 5 3 7 4" xfId="9891" xr:uid="{B8B3EC9B-311A-41B0-B6E7-36D09D3B0862}"/>
    <cellStyle name="Normal 5 3 8" xfId="1332" xr:uid="{00000000-0005-0000-0000-0000A31A0000}"/>
    <cellStyle name="Normal 5 3 8 2" xfId="3562" xr:uid="{00000000-0005-0000-0000-0000A41A0000}"/>
    <cellStyle name="Normal 5 3 8 2 2" xfId="7786" xr:uid="{00000000-0005-0000-0000-0000A51A0000}"/>
    <cellStyle name="Normal 5 3 8 2 3" xfId="12450" xr:uid="{6E960BCD-CB9F-4480-8FFF-8628AD9E29A4}"/>
    <cellStyle name="Normal 5 3 8 3" xfId="5641" xr:uid="{00000000-0005-0000-0000-0000A61A0000}"/>
    <cellStyle name="Normal 5 3 8 4" xfId="10305" xr:uid="{18182CA8-49F4-4B09-A0C9-6EE525B39F60}"/>
    <cellStyle name="Normal 5 3 9" xfId="1745" xr:uid="{00000000-0005-0000-0000-0000A71A0000}"/>
    <cellStyle name="Normal 5 3 9 2" xfId="3975" xr:uid="{00000000-0005-0000-0000-0000A81A0000}"/>
    <cellStyle name="Normal 5 3 9 2 2" xfId="8199" xr:uid="{00000000-0005-0000-0000-0000A91A0000}"/>
    <cellStyle name="Normal 5 3 9 2 3" xfId="12863" xr:uid="{4780E972-1880-4F6F-9A33-9D9D96CC46A8}"/>
    <cellStyle name="Normal 5 3 9 3" xfId="6054" xr:uid="{00000000-0005-0000-0000-0000AA1A0000}"/>
    <cellStyle name="Normal 5 3 9 4" xfId="10718" xr:uid="{B2DD4EE4-4D0B-4FAC-992E-7A0A1583939C}"/>
    <cellStyle name="Normal 5 4" xfId="456" xr:uid="{00000000-0005-0000-0000-0000AB1A0000}"/>
    <cellStyle name="Normal 5 4 10" xfId="4831" xr:uid="{00000000-0005-0000-0000-0000AC1A0000}"/>
    <cellStyle name="Normal 5 4 10 2" xfId="9491" xr:uid="{618E780A-546B-437D-AD05-63153FC0E856}"/>
    <cellStyle name="Normal 5 4 11" xfId="9041" xr:uid="{24D75ABF-C739-4690-B6C0-FB7FB3B078FA}"/>
    <cellStyle name="Normal 5 4 2" xfId="457" xr:uid="{00000000-0005-0000-0000-0000AD1A0000}"/>
    <cellStyle name="Normal 5 4 2 10" xfId="9042" xr:uid="{2590F42A-DA43-4E5D-8851-F91B60F01CD7}"/>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3" xfId="12056" xr:uid="{17652DE0-B7E3-4DF2-9BFF-F9D477A9E4A3}"/>
    <cellStyle name="Normal 5 4 2 2 2 2 3" xfId="5247" xr:uid="{00000000-0005-0000-0000-0000B31A0000}"/>
    <cellStyle name="Normal 5 4 2 2 2 2 4" xfId="9910" xr:uid="{6DD70714-949B-43B3-AE0A-14BC7DDDE4F5}"/>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3" xfId="12469" xr:uid="{BFEF287C-4E3F-4475-85B9-7DFF7B9228BC}"/>
    <cellStyle name="Normal 5 4 2 2 2 3 3" xfId="5660" xr:uid="{00000000-0005-0000-0000-0000B71A0000}"/>
    <cellStyle name="Normal 5 4 2 2 2 3 4" xfId="10324" xr:uid="{360A4F8D-3BB6-4F87-A5DC-633534D2D548}"/>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3" xfId="12882" xr:uid="{3B9EB31D-3939-47A6-B8AB-2EB3CF964874}"/>
    <cellStyle name="Normal 5 4 2 2 2 4 3" xfId="6073" xr:uid="{00000000-0005-0000-0000-0000BB1A0000}"/>
    <cellStyle name="Normal 5 4 2 2 2 4 4" xfId="10737" xr:uid="{F7FD890A-B3C9-462D-B7B3-B629C1034557}"/>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3" xfId="13295" xr:uid="{6871CB33-1FA1-4B84-A529-350FCEF29FD5}"/>
    <cellStyle name="Normal 5 4 2 2 2 5 3" xfId="6486" xr:uid="{00000000-0005-0000-0000-0000BF1A0000}"/>
    <cellStyle name="Normal 5 4 2 2 2 5 4" xfId="11150" xr:uid="{F3CFCDDD-DBEC-4CDA-86B2-AB9140B855D3}"/>
    <cellStyle name="Normal 5 4 2 2 2 6" xfId="2614" xr:uid="{00000000-0005-0000-0000-0000C01A0000}"/>
    <cellStyle name="Normal 5 4 2 2 2 6 2" xfId="6899" xr:uid="{00000000-0005-0000-0000-0000C11A0000}"/>
    <cellStyle name="Normal 5 4 2 2 2 6 3" xfId="11563" xr:uid="{620D2857-6412-44D7-B440-A5149A689DBC}"/>
    <cellStyle name="Normal 5 4 2 2 2 7" xfId="4834" xr:uid="{00000000-0005-0000-0000-0000C21A0000}"/>
    <cellStyle name="Normal 5 4 2 2 2 7 2" xfId="9494" xr:uid="{E5BFB917-2350-4415-827C-24B9864A1CEE}"/>
    <cellStyle name="Normal 5 4 2 2 2 8" xfId="9044" xr:uid="{BBA1BD82-0882-4BF7-8D5D-41307474547D}"/>
    <cellStyle name="Normal 5 4 2 2 3" xfId="933" xr:uid="{00000000-0005-0000-0000-0000C31A0000}"/>
    <cellStyle name="Normal 5 4 2 2 3 2" xfId="3167" xr:uid="{00000000-0005-0000-0000-0000C41A0000}"/>
    <cellStyle name="Normal 5 4 2 2 3 2 2" xfId="7391" xr:uid="{00000000-0005-0000-0000-0000C51A0000}"/>
    <cellStyle name="Normal 5 4 2 2 3 2 3" xfId="12055" xr:uid="{16E07C08-3CD3-4FAE-B308-0DA80B216BC1}"/>
    <cellStyle name="Normal 5 4 2 2 3 3" xfId="5246" xr:uid="{00000000-0005-0000-0000-0000C61A0000}"/>
    <cellStyle name="Normal 5 4 2 2 3 4" xfId="9909" xr:uid="{235F6371-AE47-468C-A158-15C7624177F4}"/>
    <cellStyle name="Normal 5 4 2 2 4" xfId="1350" xr:uid="{00000000-0005-0000-0000-0000C71A0000}"/>
    <cellStyle name="Normal 5 4 2 2 4 2" xfId="3580" xr:uid="{00000000-0005-0000-0000-0000C81A0000}"/>
    <cellStyle name="Normal 5 4 2 2 4 2 2" xfId="7804" xr:uid="{00000000-0005-0000-0000-0000C91A0000}"/>
    <cellStyle name="Normal 5 4 2 2 4 2 3" xfId="12468" xr:uid="{FC6AE4A1-592E-448F-8D5F-A1254A1C02E9}"/>
    <cellStyle name="Normal 5 4 2 2 4 3" xfId="5659" xr:uid="{00000000-0005-0000-0000-0000CA1A0000}"/>
    <cellStyle name="Normal 5 4 2 2 4 4" xfId="10323" xr:uid="{7D4C374A-2C01-40C7-A0A9-2CAE741CECD4}"/>
    <cellStyle name="Normal 5 4 2 2 5" xfId="1763" xr:uid="{00000000-0005-0000-0000-0000CB1A0000}"/>
    <cellStyle name="Normal 5 4 2 2 5 2" xfId="3993" xr:uid="{00000000-0005-0000-0000-0000CC1A0000}"/>
    <cellStyle name="Normal 5 4 2 2 5 2 2" xfId="8217" xr:uid="{00000000-0005-0000-0000-0000CD1A0000}"/>
    <cellStyle name="Normal 5 4 2 2 5 2 3" xfId="12881" xr:uid="{D374EC4F-8EAD-47E0-A239-D9DDF0D12251}"/>
    <cellStyle name="Normal 5 4 2 2 5 3" xfId="6072" xr:uid="{00000000-0005-0000-0000-0000CE1A0000}"/>
    <cellStyle name="Normal 5 4 2 2 5 4" xfId="10736" xr:uid="{5DA6195E-AE96-4372-9702-F117F17685B3}"/>
    <cellStyle name="Normal 5 4 2 2 6" xfId="2177" xr:uid="{00000000-0005-0000-0000-0000CF1A0000}"/>
    <cellStyle name="Normal 5 4 2 2 6 2" xfId="4406" xr:uid="{00000000-0005-0000-0000-0000D01A0000}"/>
    <cellStyle name="Normal 5 4 2 2 6 2 2" xfId="8630" xr:uid="{00000000-0005-0000-0000-0000D11A0000}"/>
    <cellStyle name="Normal 5 4 2 2 6 2 3" xfId="13294" xr:uid="{C432C504-CB5F-41A0-8B2E-A3073EA64C69}"/>
    <cellStyle name="Normal 5 4 2 2 6 3" xfId="6485" xr:uid="{00000000-0005-0000-0000-0000D21A0000}"/>
    <cellStyle name="Normal 5 4 2 2 6 4" xfId="11149" xr:uid="{BEFBDCE9-3A7D-4631-8753-611CEB0F8BEB}"/>
    <cellStyle name="Normal 5 4 2 2 7" xfId="2613" xr:uid="{00000000-0005-0000-0000-0000D31A0000}"/>
    <cellStyle name="Normal 5 4 2 2 7 2" xfId="6898" xr:uid="{00000000-0005-0000-0000-0000D41A0000}"/>
    <cellStyle name="Normal 5 4 2 2 7 3" xfId="11562" xr:uid="{03E9337D-0C03-42EC-80D9-6AC0F7CF42D8}"/>
    <cellStyle name="Normal 5 4 2 2 8" xfId="4833" xr:uid="{00000000-0005-0000-0000-0000D51A0000}"/>
    <cellStyle name="Normal 5 4 2 2 8 2" xfId="9493" xr:uid="{9EBB20CA-1D46-4769-B933-2ABA7CFC9F20}"/>
    <cellStyle name="Normal 5 4 2 2 9" xfId="9043" xr:uid="{7C89E6A5-B500-433C-B104-319FFC860DDC}"/>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3" xfId="12057" xr:uid="{9E1E7FB8-D505-46D0-83B7-2F43E9C01FB1}"/>
    <cellStyle name="Normal 5 4 2 3 2 3" xfId="5248" xr:uid="{00000000-0005-0000-0000-0000DA1A0000}"/>
    <cellStyle name="Normal 5 4 2 3 2 4" xfId="9911" xr:uid="{19ABE5FD-4354-43C9-AF03-2FB8C9F30E1C}"/>
    <cellStyle name="Normal 5 4 2 3 3" xfId="1352" xr:uid="{00000000-0005-0000-0000-0000DB1A0000}"/>
    <cellStyle name="Normal 5 4 2 3 3 2" xfId="3582" xr:uid="{00000000-0005-0000-0000-0000DC1A0000}"/>
    <cellStyle name="Normal 5 4 2 3 3 2 2" xfId="7806" xr:uid="{00000000-0005-0000-0000-0000DD1A0000}"/>
    <cellStyle name="Normal 5 4 2 3 3 2 3" xfId="12470" xr:uid="{DAD0296F-D020-491C-B069-DEBC4716D609}"/>
    <cellStyle name="Normal 5 4 2 3 3 3" xfId="5661" xr:uid="{00000000-0005-0000-0000-0000DE1A0000}"/>
    <cellStyle name="Normal 5 4 2 3 3 4" xfId="10325" xr:uid="{278E6E1C-50BB-4509-AF70-C85F9A1EB1F7}"/>
    <cellStyle name="Normal 5 4 2 3 4" xfId="1765" xr:uid="{00000000-0005-0000-0000-0000DF1A0000}"/>
    <cellStyle name="Normal 5 4 2 3 4 2" xfId="3995" xr:uid="{00000000-0005-0000-0000-0000E01A0000}"/>
    <cellStyle name="Normal 5 4 2 3 4 2 2" xfId="8219" xr:uid="{00000000-0005-0000-0000-0000E11A0000}"/>
    <cellStyle name="Normal 5 4 2 3 4 2 3" xfId="12883" xr:uid="{25DDE8FF-CAAD-47F6-BA48-32FEF2A481EA}"/>
    <cellStyle name="Normal 5 4 2 3 4 3" xfId="6074" xr:uid="{00000000-0005-0000-0000-0000E21A0000}"/>
    <cellStyle name="Normal 5 4 2 3 4 4" xfId="10738" xr:uid="{8BBDB39F-D62D-45E9-AEAC-EEF32CC86CB9}"/>
    <cellStyle name="Normal 5 4 2 3 5" xfId="2179" xr:uid="{00000000-0005-0000-0000-0000E31A0000}"/>
    <cellStyle name="Normal 5 4 2 3 5 2" xfId="4408" xr:uid="{00000000-0005-0000-0000-0000E41A0000}"/>
    <cellStyle name="Normal 5 4 2 3 5 2 2" xfId="8632" xr:uid="{00000000-0005-0000-0000-0000E51A0000}"/>
    <cellStyle name="Normal 5 4 2 3 5 2 3" xfId="13296" xr:uid="{B49A493D-EA62-4DA2-80A1-F3B7F6DDD3B9}"/>
    <cellStyle name="Normal 5 4 2 3 5 3" xfId="6487" xr:uid="{00000000-0005-0000-0000-0000E61A0000}"/>
    <cellStyle name="Normal 5 4 2 3 5 4" xfId="11151" xr:uid="{C858E108-C160-45EC-AC74-CEEA3E8E2A92}"/>
    <cellStyle name="Normal 5 4 2 3 6" xfId="2615" xr:uid="{00000000-0005-0000-0000-0000E71A0000}"/>
    <cellStyle name="Normal 5 4 2 3 6 2" xfId="6900" xr:uid="{00000000-0005-0000-0000-0000E81A0000}"/>
    <cellStyle name="Normal 5 4 2 3 6 3" xfId="11564" xr:uid="{4459DA29-948D-4B12-9BDC-BB299F550B67}"/>
    <cellStyle name="Normal 5 4 2 3 7" xfId="4835" xr:uid="{00000000-0005-0000-0000-0000E91A0000}"/>
    <cellStyle name="Normal 5 4 2 3 7 2" xfId="9495" xr:uid="{43E400B3-71C2-4160-98AD-C5F891B898D2}"/>
    <cellStyle name="Normal 5 4 2 3 8" xfId="9045" xr:uid="{8FF1D2E3-6CC4-4B80-8DD7-36B56559DBE0}"/>
    <cellStyle name="Normal 5 4 2 4" xfId="932" xr:uid="{00000000-0005-0000-0000-0000EA1A0000}"/>
    <cellStyle name="Normal 5 4 2 4 2" xfId="3166" xr:uid="{00000000-0005-0000-0000-0000EB1A0000}"/>
    <cellStyle name="Normal 5 4 2 4 2 2" xfId="7390" xr:uid="{00000000-0005-0000-0000-0000EC1A0000}"/>
    <cellStyle name="Normal 5 4 2 4 2 3" xfId="12054" xr:uid="{DD8EC5CF-CD1F-4FF3-9928-38532B59051D}"/>
    <cellStyle name="Normal 5 4 2 4 3" xfId="5245" xr:uid="{00000000-0005-0000-0000-0000ED1A0000}"/>
    <cellStyle name="Normal 5 4 2 4 4" xfId="9908" xr:uid="{7936A8B7-06B4-4B48-BF39-35849A59E030}"/>
    <cellStyle name="Normal 5 4 2 5" xfId="1349" xr:uid="{00000000-0005-0000-0000-0000EE1A0000}"/>
    <cellStyle name="Normal 5 4 2 5 2" xfId="3579" xr:uid="{00000000-0005-0000-0000-0000EF1A0000}"/>
    <cellStyle name="Normal 5 4 2 5 2 2" xfId="7803" xr:uid="{00000000-0005-0000-0000-0000F01A0000}"/>
    <cellStyle name="Normal 5 4 2 5 2 3" xfId="12467" xr:uid="{21385B35-1EAD-4CBE-A5E7-53A78622F2BF}"/>
    <cellStyle name="Normal 5 4 2 5 3" xfId="5658" xr:uid="{00000000-0005-0000-0000-0000F11A0000}"/>
    <cellStyle name="Normal 5 4 2 5 4" xfId="10322" xr:uid="{DCA2C826-1A6A-4EBE-9819-C44CB7AB1366}"/>
    <cellStyle name="Normal 5 4 2 6" xfId="1762" xr:uid="{00000000-0005-0000-0000-0000F21A0000}"/>
    <cellStyle name="Normal 5 4 2 6 2" xfId="3992" xr:uid="{00000000-0005-0000-0000-0000F31A0000}"/>
    <cellStyle name="Normal 5 4 2 6 2 2" xfId="8216" xr:uid="{00000000-0005-0000-0000-0000F41A0000}"/>
    <cellStyle name="Normal 5 4 2 6 2 3" xfId="12880" xr:uid="{0CBF9BE2-7705-45EC-B7D4-5CC24FD0B132}"/>
    <cellStyle name="Normal 5 4 2 6 3" xfId="6071" xr:uid="{00000000-0005-0000-0000-0000F51A0000}"/>
    <cellStyle name="Normal 5 4 2 6 4" xfId="10735" xr:uid="{543465A4-D73E-455A-8657-D8D3FCE7C689}"/>
    <cellStyle name="Normal 5 4 2 7" xfId="2176" xr:uid="{00000000-0005-0000-0000-0000F61A0000}"/>
    <cellStyle name="Normal 5 4 2 7 2" xfId="4405" xr:uid="{00000000-0005-0000-0000-0000F71A0000}"/>
    <cellStyle name="Normal 5 4 2 7 2 2" xfId="8629" xr:uid="{00000000-0005-0000-0000-0000F81A0000}"/>
    <cellStyle name="Normal 5 4 2 7 2 3" xfId="13293" xr:uid="{6A88D326-A842-4439-940B-69DBA18A8E4C}"/>
    <cellStyle name="Normal 5 4 2 7 3" xfId="6484" xr:uid="{00000000-0005-0000-0000-0000F91A0000}"/>
    <cellStyle name="Normal 5 4 2 7 4" xfId="11148" xr:uid="{1E323EFA-B300-4B18-8E5C-32F53B368103}"/>
    <cellStyle name="Normal 5 4 2 8" xfId="2612" xr:uid="{00000000-0005-0000-0000-0000FA1A0000}"/>
    <cellStyle name="Normal 5 4 2 8 2" xfId="6897" xr:uid="{00000000-0005-0000-0000-0000FB1A0000}"/>
    <cellStyle name="Normal 5 4 2 8 3" xfId="11561" xr:uid="{95E5938C-CD3C-4AC3-B813-6680EAC52E6F}"/>
    <cellStyle name="Normal 5 4 2 9" xfId="4832" xr:uid="{00000000-0005-0000-0000-0000FC1A0000}"/>
    <cellStyle name="Normal 5 4 2 9 2" xfId="9492" xr:uid="{6B1DD0B8-3A59-44B4-9A95-DD3507FEED82}"/>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3" xfId="12059" xr:uid="{FF776AE1-3DBE-4871-B9DE-671E12FEB02E}"/>
    <cellStyle name="Normal 5 4 3 2 2 3" xfId="5250" xr:uid="{00000000-0005-0000-0000-0000021B0000}"/>
    <cellStyle name="Normal 5 4 3 2 2 4" xfId="9913" xr:uid="{EDA1BF61-4E77-4B1D-A828-CFBF8914CAE9}"/>
    <cellStyle name="Normal 5 4 3 2 3" xfId="1354" xr:uid="{00000000-0005-0000-0000-0000031B0000}"/>
    <cellStyle name="Normal 5 4 3 2 3 2" xfId="3584" xr:uid="{00000000-0005-0000-0000-0000041B0000}"/>
    <cellStyle name="Normal 5 4 3 2 3 2 2" xfId="7808" xr:uid="{00000000-0005-0000-0000-0000051B0000}"/>
    <cellStyle name="Normal 5 4 3 2 3 2 3" xfId="12472" xr:uid="{3801B0DC-5CA0-446A-BE62-0C7379B8FF63}"/>
    <cellStyle name="Normal 5 4 3 2 3 3" xfId="5663" xr:uid="{00000000-0005-0000-0000-0000061B0000}"/>
    <cellStyle name="Normal 5 4 3 2 3 4" xfId="10327" xr:uid="{9881FC40-75E6-4073-9E64-A69A6F1370C0}"/>
    <cellStyle name="Normal 5 4 3 2 4" xfId="1767" xr:uid="{00000000-0005-0000-0000-0000071B0000}"/>
    <cellStyle name="Normal 5 4 3 2 4 2" xfId="3997" xr:uid="{00000000-0005-0000-0000-0000081B0000}"/>
    <cellStyle name="Normal 5 4 3 2 4 2 2" xfId="8221" xr:uid="{00000000-0005-0000-0000-0000091B0000}"/>
    <cellStyle name="Normal 5 4 3 2 4 2 3" xfId="12885" xr:uid="{A04D95AC-9B6E-4C6B-B940-8B4E01CC2C39}"/>
    <cellStyle name="Normal 5 4 3 2 4 3" xfId="6076" xr:uid="{00000000-0005-0000-0000-00000A1B0000}"/>
    <cellStyle name="Normal 5 4 3 2 4 4" xfId="10740" xr:uid="{5C7BB377-99FF-446F-A64F-A21D5ADECACC}"/>
    <cellStyle name="Normal 5 4 3 2 5" xfId="2181" xr:uid="{00000000-0005-0000-0000-00000B1B0000}"/>
    <cellStyle name="Normal 5 4 3 2 5 2" xfId="4410" xr:uid="{00000000-0005-0000-0000-00000C1B0000}"/>
    <cellStyle name="Normal 5 4 3 2 5 2 2" xfId="8634" xr:uid="{00000000-0005-0000-0000-00000D1B0000}"/>
    <cellStyle name="Normal 5 4 3 2 5 2 3" xfId="13298" xr:uid="{BA1ADFC5-B726-4BF9-A984-8628935DFB31}"/>
    <cellStyle name="Normal 5 4 3 2 5 3" xfId="6489" xr:uid="{00000000-0005-0000-0000-00000E1B0000}"/>
    <cellStyle name="Normal 5 4 3 2 5 4" xfId="11153" xr:uid="{9FD584F2-4634-474A-BEC0-621A7AD8FB45}"/>
    <cellStyle name="Normal 5 4 3 2 6" xfId="2617" xr:uid="{00000000-0005-0000-0000-00000F1B0000}"/>
    <cellStyle name="Normal 5 4 3 2 6 2" xfId="6902" xr:uid="{00000000-0005-0000-0000-0000101B0000}"/>
    <cellStyle name="Normal 5 4 3 2 6 3" xfId="11566" xr:uid="{3D9A36F7-0D63-40C5-AC9F-ADE5A831F446}"/>
    <cellStyle name="Normal 5 4 3 2 7" xfId="4837" xr:uid="{00000000-0005-0000-0000-0000111B0000}"/>
    <cellStyle name="Normal 5 4 3 2 7 2" xfId="9497" xr:uid="{C35393CA-4DFA-46FB-B7AD-A8CBFF2DAB17}"/>
    <cellStyle name="Normal 5 4 3 2 8" xfId="9047" xr:uid="{B0521F50-99C1-43EE-8A13-6B0988854B25}"/>
    <cellStyle name="Normal 5 4 3 3" xfId="936" xr:uid="{00000000-0005-0000-0000-0000121B0000}"/>
    <cellStyle name="Normal 5 4 3 3 2" xfId="3170" xr:uid="{00000000-0005-0000-0000-0000131B0000}"/>
    <cellStyle name="Normal 5 4 3 3 2 2" xfId="7394" xr:uid="{00000000-0005-0000-0000-0000141B0000}"/>
    <cellStyle name="Normal 5 4 3 3 2 3" xfId="12058" xr:uid="{B2F47CD0-F728-42F8-8046-FC4A6485B3AA}"/>
    <cellStyle name="Normal 5 4 3 3 3" xfId="5249" xr:uid="{00000000-0005-0000-0000-0000151B0000}"/>
    <cellStyle name="Normal 5 4 3 3 4" xfId="9912" xr:uid="{8B973F19-49DC-4597-BC82-8FC3F6D96E67}"/>
    <cellStyle name="Normal 5 4 3 4" xfId="1353" xr:uid="{00000000-0005-0000-0000-0000161B0000}"/>
    <cellStyle name="Normal 5 4 3 4 2" xfId="3583" xr:uid="{00000000-0005-0000-0000-0000171B0000}"/>
    <cellStyle name="Normal 5 4 3 4 2 2" xfId="7807" xr:uid="{00000000-0005-0000-0000-0000181B0000}"/>
    <cellStyle name="Normal 5 4 3 4 2 3" xfId="12471" xr:uid="{752ADC64-FA3F-4B94-9803-4D8F1994047D}"/>
    <cellStyle name="Normal 5 4 3 4 3" xfId="5662" xr:uid="{00000000-0005-0000-0000-0000191B0000}"/>
    <cellStyle name="Normal 5 4 3 4 4" xfId="10326" xr:uid="{6475ECA5-ED4F-47EA-B6EE-0E64B89F3AE3}"/>
    <cellStyle name="Normal 5 4 3 5" xfId="1766" xr:uid="{00000000-0005-0000-0000-00001A1B0000}"/>
    <cellStyle name="Normal 5 4 3 5 2" xfId="3996" xr:uid="{00000000-0005-0000-0000-00001B1B0000}"/>
    <cellStyle name="Normal 5 4 3 5 2 2" xfId="8220" xr:uid="{00000000-0005-0000-0000-00001C1B0000}"/>
    <cellStyle name="Normal 5 4 3 5 2 3" xfId="12884" xr:uid="{D856A601-38AE-4551-8F12-E831A040AFD5}"/>
    <cellStyle name="Normal 5 4 3 5 3" xfId="6075" xr:uid="{00000000-0005-0000-0000-00001D1B0000}"/>
    <cellStyle name="Normal 5 4 3 5 4" xfId="10739" xr:uid="{E650756B-D0B9-4023-9FA7-6CD00E3F2DBA}"/>
    <cellStyle name="Normal 5 4 3 6" xfId="2180" xr:uid="{00000000-0005-0000-0000-00001E1B0000}"/>
    <cellStyle name="Normal 5 4 3 6 2" xfId="4409" xr:uid="{00000000-0005-0000-0000-00001F1B0000}"/>
    <cellStyle name="Normal 5 4 3 6 2 2" xfId="8633" xr:uid="{00000000-0005-0000-0000-0000201B0000}"/>
    <cellStyle name="Normal 5 4 3 6 2 3" xfId="13297" xr:uid="{D14D6C47-48D6-4783-B0D0-EBEE67EAC90C}"/>
    <cellStyle name="Normal 5 4 3 6 3" xfId="6488" xr:uid="{00000000-0005-0000-0000-0000211B0000}"/>
    <cellStyle name="Normal 5 4 3 6 4" xfId="11152" xr:uid="{906D58A8-5993-4EB7-8F3B-A286031F6777}"/>
    <cellStyle name="Normal 5 4 3 7" xfId="2616" xr:uid="{00000000-0005-0000-0000-0000221B0000}"/>
    <cellStyle name="Normal 5 4 3 7 2" xfId="6901" xr:uid="{00000000-0005-0000-0000-0000231B0000}"/>
    <cellStyle name="Normal 5 4 3 7 3" xfId="11565" xr:uid="{88CD82E9-DD56-48D3-A42E-000EDA00CBDA}"/>
    <cellStyle name="Normal 5 4 3 8" xfId="4836" xr:uid="{00000000-0005-0000-0000-0000241B0000}"/>
    <cellStyle name="Normal 5 4 3 8 2" xfId="9496" xr:uid="{F6D299BF-0839-4530-BEF9-55B968293B79}"/>
    <cellStyle name="Normal 5 4 3 9" xfId="9046" xr:uid="{918A680F-574F-4FEF-9AD4-836AFB2AA703}"/>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3" xfId="12060" xr:uid="{F344BCE6-F027-4E7D-A91A-7656B9D4D617}"/>
    <cellStyle name="Normal 5 4 4 2 3" xfId="5251" xr:uid="{00000000-0005-0000-0000-0000291B0000}"/>
    <cellStyle name="Normal 5 4 4 2 4" xfId="9914" xr:uid="{5E6D41DF-5375-40A3-B4E4-F69CC349DDC0}"/>
    <cellStyle name="Normal 5 4 4 3" xfId="1355" xr:uid="{00000000-0005-0000-0000-00002A1B0000}"/>
    <cellStyle name="Normal 5 4 4 3 2" xfId="3585" xr:uid="{00000000-0005-0000-0000-00002B1B0000}"/>
    <cellStyle name="Normal 5 4 4 3 2 2" xfId="7809" xr:uid="{00000000-0005-0000-0000-00002C1B0000}"/>
    <cellStyle name="Normal 5 4 4 3 2 3" xfId="12473" xr:uid="{00737E74-F42D-438D-AA2C-9924088025DF}"/>
    <cellStyle name="Normal 5 4 4 3 3" xfId="5664" xr:uid="{00000000-0005-0000-0000-00002D1B0000}"/>
    <cellStyle name="Normal 5 4 4 3 4" xfId="10328" xr:uid="{45557F0D-66C7-48D5-8316-1EEDB6D32625}"/>
    <cellStyle name="Normal 5 4 4 4" xfId="1768" xr:uid="{00000000-0005-0000-0000-00002E1B0000}"/>
    <cellStyle name="Normal 5 4 4 4 2" xfId="3998" xr:uid="{00000000-0005-0000-0000-00002F1B0000}"/>
    <cellStyle name="Normal 5 4 4 4 2 2" xfId="8222" xr:uid="{00000000-0005-0000-0000-0000301B0000}"/>
    <cellStyle name="Normal 5 4 4 4 2 3" xfId="12886" xr:uid="{D24A363A-BFEE-4430-ADD7-C49654E045B9}"/>
    <cellStyle name="Normal 5 4 4 4 3" xfId="6077" xr:uid="{00000000-0005-0000-0000-0000311B0000}"/>
    <cellStyle name="Normal 5 4 4 4 4" xfId="10741" xr:uid="{4309DA7E-4C6D-4FE2-A26B-5678644FA6E4}"/>
    <cellStyle name="Normal 5 4 4 5" xfId="2182" xr:uid="{00000000-0005-0000-0000-0000321B0000}"/>
    <cellStyle name="Normal 5 4 4 5 2" xfId="4411" xr:uid="{00000000-0005-0000-0000-0000331B0000}"/>
    <cellStyle name="Normal 5 4 4 5 2 2" xfId="8635" xr:uid="{00000000-0005-0000-0000-0000341B0000}"/>
    <cellStyle name="Normal 5 4 4 5 2 3" xfId="13299" xr:uid="{A38053CB-B006-4B4D-B938-89137AA20AC7}"/>
    <cellStyle name="Normal 5 4 4 5 3" xfId="6490" xr:uid="{00000000-0005-0000-0000-0000351B0000}"/>
    <cellStyle name="Normal 5 4 4 5 4" xfId="11154" xr:uid="{AD839BD1-33EA-4D81-9E4E-8D3FEDD2DEB5}"/>
    <cellStyle name="Normal 5 4 4 6" xfId="2618" xr:uid="{00000000-0005-0000-0000-0000361B0000}"/>
    <cellStyle name="Normal 5 4 4 6 2" xfId="6903" xr:uid="{00000000-0005-0000-0000-0000371B0000}"/>
    <cellStyle name="Normal 5 4 4 6 3" xfId="11567" xr:uid="{F9646F02-68DD-4F63-82CC-A7FB809FC656}"/>
    <cellStyle name="Normal 5 4 4 7" xfId="4838" xr:uid="{00000000-0005-0000-0000-0000381B0000}"/>
    <cellStyle name="Normal 5 4 4 7 2" xfId="9498" xr:uid="{396CCDAC-428F-4961-BF78-1924D2F0595E}"/>
    <cellStyle name="Normal 5 4 4 8" xfId="9048" xr:uid="{E6F5BABC-1C08-40D6-8F79-8BF675473079}"/>
    <cellStyle name="Normal 5 4 5" xfId="931" xr:uid="{00000000-0005-0000-0000-0000391B0000}"/>
    <cellStyle name="Normal 5 4 5 2" xfId="3165" xr:uid="{00000000-0005-0000-0000-00003A1B0000}"/>
    <cellStyle name="Normal 5 4 5 2 2" xfId="7389" xr:uid="{00000000-0005-0000-0000-00003B1B0000}"/>
    <cellStyle name="Normal 5 4 5 2 3" xfId="12053" xr:uid="{25877B64-93DF-4B1D-8F98-02F898B1DA21}"/>
    <cellStyle name="Normal 5 4 5 3" xfId="5244" xr:uid="{00000000-0005-0000-0000-00003C1B0000}"/>
    <cellStyle name="Normal 5 4 5 4" xfId="9907" xr:uid="{F8A76000-C067-4A39-B234-A1994D456BDE}"/>
    <cellStyle name="Normal 5 4 6" xfId="1348" xr:uid="{00000000-0005-0000-0000-00003D1B0000}"/>
    <cellStyle name="Normal 5 4 6 2" xfId="3578" xr:uid="{00000000-0005-0000-0000-00003E1B0000}"/>
    <cellStyle name="Normal 5 4 6 2 2" xfId="7802" xr:uid="{00000000-0005-0000-0000-00003F1B0000}"/>
    <cellStyle name="Normal 5 4 6 2 3" xfId="12466" xr:uid="{592B0911-BC84-4F23-A06C-A7EFBC1CD856}"/>
    <cellStyle name="Normal 5 4 6 3" xfId="5657" xr:uid="{00000000-0005-0000-0000-0000401B0000}"/>
    <cellStyle name="Normal 5 4 6 4" xfId="10321" xr:uid="{5D428F7E-C824-4C84-BD26-46E48D6E9D69}"/>
    <cellStyle name="Normal 5 4 7" xfId="1761" xr:uid="{00000000-0005-0000-0000-0000411B0000}"/>
    <cellStyle name="Normal 5 4 7 2" xfId="3991" xr:uid="{00000000-0005-0000-0000-0000421B0000}"/>
    <cellStyle name="Normal 5 4 7 2 2" xfId="8215" xr:uid="{00000000-0005-0000-0000-0000431B0000}"/>
    <cellStyle name="Normal 5 4 7 2 3" xfId="12879" xr:uid="{E200297F-12DF-4ED7-800F-7F3D31025EC3}"/>
    <cellStyle name="Normal 5 4 7 3" xfId="6070" xr:uid="{00000000-0005-0000-0000-0000441B0000}"/>
    <cellStyle name="Normal 5 4 7 4" xfId="10734" xr:uid="{C91D6576-CB73-438C-88B9-F18910F2725B}"/>
    <cellStyle name="Normal 5 4 8" xfId="2175" xr:uid="{00000000-0005-0000-0000-0000451B0000}"/>
    <cellStyle name="Normal 5 4 8 2" xfId="4404" xr:uid="{00000000-0005-0000-0000-0000461B0000}"/>
    <cellStyle name="Normal 5 4 8 2 2" xfId="8628" xr:uid="{00000000-0005-0000-0000-0000471B0000}"/>
    <cellStyle name="Normal 5 4 8 2 3" xfId="13292" xr:uid="{BDBF00F1-B6FF-4349-B339-DD319A9514DA}"/>
    <cellStyle name="Normal 5 4 8 3" xfId="6483" xr:uid="{00000000-0005-0000-0000-0000481B0000}"/>
    <cellStyle name="Normal 5 4 8 4" xfId="11147" xr:uid="{48F0A13D-6C65-4EBD-9DA5-0978CC92513F}"/>
    <cellStyle name="Normal 5 4 9" xfId="2611" xr:uid="{00000000-0005-0000-0000-0000491B0000}"/>
    <cellStyle name="Normal 5 4 9 2" xfId="6896" xr:uid="{00000000-0005-0000-0000-00004A1B0000}"/>
    <cellStyle name="Normal 5 4 9 3" xfId="11560" xr:uid="{D259DE53-8F6A-46F8-9794-F06901EF687C}"/>
    <cellStyle name="Normal 5 5" xfId="464" xr:uid="{00000000-0005-0000-0000-00004B1B0000}"/>
    <cellStyle name="Normal 5 5 10" xfId="9049" xr:uid="{E6A7A3B0-E3A1-4E3A-B7A2-2F6AA912B886}"/>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3" xfId="12063" xr:uid="{3E2984B0-298D-4A1A-B5CB-1843BECC39EC}"/>
    <cellStyle name="Normal 5 5 2 2 2 3" xfId="5254" xr:uid="{00000000-0005-0000-0000-0000511B0000}"/>
    <cellStyle name="Normal 5 5 2 2 2 4" xfId="9917" xr:uid="{7310DD0A-0DCE-42EB-9993-B8559B738DD0}"/>
    <cellStyle name="Normal 5 5 2 2 3" xfId="1358" xr:uid="{00000000-0005-0000-0000-0000521B0000}"/>
    <cellStyle name="Normal 5 5 2 2 3 2" xfId="3588" xr:uid="{00000000-0005-0000-0000-0000531B0000}"/>
    <cellStyle name="Normal 5 5 2 2 3 2 2" xfId="7812" xr:uid="{00000000-0005-0000-0000-0000541B0000}"/>
    <cellStyle name="Normal 5 5 2 2 3 2 3" xfId="12476" xr:uid="{4BDFF3A6-CD6A-40C4-8B65-23B88A9EF3FE}"/>
    <cellStyle name="Normal 5 5 2 2 3 3" xfId="5667" xr:uid="{00000000-0005-0000-0000-0000551B0000}"/>
    <cellStyle name="Normal 5 5 2 2 3 4" xfId="10331" xr:uid="{80325F5F-057D-4547-8676-EB8A6671C64D}"/>
    <cellStyle name="Normal 5 5 2 2 4" xfId="1771" xr:uid="{00000000-0005-0000-0000-0000561B0000}"/>
    <cellStyle name="Normal 5 5 2 2 4 2" xfId="4001" xr:uid="{00000000-0005-0000-0000-0000571B0000}"/>
    <cellStyle name="Normal 5 5 2 2 4 2 2" xfId="8225" xr:uid="{00000000-0005-0000-0000-0000581B0000}"/>
    <cellStyle name="Normal 5 5 2 2 4 2 3" xfId="12889" xr:uid="{3F3F4825-AA7B-4F69-8476-758F301229B7}"/>
    <cellStyle name="Normal 5 5 2 2 4 3" xfId="6080" xr:uid="{00000000-0005-0000-0000-0000591B0000}"/>
    <cellStyle name="Normal 5 5 2 2 4 4" xfId="10744" xr:uid="{479F1FB6-8394-4610-9FA1-0244E3CD9F94}"/>
    <cellStyle name="Normal 5 5 2 2 5" xfId="2185" xr:uid="{00000000-0005-0000-0000-00005A1B0000}"/>
    <cellStyle name="Normal 5 5 2 2 5 2" xfId="4414" xr:uid="{00000000-0005-0000-0000-00005B1B0000}"/>
    <cellStyle name="Normal 5 5 2 2 5 2 2" xfId="8638" xr:uid="{00000000-0005-0000-0000-00005C1B0000}"/>
    <cellStyle name="Normal 5 5 2 2 5 2 3" xfId="13302" xr:uid="{347FC689-6534-4379-AE19-DA701D78BA24}"/>
    <cellStyle name="Normal 5 5 2 2 5 3" xfId="6493" xr:uid="{00000000-0005-0000-0000-00005D1B0000}"/>
    <cellStyle name="Normal 5 5 2 2 5 4" xfId="11157" xr:uid="{7650AA44-EA57-4736-AE2B-E3237B7744F2}"/>
    <cellStyle name="Normal 5 5 2 2 6" xfId="2621" xr:uid="{00000000-0005-0000-0000-00005E1B0000}"/>
    <cellStyle name="Normal 5 5 2 2 6 2" xfId="6906" xr:uid="{00000000-0005-0000-0000-00005F1B0000}"/>
    <cellStyle name="Normal 5 5 2 2 6 3" xfId="11570" xr:uid="{D88BAD7F-220C-419C-89F9-84D93EE26899}"/>
    <cellStyle name="Normal 5 5 2 2 7" xfId="4841" xr:uid="{00000000-0005-0000-0000-0000601B0000}"/>
    <cellStyle name="Normal 5 5 2 2 7 2" xfId="9501" xr:uid="{C307BCC1-59F3-4CC0-95C1-7D85F6D44895}"/>
    <cellStyle name="Normal 5 5 2 2 8" xfId="9051" xr:uid="{A99C4E8B-8B7A-4D43-BFB7-064AB787C535}"/>
    <cellStyle name="Normal 5 5 2 3" xfId="940" xr:uid="{00000000-0005-0000-0000-0000611B0000}"/>
    <cellStyle name="Normal 5 5 2 3 2" xfId="3174" xr:uid="{00000000-0005-0000-0000-0000621B0000}"/>
    <cellStyle name="Normal 5 5 2 3 2 2" xfId="7398" xr:uid="{00000000-0005-0000-0000-0000631B0000}"/>
    <cellStyle name="Normal 5 5 2 3 2 3" xfId="12062" xr:uid="{6CA25D30-35C3-4BF0-927C-65E843195AF2}"/>
    <cellStyle name="Normal 5 5 2 3 3" xfId="5253" xr:uid="{00000000-0005-0000-0000-0000641B0000}"/>
    <cellStyle name="Normal 5 5 2 3 4" xfId="9916" xr:uid="{E3975AE3-A0C1-4D72-9750-734111AF78E2}"/>
    <cellStyle name="Normal 5 5 2 4" xfId="1357" xr:uid="{00000000-0005-0000-0000-0000651B0000}"/>
    <cellStyle name="Normal 5 5 2 4 2" xfId="3587" xr:uid="{00000000-0005-0000-0000-0000661B0000}"/>
    <cellStyle name="Normal 5 5 2 4 2 2" xfId="7811" xr:uid="{00000000-0005-0000-0000-0000671B0000}"/>
    <cellStyle name="Normal 5 5 2 4 2 3" xfId="12475" xr:uid="{F8985626-7D9A-4E60-BFB4-764510BCF4D4}"/>
    <cellStyle name="Normal 5 5 2 4 3" xfId="5666" xr:uid="{00000000-0005-0000-0000-0000681B0000}"/>
    <cellStyle name="Normal 5 5 2 4 4" xfId="10330" xr:uid="{D9379D2E-CF4D-437D-BF66-5ED5CBEC8F5F}"/>
    <cellStyle name="Normal 5 5 2 5" xfId="1770" xr:uid="{00000000-0005-0000-0000-0000691B0000}"/>
    <cellStyle name="Normal 5 5 2 5 2" xfId="4000" xr:uid="{00000000-0005-0000-0000-00006A1B0000}"/>
    <cellStyle name="Normal 5 5 2 5 2 2" xfId="8224" xr:uid="{00000000-0005-0000-0000-00006B1B0000}"/>
    <cellStyle name="Normal 5 5 2 5 2 3" xfId="12888" xr:uid="{F75974C6-A0EC-4C8E-851F-767169947658}"/>
    <cellStyle name="Normal 5 5 2 5 3" xfId="6079" xr:uid="{00000000-0005-0000-0000-00006C1B0000}"/>
    <cellStyle name="Normal 5 5 2 5 4" xfId="10743" xr:uid="{19F92423-BC6B-4C15-89E0-B6E2AE50F88C}"/>
    <cellStyle name="Normal 5 5 2 6" xfId="2184" xr:uid="{00000000-0005-0000-0000-00006D1B0000}"/>
    <cellStyle name="Normal 5 5 2 6 2" xfId="4413" xr:uid="{00000000-0005-0000-0000-00006E1B0000}"/>
    <cellStyle name="Normal 5 5 2 6 2 2" xfId="8637" xr:uid="{00000000-0005-0000-0000-00006F1B0000}"/>
    <cellStyle name="Normal 5 5 2 6 2 3" xfId="13301" xr:uid="{87B022E7-8E78-4C2E-9F1F-5DBECAF797FF}"/>
    <cellStyle name="Normal 5 5 2 6 3" xfId="6492" xr:uid="{00000000-0005-0000-0000-0000701B0000}"/>
    <cellStyle name="Normal 5 5 2 6 4" xfId="11156" xr:uid="{3B655556-E44D-40B8-808F-EE06A5A758ED}"/>
    <cellStyle name="Normal 5 5 2 7" xfId="2620" xr:uid="{00000000-0005-0000-0000-0000711B0000}"/>
    <cellStyle name="Normal 5 5 2 7 2" xfId="6905" xr:uid="{00000000-0005-0000-0000-0000721B0000}"/>
    <cellStyle name="Normal 5 5 2 7 3" xfId="11569" xr:uid="{68B5E8D0-A5B0-491D-A87F-372B363B8A3F}"/>
    <cellStyle name="Normal 5 5 2 8" xfId="4840" xr:uid="{00000000-0005-0000-0000-0000731B0000}"/>
    <cellStyle name="Normal 5 5 2 8 2" xfId="9500" xr:uid="{2DAACD76-0561-495B-9890-D15C464E3A90}"/>
    <cellStyle name="Normal 5 5 2 9" xfId="9050" xr:uid="{0779FF0D-AD1A-4221-A86B-1D784C689718}"/>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3" xfId="12064" xr:uid="{5324BE1B-EAE8-4CA8-8463-3762D416B6A7}"/>
    <cellStyle name="Normal 5 5 3 2 3" xfId="5255" xr:uid="{00000000-0005-0000-0000-0000781B0000}"/>
    <cellStyle name="Normal 5 5 3 2 4" xfId="9918" xr:uid="{D3E37665-C802-4099-AB29-CEDC3D4A8879}"/>
    <cellStyle name="Normal 5 5 3 3" xfId="1359" xr:uid="{00000000-0005-0000-0000-0000791B0000}"/>
    <cellStyle name="Normal 5 5 3 3 2" xfId="3589" xr:uid="{00000000-0005-0000-0000-00007A1B0000}"/>
    <cellStyle name="Normal 5 5 3 3 2 2" xfId="7813" xr:uid="{00000000-0005-0000-0000-00007B1B0000}"/>
    <cellStyle name="Normal 5 5 3 3 2 3" xfId="12477" xr:uid="{153598A3-A479-414A-96B9-20F6F13A6F87}"/>
    <cellStyle name="Normal 5 5 3 3 3" xfId="5668" xr:uid="{00000000-0005-0000-0000-00007C1B0000}"/>
    <cellStyle name="Normal 5 5 3 3 4" xfId="10332" xr:uid="{25C31F0B-93A2-419C-A0C9-774FD58145C8}"/>
    <cellStyle name="Normal 5 5 3 4" xfId="1772" xr:uid="{00000000-0005-0000-0000-00007D1B0000}"/>
    <cellStyle name="Normal 5 5 3 4 2" xfId="4002" xr:uid="{00000000-0005-0000-0000-00007E1B0000}"/>
    <cellStyle name="Normal 5 5 3 4 2 2" xfId="8226" xr:uid="{00000000-0005-0000-0000-00007F1B0000}"/>
    <cellStyle name="Normal 5 5 3 4 2 3" xfId="12890" xr:uid="{C9B9E25B-29A1-4DC4-990C-FDF95E79B3BD}"/>
    <cellStyle name="Normal 5 5 3 4 3" xfId="6081" xr:uid="{00000000-0005-0000-0000-0000801B0000}"/>
    <cellStyle name="Normal 5 5 3 4 4" xfId="10745" xr:uid="{61C596D6-B12A-4B09-BF14-48395235F0F2}"/>
    <cellStyle name="Normal 5 5 3 5" xfId="2186" xr:uid="{00000000-0005-0000-0000-0000811B0000}"/>
    <cellStyle name="Normal 5 5 3 5 2" xfId="4415" xr:uid="{00000000-0005-0000-0000-0000821B0000}"/>
    <cellStyle name="Normal 5 5 3 5 2 2" xfId="8639" xr:uid="{00000000-0005-0000-0000-0000831B0000}"/>
    <cellStyle name="Normal 5 5 3 5 2 3" xfId="13303" xr:uid="{A760F9AD-79C1-40D4-94EA-83C62EFC2C6F}"/>
    <cellStyle name="Normal 5 5 3 5 3" xfId="6494" xr:uid="{00000000-0005-0000-0000-0000841B0000}"/>
    <cellStyle name="Normal 5 5 3 5 4" xfId="11158" xr:uid="{C25D5ECB-C183-4D41-ACEB-CBD23C5475EC}"/>
    <cellStyle name="Normal 5 5 3 6" xfId="2622" xr:uid="{00000000-0005-0000-0000-0000851B0000}"/>
    <cellStyle name="Normal 5 5 3 6 2" xfId="6907" xr:uid="{00000000-0005-0000-0000-0000861B0000}"/>
    <cellStyle name="Normal 5 5 3 6 3" xfId="11571" xr:uid="{7F14B5E5-8D5A-40CA-A55B-46C6C2E75B7B}"/>
    <cellStyle name="Normal 5 5 3 7" xfId="4842" xr:uid="{00000000-0005-0000-0000-0000871B0000}"/>
    <cellStyle name="Normal 5 5 3 7 2" xfId="9502" xr:uid="{5AAE8E4F-13D3-449B-A331-C8EAC643C345}"/>
    <cellStyle name="Normal 5 5 3 8" xfId="9052" xr:uid="{D55110D4-2B4B-41D1-92EC-C96B82F38654}"/>
    <cellStyle name="Normal 5 5 4" xfId="939" xr:uid="{00000000-0005-0000-0000-0000881B0000}"/>
    <cellStyle name="Normal 5 5 4 2" xfId="3173" xr:uid="{00000000-0005-0000-0000-0000891B0000}"/>
    <cellStyle name="Normal 5 5 4 2 2" xfId="7397" xr:uid="{00000000-0005-0000-0000-00008A1B0000}"/>
    <cellStyle name="Normal 5 5 4 2 3" xfId="12061" xr:uid="{BE0A6BFE-2D5B-4AD6-96A2-A1A9C4AD654A}"/>
    <cellStyle name="Normal 5 5 4 3" xfId="5252" xr:uid="{00000000-0005-0000-0000-00008B1B0000}"/>
    <cellStyle name="Normal 5 5 4 4" xfId="9915" xr:uid="{D7BBF62D-1EF4-4819-8824-CE4AA822EDB2}"/>
    <cellStyle name="Normal 5 5 5" xfId="1356" xr:uid="{00000000-0005-0000-0000-00008C1B0000}"/>
    <cellStyle name="Normal 5 5 5 2" xfId="3586" xr:uid="{00000000-0005-0000-0000-00008D1B0000}"/>
    <cellStyle name="Normal 5 5 5 2 2" xfId="7810" xr:uid="{00000000-0005-0000-0000-00008E1B0000}"/>
    <cellStyle name="Normal 5 5 5 2 3" xfId="12474" xr:uid="{347AE25E-898E-4C59-AC0F-8A1E6D91EB51}"/>
    <cellStyle name="Normal 5 5 5 3" xfId="5665" xr:uid="{00000000-0005-0000-0000-00008F1B0000}"/>
    <cellStyle name="Normal 5 5 5 4" xfId="10329" xr:uid="{41E650DC-EA9B-4E0A-ABDF-B17AF427FA2E}"/>
    <cellStyle name="Normal 5 5 6" xfId="1769" xr:uid="{00000000-0005-0000-0000-0000901B0000}"/>
    <cellStyle name="Normal 5 5 6 2" xfId="3999" xr:uid="{00000000-0005-0000-0000-0000911B0000}"/>
    <cellStyle name="Normal 5 5 6 2 2" xfId="8223" xr:uid="{00000000-0005-0000-0000-0000921B0000}"/>
    <cellStyle name="Normal 5 5 6 2 3" xfId="12887" xr:uid="{3309D1D6-CF66-431E-BD89-72741CFD98E2}"/>
    <cellStyle name="Normal 5 5 6 3" xfId="6078" xr:uid="{00000000-0005-0000-0000-0000931B0000}"/>
    <cellStyle name="Normal 5 5 6 4" xfId="10742" xr:uid="{71C562F1-7E06-4C70-9FFF-D9DD22B65ACD}"/>
    <cellStyle name="Normal 5 5 7" xfId="2183" xr:uid="{00000000-0005-0000-0000-0000941B0000}"/>
    <cellStyle name="Normal 5 5 7 2" xfId="4412" xr:uid="{00000000-0005-0000-0000-0000951B0000}"/>
    <cellStyle name="Normal 5 5 7 2 2" xfId="8636" xr:uid="{00000000-0005-0000-0000-0000961B0000}"/>
    <cellStyle name="Normal 5 5 7 2 3" xfId="13300" xr:uid="{D4011E14-A1A3-4267-BBDE-D77720145CAF}"/>
    <cellStyle name="Normal 5 5 7 3" xfId="6491" xr:uid="{00000000-0005-0000-0000-0000971B0000}"/>
    <cellStyle name="Normal 5 5 7 4" xfId="11155" xr:uid="{2B87D33C-B478-40C0-ABA7-FC5C80CFDA35}"/>
    <cellStyle name="Normal 5 5 8" xfId="2619" xr:uid="{00000000-0005-0000-0000-0000981B0000}"/>
    <cellStyle name="Normal 5 5 8 2" xfId="6904" xr:uid="{00000000-0005-0000-0000-0000991B0000}"/>
    <cellStyle name="Normal 5 5 8 3" xfId="11568" xr:uid="{D9B6E7C5-A048-4D83-997B-C16B611583B0}"/>
    <cellStyle name="Normal 5 5 9" xfId="4839" xr:uid="{00000000-0005-0000-0000-00009A1B0000}"/>
    <cellStyle name="Normal 5 5 9 2" xfId="9499" xr:uid="{34F4E39F-32A9-425A-8681-CEA1F70CDB36}"/>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3" xfId="12066" xr:uid="{ECF8631D-E795-4174-AA68-F15038563993}"/>
    <cellStyle name="Normal 5 6 2 2 3" xfId="5257" xr:uid="{00000000-0005-0000-0000-0000A01B0000}"/>
    <cellStyle name="Normal 5 6 2 2 4" xfId="9920" xr:uid="{54F66EB0-C5D5-417B-ABFE-9E05576E65AE}"/>
    <cellStyle name="Normal 5 6 2 3" xfId="1361" xr:uid="{00000000-0005-0000-0000-0000A11B0000}"/>
    <cellStyle name="Normal 5 6 2 3 2" xfId="3591" xr:uid="{00000000-0005-0000-0000-0000A21B0000}"/>
    <cellStyle name="Normal 5 6 2 3 2 2" xfId="7815" xr:uid="{00000000-0005-0000-0000-0000A31B0000}"/>
    <cellStyle name="Normal 5 6 2 3 2 3" xfId="12479" xr:uid="{1D963A1C-6C0A-4CA0-B76C-9DE683936A2A}"/>
    <cellStyle name="Normal 5 6 2 3 3" xfId="5670" xr:uid="{00000000-0005-0000-0000-0000A41B0000}"/>
    <cellStyle name="Normal 5 6 2 3 4" xfId="10334" xr:uid="{5A0CAB5B-4DA1-442F-8DAD-DF7F61774929}"/>
    <cellStyle name="Normal 5 6 2 4" xfId="1774" xr:uid="{00000000-0005-0000-0000-0000A51B0000}"/>
    <cellStyle name="Normal 5 6 2 4 2" xfId="4004" xr:uid="{00000000-0005-0000-0000-0000A61B0000}"/>
    <cellStyle name="Normal 5 6 2 4 2 2" xfId="8228" xr:uid="{00000000-0005-0000-0000-0000A71B0000}"/>
    <cellStyle name="Normal 5 6 2 4 2 3" xfId="12892" xr:uid="{8E9EDF2A-5370-4B7F-9827-326551947F4D}"/>
    <cellStyle name="Normal 5 6 2 4 3" xfId="6083" xr:uid="{00000000-0005-0000-0000-0000A81B0000}"/>
    <cellStyle name="Normal 5 6 2 4 4" xfId="10747" xr:uid="{B3141F57-6F3C-461F-A62C-2DA56FB81711}"/>
    <cellStyle name="Normal 5 6 2 5" xfId="2188" xr:uid="{00000000-0005-0000-0000-0000A91B0000}"/>
    <cellStyle name="Normal 5 6 2 5 2" xfId="4417" xr:uid="{00000000-0005-0000-0000-0000AA1B0000}"/>
    <cellStyle name="Normal 5 6 2 5 2 2" xfId="8641" xr:uid="{00000000-0005-0000-0000-0000AB1B0000}"/>
    <cellStyle name="Normal 5 6 2 5 2 3" xfId="13305" xr:uid="{5141E4F5-415A-44B8-BD69-91F036B9F954}"/>
    <cellStyle name="Normal 5 6 2 5 3" xfId="6496" xr:uid="{00000000-0005-0000-0000-0000AC1B0000}"/>
    <cellStyle name="Normal 5 6 2 5 4" xfId="11160" xr:uid="{55371188-0B27-4AD4-A701-9A828F148CBA}"/>
    <cellStyle name="Normal 5 6 2 6" xfId="2624" xr:uid="{00000000-0005-0000-0000-0000AD1B0000}"/>
    <cellStyle name="Normal 5 6 2 6 2" xfId="6909" xr:uid="{00000000-0005-0000-0000-0000AE1B0000}"/>
    <cellStyle name="Normal 5 6 2 6 3" xfId="11573" xr:uid="{B7255F75-7069-4FF2-A6ED-3DB916D2CA69}"/>
    <cellStyle name="Normal 5 6 2 7" xfId="4844" xr:uid="{00000000-0005-0000-0000-0000AF1B0000}"/>
    <cellStyle name="Normal 5 6 2 7 2" xfId="9504" xr:uid="{16F92C97-9994-48E1-87D1-F31F95811D24}"/>
    <cellStyle name="Normal 5 6 2 8" xfId="9054" xr:uid="{D6C4F14A-BF91-4278-A9EC-FEFF55F7780A}"/>
    <cellStyle name="Normal 5 6 3" xfId="943" xr:uid="{00000000-0005-0000-0000-0000B01B0000}"/>
    <cellStyle name="Normal 5 6 3 2" xfId="3177" xr:uid="{00000000-0005-0000-0000-0000B11B0000}"/>
    <cellStyle name="Normal 5 6 3 2 2" xfId="7401" xr:uid="{00000000-0005-0000-0000-0000B21B0000}"/>
    <cellStyle name="Normal 5 6 3 2 3" xfId="12065" xr:uid="{AB4BAC6F-37AB-4425-A805-5B6866E809FA}"/>
    <cellStyle name="Normal 5 6 3 3" xfId="5256" xr:uid="{00000000-0005-0000-0000-0000B31B0000}"/>
    <cellStyle name="Normal 5 6 3 4" xfId="9919" xr:uid="{8377EBCC-A869-4B86-BAD9-D8898B0C861D}"/>
    <cellStyle name="Normal 5 6 4" xfId="1360" xr:uid="{00000000-0005-0000-0000-0000B41B0000}"/>
    <cellStyle name="Normal 5 6 4 2" xfId="3590" xr:uid="{00000000-0005-0000-0000-0000B51B0000}"/>
    <cellStyle name="Normal 5 6 4 2 2" xfId="7814" xr:uid="{00000000-0005-0000-0000-0000B61B0000}"/>
    <cellStyle name="Normal 5 6 4 2 3" xfId="12478" xr:uid="{9B73B0F2-93DD-42F4-80D8-A9FD5031DBA8}"/>
    <cellStyle name="Normal 5 6 4 3" xfId="5669" xr:uid="{00000000-0005-0000-0000-0000B71B0000}"/>
    <cellStyle name="Normal 5 6 4 4" xfId="10333" xr:uid="{647A3C5F-18D9-44B5-82E6-EB08253F1765}"/>
    <cellStyle name="Normal 5 6 5" xfId="1773" xr:uid="{00000000-0005-0000-0000-0000B81B0000}"/>
    <cellStyle name="Normal 5 6 5 2" xfId="4003" xr:uid="{00000000-0005-0000-0000-0000B91B0000}"/>
    <cellStyle name="Normal 5 6 5 2 2" xfId="8227" xr:uid="{00000000-0005-0000-0000-0000BA1B0000}"/>
    <cellStyle name="Normal 5 6 5 2 3" xfId="12891" xr:uid="{4990D131-4D94-4B19-ABC4-D71A7019345D}"/>
    <cellStyle name="Normal 5 6 5 3" xfId="6082" xr:uid="{00000000-0005-0000-0000-0000BB1B0000}"/>
    <cellStyle name="Normal 5 6 5 4" xfId="10746" xr:uid="{55056565-9BAB-4A84-80EE-82EAEE1F1046}"/>
    <cellStyle name="Normal 5 6 6" xfId="2187" xr:uid="{00000000-0005-0000-0000-0000BC1B0000}"/>
    <cellStyle name="Normal 5 6 6 2" xfId="4416" xr:uid="{00000000-0005-0000-0000-0000BD1B0000}"/>
    <cellStyle name="Normal 5 6 6 2 2" xfId="8640" xr:uid="{00000000-0005-0000-0000-0000BE1B0000}"/>
    <cellStyle name="Normal 5 6 6 2 3" xfId="13304" xr:uid="{98B55631-FCB5-4934-8F8A-5384A799AB47}"/>
    <cellStyle name="Normal 5 6 6 3" xfId="6495" xr:uid="{00000000-0005-0000-0000-0000BF1B0000}"/>
    <cellStyle name="Normal 5 6 6 4" xfId="11159" xr:uid="{7C141778-9328-43C9-A97E-E525DFD85595}"/>
    <cellStyle name="Normal 5 6 7" xfId="2623" xr:uid="{00000000-0005-0000-0000-0000C01B0000}"/>
    <cellStyle name="Normal 5 6 7 2" xfId="6908" xr:uid="{00000000-0005-0000-0000-0000C11B0000}"/>
    <cellStyle name="Normal 5 6 7 3" xfId="11572" xr:uid="{5FE4ADC4-ADC3-42C0-8858-980E9630E3C9}"/>
    <cellStyle name="Normal 5 6 8" xfId="4843" xr:uid="{00000000-0005-0000-0000-0000C21B0000}"/>
    <cellStyle name="Normal 5 6 8 2" xfId="9503" xr:uid="{9518BDB0-95A4-498A-8F48-6404FEE3B580}"/>
    <cellStyle name="Normal 5 6 9" xfId="9053" xr:uid="{0D9CD9DF-9B7F-452B-BA38-08C5BA035D59}"/>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3" xfId="12067" xr:uid="{9B676721-3A12-4FBB-A666-D915BBDD51C9}"/>
    <cellStyle name="Normal 5 7 2 3" xfId="5258" xr:uid="{00000000-0005-0000-0000-0000C71B0000}"/>
    <cellStyle name="Normal 5 7 2 4" xfId="9921" xr:uid="{2C635ECB-2698-4EFA-AD2A-91B390049EB2}"/>
    <cellStyle name="Normal 5 7 3" xfId="1362" xr:uid="{00000000-0005-0000-0000-0000C81B0000}"/>
    <cellStyle name="Normal 5 7 3 2" xfId="3592" xr:uid="{00000000-0005-0000-0000-0000C91B0000}"/>
    <cellStyle name="Normal 5 7 3 2 2" xfId="7816" xr:uid="{00000000-0005-0000-0000-0000CA1B0000}"/>
    <cellStyle name="Normal 5 7 3 2 3" xfId="12480" xr:uid="{5ECCEF11-2C2D-4670-91EE-C64720AB6E29}"/>
    <cellStyle name="Normal 5 7 3 3" xfId="5671" xr:uid="{00000000-0005-0000-0000-0000CB1B0000}"/>
    <cellStyle name="Normal 5 7 3 4" xfId="10335" xr:uid="{4A390092-6C10-4793-8A6B-4CAE51EF1B77}"/>
    <cellStyle name="Normal 5 7 4" xfId="1775" xr:uid="{00000000-0005-0000-0000-0000CC1B0000}"/>
    <cellStyle name="Normal 5 7 4 2" xfId="4005" xr:uid="{00000000-0005-0000-0000-0000CD1B0000}"/>
    <cellStyle name="Normal 5 7 4 2 2" xfId="8229" xr:uid="{00000000-0005-0000-0000-0000CE1B0000}"/>
    <cellStyle name="Normal 5 7 4 2 3" xfId="12893" xr:uid="{E75E1BE9-D26D-430A-9785-9C1F0E7300CB}"/>
    <cellStyle name="Normal 5 7 4 3" xfId="6084" xr:uid="{00000000-0005-0000-0000-0000CF1B0000}"/>
    <cellStyle name="Normal 5 7 4 4" xfId="10748" xr:uid="{1C6A4D57-883C-4208-82C3-18B7FF08CF29}"/>
    <cellStyle name="Normal 5 7 5" xfId="2189" xr:uid="{00000000-0005-0000-0000-0000D01B0000}"/>
    <cellStyle name="Normal 5 7 5 2" xfId="4418" xr:uid="{00000000-0005-0000-0000-0000D11B0000}"/>
    <cellStyle name="Normal 5 7 5 2 2" xfId="8642" xr:uid="{00000000-0005-0000-0000-0000D21B0000}"/>
    <cellStyle name="Normal 5 7 5 2 3" xfId="13306" xr:uid="{730EFE02-7FBC-4904-A92B-B55CF24671BF}"/>
    <cellStyle name="Normal 5 7 5 3" xfId="6497" xr:uid="{00000000-0005-0000-0000-0000D31B0000}"/>
    <cellStyle name="Normal 5 7 5 4" xfId="11161" xr:uid="{5C5D4AFD-7889-4717-8B1F-8AAF4993BC22}"/>
    <cellStyle name="Normal 5 7 6" xfId="2625" xr:uid="{00000000-0005-0000-0000-0000D41B0000}"/>
    <cellStyle name="Normal 5 7 6 2" xfId="6910" xr:uid="{00000000-0005-0000-0000-0000D51B0000}"/>
    <cellStyle name="Normal 5 7 6 3" xfId="11574" xr:uid="{70D15742-0B14-45E5-886E-B98FCF90EF3B}"/>
    <cellStyle name="Normal 5 7 7" xfId="4845" xr:uid="{00000000-0005-0000-0000-0000D61B0000}"/>
    <cellStyle name="Normal 5 7 7 2" xfId="9505" xr:uid="{FE917ABC-936A-49CB-8BB8-BF94D274D557}"/>
    <cellStyle name="Normal 5 7 8" xfId="9055" xr:uid="{F37FEF3D-0C07-42AC-80EC-4364490C19F6}"/>
    <cellStyle name="Normal 5 8" xfId="881" xr:uid="{00000000-0005-0000-0000-0000D71B0000}"/>
    <cellStyle name="Normal 5 8 2" xfId="3116" xr:uid="{00000000-0005-0000-0000-0000D81B0000}"/>
    <cellStyle name="Normal 5 8 2 2" xfId="7340" xr:uid="{00000000-0005-0000-0000-0000D91B0000}"/>
    <cellStyle name="Normal 5 8 2 3" xfId="12004" xr:uid="{73A9A584-50BF-447D-9278-8F51D243ADF4}"/>
    <cellStyle name="Normal 5 8 3" xfId="5195" xr:uid="{00000000-0005-0000-0000-0000DA1B0000}"/>
    <cellStyle name="Normal 5 8 4" xfId="9858" xr:uid="{368F9094-D8A3-432C-93F3-273D6F832AA8}"/>
    <cellStyle name="Normal 5 9" xfId="1299" xr:uid="{00000000-0005-0000-0000-0000DB1B0000}"/>
    <cellStyle name="Normal 5 9 2" xfId="3529" xr:uid="{00000000-0005-0000-0000-0000DC1B0000}"/>
    <cellStyle name="Normal 5 9 2 2" xfId="7753" xr:uid="{00000000-0005-0000-0000-0000DD1B0000}"/>
    <cellStyle name="Normal 5 9 2 3" xfId="12417" xr:uid="{038E3E08-62E8-4351-AE24-DBDAFF6484F3}"/>
    <cellStyle name="Normal 5 9 3" xfId="5608" xr:uid="{00000000-0005-0000-0000-0000DE1B0000}"/>
    <cellStyle name="Normal 5 9 4" xfId="10272" xr:uid="{0761020B-2D96-4BA3-B87E-C6385E6887EF}"/>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3" xfId="13307" xr:uid="{8D04ACDF-E02B-4C5B-8E4A-2DD913ABFCA7}"/>
    <cellStyle name="Normal 8 10 3" xfId="6498" xr:uid="{00000000-0005-0000-0000-0000EA1B0000}"/>
    <cellStyle name="Normal 8 10 4" xfId="11162" xr:uid="{622B4DF4-680F-4AF3-8EED-83F1433BF1AA}"/>
    <cellStyle name="Normal 8 11" xfId="2626" xr:uid="{00000000-0005-0000-0000-0000EB1B0000}"/>
    <cellStyle name="Normal 8 11 2" xfId="6911" xr:uid="{00000000-0005-0000-0000-0000EC1B0000}"/>
    <cellStyle name="Normal 8 11 3" xfId="11575" xr:uid="{60670DDB-E0A6-46C3-981B-CBB33B454A7A}"/>
    <cellStyle name="Normal 8 12" xfId="4846" xr:uid="{00000000-0005-0000-0000-0000ED1B0000}"/>
    <cellStyle name="Normal 8 12 2" xfId="9506" xr:uid="{E20E22EC-6BD4-485F-BD3A-1FEDCFD7D00D}"/>
    <cellStyle name="Normal 8 13" xfId="9056" xr:uid="{3D81094D-C0AD-4A93-B58B-143A9D70948D}"/>
    <cellStyle name="Normal 8 2" xfId="479" xr:uid="{00000000-0005-0000-0000-0000EE1B0000}"/>
    <cellStyle name="Normal 8 2 10" xfId="2627" xr:uid="{00000000-0005-0000-0000-0000EF1B0000}"/>
    <cellStyle name="Normal 8 2 10 2" xfId="6912" xr:uid="{00000000-0005-0000-0000-0000F01B0000}"/>
    <cellStyle name="Normal 8 2 10 3" xfId="11576" xr:uid="{43FC55CB-A158-48A4-9556-E318CF45D097}"/>
    <cellStyle name="Normal 8 2 11" xfId="4847" xr:uid="{00000000-0005-0000-0000-0000F11B0000}"/>
    <cellStyle name="Normal 8 2 11 2" xfId="9507" xr:uid="{649DC819-32CB-45EB-9D8B-366562257A20}"/>
    <cellStyle name="Normal 8 2 12" xfId="9057" xr:uid="{14AAFAF7-6A0D-4460-90D7-04CD15918C48}"/>
    <cellStyle name="Normal 8 2 2" xfId="480" xr:uid="{00000000-0005-0000-0000-0000F21B0000}"/>
    <cellStyle name="Normal 8 2 2 10" xfId="4848" xr:uid="{00000000-0005-0000-0000-0000F31B0000}"/>
    <cellStyle name="Normal 8 2 2 10 2" xfId="9508" xr:uid="{2E1D96FD-B74A-44CA-B956-B8CCEB8A54E3}"/>
    <cellStyle name="Normal 8 2 2 11" xfId="9058" xr:uid="{3047C744-E2A2-412D-9682-54F5C49109D9}"/>
    <cellStyle name="Normal 8 2 2 2" xfId="481" xr:uid="{00000000-0005-0000-0000-0000F41B0000}"/>
    <cellStyle name="Normal 8 2 2 2 10" xfId="9059" xr:uid="{DAC48E6F-8FC1-4689-9E68-14C28025334B}"/>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3" xfId="12073" xr:uid="{B3E94FD8-4ADA-422E-B4D2-BAB1353A6529}"/>
    <cellStyle name="Normal 8 2 2 2 2 2 2 3" xfId="5264" xr:uid="{00000000-0005-0000-0000-0000FA1B0000}"/>
    <cellStyle name="Normal 8 2 2 2 2 2 2 4" xfId="9927" xr:uid="{F2EB5711-6630-4AEE-8BC5-D3F50CF252BD}"/>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3" xfId="12486" xr:uid="{D0E09A2B-0F85-4D76-854C-9AB3A6E59B3C}"/>
    <cellStyle name="Normal 8 2 2 2 2 2 3 3" xfId="5677" xr:uid="{00000000-0005-0000-0000-0000FE1B0000}"/>
    <cellStyle name="Normal 8 2 2 2 2 2 3 4" xfId="10341" xr:uid="{779F5CB5-76FE-4BD1-BCF9-826BB59992D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3" xfId="12899" xr:uid="{1F575297-6A76-4898-90AB-6FDF37E521C9}"/>
    <cellStyle name="Normal 8 2 2 2 2 2 4 3" xfId="6090" xr:uid="{00000000-0005-0000-0000-0000021C0000}"/>
    <cellStyle name="Normal 8 2 2 2 2 2 4 4" xfId="10754" xr:uid="{0A1DEE61-202B-40F0-86FC-398FDF1222FF}"/>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3" xfId="13312" xr:uid="{E0D143B1-1524-4C11-A241-82BB18BD7522}"/>
    <cellStyle name="Normal 8 2 2 2 2 2 5 3" xfId="6503" xr:uid="{00000000-0005-0000-0000-0000061C0000}"/>
    <cellStyle name="Normal 8 2 2 2 2 2 5 4" xfId="11167" xr:uid="{E04BA957-FAE7-4F89-8CD1-A0D84111E954}"/>
    <cellStyle name="Normal 8 2 2 2 2 2 6" xfId="2631" xr:uid="{00000000-0005-0000-0000-0000071C0000}"/>
    <cellStyle name="Normal 8 2 2 2 2 2 6 2" xfId="6916" xr:uid="{00000000-0005-0000-0000-0000081C0000}"/>
    <cellStyle name="Normal 8 2 2 2 2 2 6 3" xfId="11580" xr:uid="{B4EE21F3-8153-4FD7-B5C2-D49F9A94D06B}"/>
    <cellStyle name="Normal 8 2 2 2 2 2 7" xfId="4851" xr:uid="{00000000-0005-0000-0000-0000091C0000}"/>
    <cellStyle name="Normal 8 2 2 2 2 2 7 2" xfId="9511" xr:uid="{988CAA1D-41F8-419F-AEFD-64FB6253DB66}"/>
    <cellStyle name="Normal 8 2 2 2 2 2 8" xfId="9061" xr:uid="{2FAF3A25-996F-4671-8FE3-2717A71D05E6}"/>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3" xfId="12072" xr:uid="{B5CD6C0E-8C6B-4B91-B4F2-A67CF3BD5A7F}"/>
    <cellStyle name="Normal 8 2 2 2 2 3 3" xfId="5263" xr:uid="{00000000-0005-0000-0000-00000D1C0000}"/>
    <cellStyle name="Normal 8 2 2 2 2 3 4" xfId="9926" xr:uid="{CC49968F-2059-48D8-A875-4C2F98F0BC6D}"/>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3" xfId="12485" xr:uid="{3CA2C8EF-0F22-419A-BB56-AFF96F1CE8ED}"/>
    <cellStyle name="Normal 8 2 2 2 2 4 3" xfId="5676" xr:uid="{00000000-0005-0000-0000-0000111C0000}"/>
    <cellStyle name="Normal 8 2 2 2 2 4 4" xfId="10340" xr:uid="{10F1990D-2B6C-4E85-AF15-8A8148E20C95}"/>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3" xfId="12898" xr:uid="{919419AE-EB07-4C62-8484-57CA0152F885}"/>
    <cellStyle name="Normal 8 2 2 2 2 5 3" xfId="6089" xr:uid="{00000000-0005-0000-0000-0000151C0000}"/>
    <cellStyle name="Normal 8 2 2 2 2 5 4" xfId="10753" xr:uid="{81340DEE-5674-4BE0-ACBC-3085C01B83FA}"/>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3" xfId="13311" xr:uid="{0A70E9A7-E34E-4CDD-8C73-08181EB8B48F}"/>
    <cellStyle name="Normal 8 2 2 2 2 6 3" xfId="6502" xr:uid="{00000000-0005-0000-0000-0000191C0000}"/>
    <cellStyle name="Normal 8 2 2 2 2 6 4" xfId="11166" xr:uid="{F155B528-7ABA-4658-A46A-A04CB4A2E9D5}"/>
    <cellStyle name="Normal 8 2 2 2 2 7" xfId="2630" xr:uid="{00000000-0005-0000-0000-00001A1C0000}"/>
    <cellStyle name="Normal 8 2 2 2 2 7 2" xfId="6915" xr:uid="{00000000-0005-0000-0000-00001B1C0000}"/>
    <cellStyle name="Normal 8 2 2 2 2 7 3" xfId="11579" xr:uid="{A2C5C4B6-257D-4C74-8FEB-53924304E8E7}"/>
    <cellStyle name="Normal 8 2 2 2 2 8" xfId="4850" xr:uid="{00000000-0005-0000-0000-00001C1C0000}"/>
    <cellStyle name="Normal 8 2 2 2 2 8 2" xfId="9510" xr:uid="{70EA5F0A-C8B4-487B-97AE-9C860C6D6389}"/>
    <cellStyle name="Normal 8 2 2 2 2 9" xfId="9060" xr:uid="{858AE1C9-7CD0-44A1-9D05-86D64421DE61}"/>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3" xfId="12074" xr:uid="{30800A23-E574-4ECD-98E1-44FDDAC19431}"/>
    <cellStyle name="Normal 8 2 2 2 3 2 3" xfId="5265" xr:uid="{00000000-0005-0000-0000-0000211C0000}"/>
    <cellStyle name="Normal 8 2 2 2 3 2 4" xfId="9928" xr:uid="{FB7033A2-8502-4F56-B3FF-EFBB639BD3AF}"/>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3" xfId="12487" xr:uid="{217D9DD2-3660-4180-A35E-0CB27364C077}"/>
    <cellStyle name="Normal 8 2 2 2 3 3 3" xfId="5678" xr:uid="{00000000-0005-0000-0000-0000251C0000}"/>
    <cellStyle name="Normal 8 2 2 2 3 3 4" xfId="10342" xr:uid="{7558A285-A8AE-4F78-A59D-25D58906C73C}"/>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3" xfId="12900" xr:uid="{49141C5E-5638-4BE2-ADD1-69180015A9D1}"/>
    <cellStyle name="Normal 8 2 2 2 3 4 3" xfId="6091" xr:uid="{00000000-0005-0000-0000-0000291C0000}"/>
    <cellStyle name="Normal 8 2 2 2 3 4 4" xfId="10755" xr:uid="{DDD3F5A6-9AE7-4BAF-ACBB-396C432B3C59}"/>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3" xfId="13313" xr:uid="{9396D0BE-D8FD-4443-98F3-277BF7A463FA}"/>
    <cellStyle name="Normal 8 2 2 2 3 5 3" xfId="6504" xr:uid="{00000000-0005-0000-0000-00002D1C0000}"/>
    <cellStyle name="Normal 8 2 2 2 3 5 4" xfId="11168" xr:uid="{4DD95392-4E7A-4F45-BDF2-0F01FC4FEAF0}"/>
    <cellStyle name="Normal 8 2 2 2 3 6" xfId="2632" xr:uid="{00000000-0005-0000-0000-00002E1C0000}"/>
    <cellStyle name="Normal 8 2 2 2 3 6 2" xfId="6917" xr:uid="{00000000-0005-0000-0000-00002F1C0000}"/>
    <cellStyle name="Normal 8 2 2 2 3 6 3" xfId="11581" xr:uid="{8598E9EA-DCB3-4E45-93BD-A37DB557F60B}"/>
    <cellStyle name="Normal 8 2 2 2 3 7" xfId="4852" xr:uid="{00000000-0005-0000-0000-0000301C0000}"/>
    <cellStyle name="Normal 8 2 2 2 3 7 2" xfId="9512" xr:uid="{407B679B-AFB6-4CEA-9385-81248AB63D83}"/>
    <cellStyle name="Normal 8 2 2 2 3 8" xfId="9062" xr:uid="{F74A8C77-B373-4BCA-B38B-EE263D15DA16}"/>
    <cellStyle name="Normal 8 2 2 2 4" xfId="949" xr:uid="{00000000-0005-0000-0000-0000311C0000}"/>
    <cellStyle name="Normal 8 2 2 2 4 2" xfId="3183" xr:uid="{00000000-0005-0000-0000-0000321C0000}"/>
    <cellStyle name="Normal 8 2 2 2 4 2 2" xfId="7407" xr:uid="{00000000-0005-0000-0000-0000331C0000}"/>
    <cellStyle name="Normal 8 2 2 2 4 2 3" xfId="12071" xr:uid="{50EBF16E-E5A4-4396-9B8D-D9EE126F2A7E}"/>
    <cellStyle name="Normal 8 2 2 2 4 3" xfId="5262" xr:uid="{00000000-0005-0000-0000-0000341C0000}"/>
    <cellStyle name="Normal 8 2 2 2 4 4" xfId="9925" xr:uid="{A91106AC-8DC6-404A-BA85-E7F75B346FDF}"/>
    <cellStyle name="Normal 8 2 2 2 5" xfId="1366" xr:uid="{00000000-0005-0000-0000-0000351C0000}"/>
    <cellStyle name="Normal 8 2 2 2 5 2" xfId="3596" xr:uid="{00000000-0005-0000-0000-0000361C0000}"/>
    <cellStyle name="Normal 8 2 2 2 5 2 2" xfId="7820" xr:uid="{00000000-0005-0000-0000-0000371C0000}"/>
    <cellStyle name="Normal 8 2 2 2 5 2 3" xfId="12484" xr:uid="{3A5BE925-430C-41C2-9E17-261A113357C8}"/>
    <cellStyle name="Normal 8 2 2 2 5 3" xfId="5675" xr:uid="{00000000-0005-0000-0000-0000381C0000}"/>
    <cellStyle name="Normal 8 2 2 2 5 4" xfId="10339" xr:uid="{34C63E8D-DADA-4671-9F0C-D49E8F02C3F4}"/>
    <cellStyle name="Normal 8 2 2 2 6" xfId="1779" xr:uid="{00000000-0005-0000-0000-0000391C0000}"/>
    <cellStyle name="Normal 8 2 2 2 6 2" xfId="4009" xr:uid="{00000000-0005-0000-0000-00003A1C0000}"/>
    <cellStyle name="Normal 8 2 2 2 6 2 2" xfId="8233" xr:uid="{00000000-0005-0000-0000-00003B1C0000}"/>
    <cellStyle name="Normal 8 2 2 2 6 2 3" xfId="12897" xr:uid="{35E5A382-DAC2-494D-873B-E62E037BAF4B}"/>
    <cellStyle name="Normal 8 2 2 2 6 3" xfId="6088" xr:uid="{00000000-0005-0000-0000-00003C1C0000}"/>
    <cellStyle name="Normal 8 2 2 2 6 4" xfId="10752" xr:uid="{666809AD-8DFC-4FDB-9F97-8A446CDCEC03}"/>
    <cellStyle name="Normal 8 2 2 2 7" xfId="2193" xr:uid="{00000000-0005-0000-0000-00003D1C0000}"/>
    <cellStyle name="Normal 8 2 2 2 7 2" xfId="4422" xr:uid="{00000000-0005-0000-0000-00003E1C0000}"/>
    <cellStyle name="Normal 8 2 2 2 7 2 2" xfId="8646" xr:uid="{00000000-0005-0000-0000-00003F1C0000}"/>
    <cellStyle name="Normal 8 2 2 2 7 2 3" xfId="13310" xr:uid="{0C3680A1-663B-4F70-A10F-EC7CFAF55133}"/>
    <cellStyle name="Normal 8 2 2 2 7 3" xfId="6501" xr:uid="{00000000-0005-0000-0000-0000401C0000}"/>
    <cellStyle name="Normal 8 2 2 2 7 4" xfId="11165" xr:uid="{295D6779-21F0-45CC-AA3F-8B128D974BA2}"/>
    <cellStyle name="Normal 8 2 2 2 8" xfId="2629" xr:uid="{00000000-0005-0000-0000-0000411C0000}"/>
    <cellStyle name="Normal 8 2 2 2 8 2" xfId="6914" xr:uid="{00000000-0005-0000-0000-0000421C0000}"/>
    <cellStyle name="Normal 8 2 2 2 8 3" xfId="11578" xr:uid="{0FD7DFA2-FC0F-4C95-BD1E-01F645C7DDAF}"/>
    <cellStyle name="Normal 8 2 2 2 9" xfId="4849" xr:uid="{00000000-0005-0000-0000-0000431C0000}"/>
    <cellStyle name="Normal 8 2 2 2 9 2" xfId="9509" xr:uid="{6CCF8929-5CA7-4283-87E1-70AB7B99071E}"/>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3" xfId="12076" xr:uid="{BD280C4F-5951-4982-ACD0-B5DE58E4FEE0}"/>
    <cellStyle name="Normal 8 2 2 3 2 2 3" xfId="5267" xr:uid="{00000000-0005-0000-0000-0000491C0000}"/>
    <cellStyle name="Normal 8 2 2 3 2 2 4" xfId="9930" xr:uid="{EF1D72EE-C87F-4B38-85A4-5E80AFCD7A45}"/>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3" xfId="12489" xr:uid="{CA3D8697-CD18-4AA5-9039-54CAD7EF4F5A}"/>
    <cellStyle name="Normal 8 2 2 3 2 3 3" xfId="5680" xr:uid="{00000000-0005-0000-0000-00004D1C0000}"/>
    <cellStyle name="Normal 8 2 2 3 2 3 4" xfId="10344" xr:uid="{FFEB2408-C1F9-4981-A154-3EB5D97A3E19}"/>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3" xfId="12902" xr:uid="{85CB75CD-63BE-485A-81E5-D0D1AE515542}"/>
    <cellStyle name="Normal 8 2 2 3 2 4 3" xfId="6093" xr:uid="{00000000-0005-0000-0000-0000511C0000}"/>
    <cellStyle name="Normal 8 2 2 3 2 4 4" xfId="10757" xr:uid="{54B8EBCD-3DEA-406F-9428-F0DDA6A41374}"/>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3" xfId="13315" xr:uid="{681BBEBF-26A3-4C92-ACB5-664EEF40AAFA}"/>
    <cellStyle name="Normal 8 2 2 3 2 5 3" xfId="6506" xr:uid="{00000000-0005-0000-0000-0000551C0000}"/>
    <cellStyle name="Normal 8 2 2 3 2 5 4" xfId="11170" xr:uid="{2BEE1959-F77A-48D1-883D-658EF986FCA2}"/>
    <cellStyle name="Normal 8 2 2 3 2 6" xfId="2634" xr:uid="{00000000-0005-0000-0000-0000561C0000}"/>
    <cellStyle name="Normal 8 2 2 3 2 6 2" xfId="6919" xr:uid="{00000000-0005-0000-0000-0000571C0000}"/>
    <cellStyle name="Normal 8 2 2 3 2 6 3" xfId="11583" xr:uid="{74AC1A77-7DFD-40FC-A9B0-D97B2D865718}"/>
    <cellStyle name="Normal 8 2 2 3 2 7" xfId="4854" xr:uid="{00000000-0005-0000-0000-0000581C0000}"/>
    <cellStyle name="Normal 8 2 2 3 2 7 2" xfId="9514" xr:uid="{F02B6250-F3B5-438C-B3C9-6EA0330BB976}"/>
    <cellStyle name="Normal 8 2 2 3 2 8" xfId="9064" xr:uid="{427199D1-470A-41C8-948F-CE62D07B9A0A}"/>
    <cellStyle name="Normal 8 2 2 3 3" xfId="953" xr:uid="{00000000-0005-0000-0000-0000591C0000}"/>
    <cellStyle name="Normal 8 2 2 3 3 2" xfId="3187" xr:uid="{00000000-0005-0000-0000-00005A1C0000}"/>
    <cellStyle name="Normal 8 2 2 3 3 2 2" xfId="7411" xr:uid="{00000000-0005-0000-0000-00005B1C0000}"/>
    <cellStyle name="Normal 8 2 2 3 3 2 3" xfId="12075" xr:uid="{7D31FBAD-BBD1-4F01-B02B-FEA633F26AD1}"/>
    <cellStyle name="Normal 8 2 2 3 3 3" xfId="5266" xr:uid="{00000000-0005-0000-0000-00005C1C0000}"/>
    <cellStyle name="Normal 8 2 2 3 3 4" xfId="9929" xr:uid="{D4F0B4B2-ACD4-4C9C-A9A7-4591E3905C15}"/>
    <cellStyle name="Normal 8 2 2 3 4" xfId="1370" xr:uid="{00000000-0005-0000-0000-00005D1C0000}"/>
    <cellStyle name="Normal 8 2 2 3 4 2" xfId="3600" xr:uid="{00000000-0005-0000-0000-00005E1C0000}"/>
    <cellStyle name="Normal 8 2 2 3 4 2 2" xfId="7824" xr:uid="{00000000-0005-0000-0000-00005F1C0000}"/>
    <cellStyle name="Normal 8 2 2 3 4 2 3" xfId="12488" xr:uid="{87DDA0B3-2151-4DCD-B90C-DC00772AB9D6}"/>
    <cellStyle name="Normal 8 2 2 3 4 3" xfId="5679" xr:uid="{00000000-0005-0000-0000-0000601C0000}"/>
    <cellStyle name="Normal 8 2 2 3 4 4" xfId="10343" xr:uid="{C28CFB72-931D-4CAC-868F-30A4A08385C4}"/>
    <cellStyle name="Normal 8 2 2 3 5" xfId="1783" xr:uid="{00000000-0005-0000-0000-0000611C0000}"/>
    <cellStyle name="Normal 8 2 2 3 5 2" xfId="4013" xr:uid="{00000000-0005-0000-0000-0000621C0000}"/>
    <cellStyle name="Normal 8 2 2 3 5 2 2" xfId="8237" xr:uid="{00000000-0005-0000-0000-0000631C0000}"/>
    <cellStyle name="Normal 8 2 2 3 5 2 3" xfId="12901" xr:uid="{634D50C6-F0D1-4365-BDC0-CF1A844DE641}"/>
    <cellStyle name="Normal 8 2 2 3 5 3" xfId="6092" xr:uid="{00000000-0005-0000-0000-0000641C0000}"/>
    <cellStyle name="Normal 8 2 2 3 5 4" xfId="10756" xr:uid="{DC57ACF1-3866-4FDE-97C9-6CC1D75CF755}"/>
    <cellStyle name="Normal 8 2 2 3 6" xfId="2197" xr:uid="{00000000-0005-0000-0000-0000651C0000}"/>
    <cellStyle name="Normal 8 2 2 3 6 2" xfId="4426" xr:uid="{00000000-0005-0000-0000-0000661C0000}"/>
    <cellStyle name="Normal 8 2 2 3 6 2 2" xfId="8650" xr:uid="{00000000-0005-0000-0000-0000671C0000}"/>
    <cellStyle name="Normal 8 2 2 3 6 2 3" xfId="13314" xr:uid="{672F3408-C555-47EC-89D3-4C81421B50E2}"/>
    <cellStyle name="Normal 8 2 2 3 6 3" xfId="6505" xr:uid="{00000000-0005-0000-0000-0000681C0000}"/>
    <cellStyle name="Normal 8 2 2 3 6 4" xfId="11169" xr:uid="{EAB78CA8-3E80-42D5-924C-5EE619227EC5}"/>
    <cellStyle name="Normal 8 2 2 3 7" xfId="2633" xr:uid="{00000000-0005-0000-0000-0000691C0000}"/>
    <cellStyle name="Normal 8 2 2 3 7 2" xfId="6918" xr:uid="{00000000-0005-0000-0000-00006A1C0000}"/>
    <cellStyle name="Normal 8 2 2 3 7 3" xfId="11582" xr:uid="{7C8E7E22-7EC7-4E62-A762-B0B7F62DAF5E}"/>
    <cellStyle name="Normal 8 2 2 3 8" xfId="4853" xr:uid="{00000000-0005-0000-0000-00006B1C0000}"/>
    <cellStyle name="Normal 8 2 2 3 8 2" xfId="9513" xr:uid="{36A16607-B8A4-444D-A77E-13A1C56DDA01}"/>
    <cellStyle name="Normal 8 2 2 3 9" xfId="9063" xr:uid="{B7555445-924E-4C82-8458-DC280F9C5D06}"/>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3" xfId="12077" xr:uid="{5FA6ADF1-4BB6-4DD1-A7C0-0950A6527AFE}"/>
    <cellStyle name="Normal 8 2 2 4 2 3" xfId="5268" xr:uid="{00000000-0005-0000-0000-0000701C0000}"/>
    <cellStyle name="Normal 8 2 2 4 2 4" xfId="9931" xr:uid="{A400F3A3-AE41-496D-9519-AF906CC51685}"/>
    <cellStyle name="Normal 8 2 2 4 3" xfId="1372" xr:uid="{00000000-0005-0000-0000-0000711C0000}"/>
    <cellStyle name="Normal 8 2 2 4 3 2" xfId="3602" xr:uid="{00000000-0005-0000-0000-0000721C0000}"/>
    <cellStyle name="Normal 8 2 2 4 3 2 2" xfId="7826" xr:uid="{00000000-0005-0000-0000-0000731C0000}"/>
    <cellStyle name="Normal 8 2 2 4 3 2 3" xfId="12490" xr:uid="{A263E37D-3C7F-475C-9591-917822E0D760}"/>
    <cellStyle name="Normal 8 2 2 4 3 3" xfId="5681" xr:uid="{00000000-0005-0000-0000-0000741C0000}"/>
    <cellStyle name="Normal 8 2 2 4 3 4" xfId="10345" xr:uid="{BD77F1E5-B48E-4291-9022-9F1906AE8675}"/>
    <cellStyle name="Normal 8 2 2 4 4" xfId="1785" xr:uid="{00000000-0005-0000-0000-0000751C0000}"/>
    <cellStyle name="Normal 8 2 2 4 4 2" xfId="4015" xr:uid="{00000000-0005-0000-0000-0000761C0000}"/>
    <cellStyle name="Normal 8 2 2 4 4 2 2" xfId="8239" xr:uid="{00000000-0005-0000-0000-0000771C0000}"/>
    <cellStyle name="Normal 8 2 2 4 4 2 3" xfId="12903" xr:uid="{D6350A36-1401-45FF-A160-9ABC11490083}"/>
    <cellStyle name="Normal 8 2 2 4 4 3" xfId="6094" xr:uid="{00000000-0005-0000-0000-0000781C0000}"/>
    <cellStyle name="Normal 8 2 2 4 4 4" xfId="10758" xr:uid="{B8575A14-3DC2-4EC2-A798-E4B5F5433C29}"/>
    <cellStyle name="Normal 8 2 2 4 5" xfId="2199" xr:uid="{00000000-0005-0000-0000-0000791C0000}"/>
    <cellStyle name="Normal 8 2 2 4 5 2" xfId="4428" xr:uid="{00000000-0005-0000-0000-00007A1C0000}"/>
    <cellStyle name="Normal 8 2 2 4 5 2 2" xfId="8652" xr:uid="{00000000-0005-0000-0000-00007B1C0000}"/>
    <cellStyle name="Normal 8 2 2 4 5 2 3" xfId="13316" xr:uid="{4086557A-5664-4EF3-96E3-BCE3B782F1BE}"/>
    <cellStyle name="Normal 8 2 2 4 5 3" xfId="6507" xr:uid="{00000000-0005-0000-0000-00007C1C0000}"/>
    <cellStyle name="Normal 8 2 2 4 5 4" xfId="11171" xr:uid="{FC54BBC0-EB13-46D2-B7F5-F8F42FEFE7EF}"/>
    <cellStyle name="Normal 8 2 2 4 6" xfId="2635" xr:uid="{00000000-0005-0000-0000-00007D1C0000}"/>
    <cellStyle name="Normal 8 2 2 4 6 2" xfId="6920" xr:uid="{00000000-0005-0000-0000-00007E1C0000}"/>
    <cellStyle name="Normal 8 2 2 4 6 3" xfId="11584" xr:uid="{BB1F40DC-121A-4439-89D0-4DFDA9F05626}"/>
    <cellStyle name="Normal 8 2 2 4 7" xfId="4855" xr:uid="{00000000-0005-0000-0000-00007F1C0000}"/>
    <cellStyle name="Normal 8 2 2 4 7 2" xfId="9515" xr:uid="{BDA56468-84CC-4171-88F4-4F9276618745}"/>
    <cellStyle name="Normal 8 2 2 4 8" xfId="9065" xr:uid="{ED3CFAED-5656-400B-B7E9-746019A1B092}"/>
    <cellStyle name="Normal 8 2 2 5" xfId="948" xr:uid="{00000000-0005-0000-0000-0000801C0000}"/>
    <cellStyle name="Normal 8 2 2 5 2" xfId="3182" xr:uid="{00000000-0005-0000-0000-0000811C0000}"/>
    <cellStyle name="Normal 8 2 2 5 2 2" xfId="7406" xr:uid="{00000000-0005-0000-0000-0000821C0000}"/>
    <cellStyle name="Normal 8 2 2 5 2 3" xfId="12070" xr:uid="{C03EEB8F-5694-42C9-B4BC-2DF87EFAA2C5}"/>
    <cellStyle name="Normal 8 2 2 5 3" xfId="5261" xr:uid="{00000000-0005-0000-0000-0000831C0000}"/>
    <cellStyle name="Normal 8 2 2 5 4" xfId="9924" xr:uid="{5FF28167-177C-4C93-B704-6183B1B1E49C}"/>
    <cellStyle name="Normal 8 2 2 6" xfId="1365" xr:uid="{00000000-0005-0000-0000-0000841C0000}"/>
    <cellStyle name="Normal 8 2 2 6 2" xfId="3595" xr:uid="{00000000-0005-0000-0000-0000851C0000}"/>
    <cellStyle name="Normal 8 2 2 6 2 2" xfId="7819" xr:uid="{00000000-0005-0000-0000-0000861C0000}"/>
    <cellStyle name="Normal 8 2 2 6 2 3" xfId="12483" xr:uid="{E8E0DC18-B73B-4EC7-A9FE-1082D6F7004B}"/>
    <cellStyle name="Normal 8 2 2 6 3" xfId="5674" xr:uid="{00000000-0005-0000-0000-0000871C0000}"/>
    <cellStyle name="Normal 8 2 2 6 4" xfId="10338" xr:uid="{4653F8F0-2DF0-4B5E-A812-8B698EAA25DD}"/>
    <cellStyle name="Normal 8 2 2 7" xfId="1778" xr:uid="{00000000-0005-0000-0000-0000881C0000}"/>
    <cellStyle name="Normal 8 2 2 7 2" xfId="4008" xr:uid="{00000000-0005-0000-0000-0000891C0000}"/>
    <cellStyle name="Normal 8 2 2 7 2 2" xfId="8232" xr:uid="{00000000-0005-0000-0000-00008A1C0000}"/>
    <cellStyle name="Normal 8 2 2 7 2 3" xfId="12896" xr:uid="{36075EC3-C060-4C1D-BEBF-9C3CA7CC28B4}"/>
    <cellStyle name="Normal 8 2 2 7 3" xfId="6087" xr:uid="{00000000-0005-0000-0000-00008B1C0000}"/>
    <cellStyle name="Normal 8 2 2 7 4" xfId="10751" xr:uid="{2ADBB032-3D8B-42C6-A28E-579F9A8D5168}"/>
    <cellStyle name="Normal 8 2 2 8" xfId="2192" xr:uid="{00000000-0005-0000-0000-00008C1C0000}"/>
    <cellStyle name="Normal 8 2 2 8 2" xfId="4421" xr:uid="{00000000-0005-0000-0000-00008D1C0000}"/>
    <cellStyle name="Normal 8 2 2 8 2 2" xfId="8645" xr:uid="{00000000-0005-0000-0000-00008E1C0000}"/>
    <cellStyle name="Normal 8 2 2 8 2 3" xfId="13309" xr:uid="{EAD7DAEB-EDBC-4DCB-88A9-C66B1AD1AABF}"/>
    <cellStyle name="Normal 8 2 2 8 3" xfId="6500" xr:uid="{00000000-0005-0000-0000-00008F1C0000}"/>
    <cellStyle name="Normal 8 2 2 8 4" xfId="11164" xr:uid="{33444E39-D3D2-4F3A-9A6A-C1631CC91DC2}"/>
    <cellStyle name="Normal 8 2 2 9" xfId="2628" xr:uid="{00000000-0005-0000-0000-0000901C0000}"/>
    <cellStyle name="Normal 8 2 2 9 2" xfId="6913" xr:uid="{00000000-0005-0000-0000-0000911C0000}"/>
    <cellStyle name="Normal 8 2 2 9 3" xfId="11577" xr:uid="{B240092E-B9DA-4435-8AA5-D4B1CF68E12F}"/>
    <cellStyle name="Normal 8 2 3" xfId="488" xr:uid="{00000000-0005-0000-0000-0000921C0000}"/>
    <cellStyle name="Normal 8 2 3 10" xfId="9066" xr:uid="{8D6A6D69-7F56-4C00-AACC-66466C68C1AA}"/>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3" xfId="12080" xr:uid="{8397CD51-E113-49EF-BDCC-71AE57AA3903}"/>
    <cellStyle name="Normal 8 2 3 2 2 2 3" xfId="5271" xr:uid="{00000000-0005-0000-0000-0000981C0000}"/>
    <cellStyle name="Normal 8 2 3 2 2 2 4" xfId="9934" xr:uid="{CEC797B9-9FFB-4A84-9E64-DD309E7792DC}"/>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3" xfId="12493" xr:uid="{A8EE08EC-7513-4683-9287-3D261CB16AA1}"/>
    <cellStyle name="Normal 8 2 3 2 2 3 3" xfId="5684" xr:uid="{00000000-0005-0000-0000-00009C1C0000}"/>
    <cellStyle name="Normal 8 2 3 2 2 3 4" xfId="10348" xr:uid="{4A848FAD-72F8-4119-BCF3-16A878ECBFDB}"/>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3" xfId="12906" xr:uid="{D3E5B63E-599B-4AD5-9A41-CD2265058A7E}"/>
    <cellStyle name="Normal 8 2 3 2 2 4 3" xfId="6097" xr:uid="{00000000-0005-0000-0000-0000A01C0000}"/>
    <cellStyle name="Normal 8 2 3 2 2 4 4" xfId="10761" xr:uid="{E92ED7C8-A179-4771-BE49-313B7CB73A92}"/>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3" xfId="13319" xr:uid="{3B6914A5-BE72-4020-A36C-3AE533BB81BB}"/>
    <cellStyle name="Normal 8 2 3 2 2 5 3" xfId="6510" xr:uid="{00000000-0005-0000-0000-0000A41C0000}"/>
    <cellStyle name="Normal 8 2 3 2 2 5 4" xfId="11174" xr:uid="{553C5D4B-B3ED-4873-81D2-6BEB4955B896}"/>
    <cellStyle name="Normal 8 2 3 2 2 6" xfId="2638" xr:uid="{00000000-0005-0000-0000-0000A51C0000}"/>
    <cellStyle name="Normal 8 2 3 2 2 6 2" xfId="6923" xr:uid="{00000000-0005-0000-0000-0000A61C0000}"/>
    <cellStyle name="Normal 8 2 3 2 2 6 3" xfId="11587" xr:uid="{D5C25673-FBDB-475E-AE34-AB10B5AA6C36}"/>
    <cellStyle name="Normal 8 2 3 2 2 7" xfId="4858" xr:uid="{00000000-0005-0000-0000-0000A71C0000}"/>
    <cellStyle name="Normal 8 2 3 2 2 7 2" xfId="9518" xr:uid="{4FF3B568-D993-4D2B-B29E-68363CE4765B}"/>
    <cellStyle name="Normal 8 2 3 2 2 8" xfId="9068" xr:uid="{084E374C-53FA-45DA-8235-35C446F31DF2}"/>
    <cellStyle name="Normal 8 2 3 2 3" xfId="957" xr:uid="{00000000-0005-0000-0000-0000A81C0000}"/>
    <cellStyle name="Normal 8 2 3 2 3 2" xfId="3191" xr:uid="{00000000-0005-0000-0000-0000A91C0000}"/>
    <cellStyle name="Normal 8 2 3 2 3 2 2" xfId="7415" xr:uid="{00000000-0005-0000-0000-0000AA1C0000}"/>
    <cellStyle name="Normal 8 2 3 2 3 2 3" xfId="12079" xr:uid="{C28D2364-7F7E-4DDD-8F47-1D80D81A0E12}"/>
    <cellStyle name="Normal 8 2 3 2 3 3" xfId="5270" xr:uid="{00000000-0005-0000-0000-0000AB1C0000}"/>
    <cellStyle name="Normal 8 2 3 2 3 4" xfId="9933" xr:uid="{5A155906-5B18-4617-B50B-3CFEFACEDB01}"/>
    <cellStyle name="Normal 8 2 3 2 4" xfId="1374" xr:uid="{00000000-0005-0000-0000-0000AC1C0000}"/>
    <cellStyle name="Normal 8 2 3 2 4 2" xfId="3604" xr:uid="{00000000-0005-0000-0000-0000AD1C0000}"/>
    <cellStyle name="Normal 8 2 3 2 4 2 2" xfId="7828" xr:uid="{00000000-0005-0000-0000-0000AE1C0000}"/>
    <cellStyle name="Normal 8 2 3 2 4 2 3" xfId="12492" xr:uid="{258A27DF-4ECC-4F77-A78B-01C23150C9C6}"/>
    <cellStyle name="Normal 8 2 3 2 4 3" xfId="5683" xr:uid="{00000000-0005-0000-0000-0000AF1C0000}"/>
    <cellStyle name="Normal 8 2 3 2 4 4" xfId="10347" xr:uid="{79125E10-5EFC-4A92-B1C3-61F12E6C9CB1}"/>
    <cellStyle name="Normal 8 2 3 2 5" xfId="1787" xr:uid="{00000000-0005-0000-0000-0000B01C0000}"/>
    <cellStyle name="Normal 8 2 3 2 5 2" xfId="4017" xr:uid="{00000000-0005-0000-0000-0000B11C0000}"/>
    <cellStyle name="Normal 8 2 3 2 5 2 2" xfId="8241" xr:uid="{00000000-0005-0000-0000-0000B21C0000}"/>
    <cellStyle name="Normal 8 2 3 2 5 2 3" xfId="12905" xr:uid="{A559662E-BF24-4F07-98B1-9F8145B174AC}"/>
    <cellStyle name="Normal 8 2 3 2 5 3" xfId="6096" xr:uid="{00000000-0005-0000-0000-0000B31C0000}"/>
    <cellStyle name="Normal 8 2 3 2 5 4" xfId="10760" xr:uid="{3CF51FB3-3FCC-4357-B66B-9D22E4A2C480}"/>
    <cellStyle name="Normal 8 2 3 2 6" xfId="2201" xr:uid="{00000000-0005-0000-0000-0000B41C0000}"/>
    <cellStyle name="Normal 8 2 3 2 6 2" xfId="4430" xr:uid="{00000000-0005-0000-0000-0000B51C0000}"/>
    <cellStyle name="Normal 8 2 3 2 6 2 2" xfId="8654" xr:uid="{00000000-0005-0000-0000-0000B61C0000}"/>
    <cellStyle name="Normal 8 2 3 2 6 2 3" xfId="13318" xr:uid="{25E83EA6-FDAE-4B20-9AFD-57AD2101E136}"/>
    <cellStyle name="Normal 8 2 3 2 6 3" xfId="6509" xr:uid="{00000000-0005-0000-0000-0000B71C0000}"/>
    <cellStyle name="Normal 8 2 3 2 6 4" xfId="11173" xr:uid="{F1E709F3-E9CD-427E-B6A1-F597AD8B0D08}"/>
    <cellStyle name="Normal 8 2 3 2 7" xfId="2637" xr:uid="{00000000-0005-0000-0000-0000B81C0000}"/>
    <cellStyle name="Normal 8 2 3 2 7 2" xfId="6922" xr:uid="{00000000-0005-0000-0000-0000B91C0000}"/>
    <cellStyle name="Normal 8 2 3 2 7 3" xfId="11586" xr:uid="{369A690E-5AB4-43DD-9854-3E4BEC380A19}"/>
    <cellStyle name="Normal 8 2 3 2 8" xfId="4857" xr:uid="{00000000-0005-0000-0000-0000BA1C0000}"/>
    <cellStyle name="Normal 8 2 3 2 8 2" xfId="9517" xr:uid="{6B141201-45B6-48C9-9111-626122E0EC73}"/>
    <cellStyle name="Normal 8 2 3 2 9" xfId="9067" xr:uid="{A0EE65BA-5235-4BC5-AB3C-6812670F99FD}"/>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3" xfId="12081" xr:uid="{51F45FFA-C5EC-4FEC-90E8-99CD22745FD2}"/>
    <cellStyle name="Normal 8 2 3 3 2 3" xfId="5272" xr:uid="{00000000-0005-0000-0000-0000BF1C0000}"/>
    <cellStyle name="Normal 8 2 3 3 2 4" xfId="9935" xr:uid="{272B5954-273F-44CD-8179-C820B3ED3FE8}"/>
    <cellStyle name="Normal 8 2 3 3 3" xfId="1376" xr:uid="{00000000-0005-0000-0000-0000C01C0000}"/>
    <cellStyle name="Normal 8 2 3 3 3 2" xfId="3606" xr:uid="{00000000-0005-0000-0000-0000C11C0000}"/>
    <cellStyle name="Normal 8 2 3 3 3 2 2" xfId="7830" xr:uid="{00000000-0005-0000-0000-0000C21C0000}"/>
    <cellStyle name="Normal 8 2 3 3 3 2 3" xfId="12494" xr:uid="{9A84B208-1B04-45CC-9859-A388CBBEC32A}"/>
    <cellStyle name="Normal 8 2 3 3 3 3" xfId="5685" xr:uid="{00000000-0005-0000-0000-0000C31C0000}"/>
    <cellStyle name="Normal 8 2 3 3 3 4" xfId="10349" xr:uid="{BF5C2FE5-3A21-4D59-9147-76E397AA9B9A}"/>
    <cellStyle name="Normal 8 2 3 3 4" xfId="1789" xr:uid="{00000000-0005-0000-0000-0000C41C0000}"/>
    <cellStyle name="Normal 8 2 3 3 4 2" xfId="4019" xr:uid="{00000000-0005-0000-0000-0000C51C0000}"/>
    <cellStyle name="Normal 8 2 3 3 4 2 2" xfId="8243" xr:uid="{00000000-0005-0000-0000-0000C61C0000}"/>
    <cellStyle name="Normal 8 2 3 3 4 2 3" xfId="12907" xr:uid="{3D652E72-4F3E-438F-AF9F-F14A60C8A8EF}"/>
    <cellStyle name="Normal 8 2 3 3 4 3" xfId="6098" xr:uid="{00000000-0005-0000-0000-0000C71C0000}"/>
    <cellStyle name="Normal 8 2 3 3 4 4" xfId="10762" xr:uid="{5D60D5BA-AFC9-48F4-B932-D6E42A828090}"/>
    <cellStyle name="Normal 8 2 3 3 5" xfId="2203" xr:uid="{00000000-0005-0000-0000-0000C81C0000}"/>
    <cellStyle name="Normal 8 2 3 3 5 2" xfId="4432" xr:uid="{00000000-0005-0000-0000-0000C91C0000}"/>
    <cellStyle name="Normal 8 2 3 3 5 2 2" xfId="8656" xr:uid="{00000000-0005-0000-0000-0000CA1C0000}"/>
    <cellStyle name="Normal 8 2 3 3 5 2 3" xfId="13320" xr:uid="{575B56F4-30A1-4C3B-9D99-955B6003B2B6}"/>
    <cellStyle name="Normal 8 2 3 3 5 3" xfId="6511" xr:uid="{00000000-0005-0000-0000-0000CB1C0000}"/>
    <cellStyle name="Normal 8 2 3 3 5 4" xfId="11175" xr:uid="{98968205-5D87-46FD-B5B9-086D4958A432}"/>
    <cellStyle name="Normal 8 2 3 3 6" xfId="2639" xr:uid="{00000000-0005-0000-0000-0000CC1C0000}"/>
    <cellStyle name="Normal 8 2 3 3 6 2" xfId="6924" xr:uid="{00000000-0005-0000-0000-0000CD1C0000}"/>
    <cellStyle name="Normal 8 2 3 3 6 3" xfId="11588" xr:uid="{562F0796-7B94-46A3-8C4C-F79AA6253972}"/>
    <cellStyle name="Normal 8 2 3 3 7" xfId="4859" xr:uid="{00000000-0005-0000-0000-0000CE1C0000}"/>
    <cellStyle name="Normal 8 2 3 3 7 2" xfId="9519" xr:uid="{5D1709AE-2BD0-41BB-947B-7FB7C1D3FCAF}"/>
    <cellStyle name="Normal 8 2 3 3 8" xfId="9069" xr:uid="{5A93CD2B-AA26-4D53-976C-20C4CBB6E7BA}"/>
    <cellStyle name="Normal 8 2 3 4" xfId="956" xr:uid="{00000000-0005-0000-0000-0000CF1C0000}"/>
    <cellStyle name="Normal 8 2 3 4 2" xfId="3190" xr:uid="{00000000-0005-0000-0000-0000D01C0000}"/>
    <cellStyle name="Normal 8 2 3 4 2 2" xfId="7414" xr:uid="{00000000-0005-0000-0000-0000D11C0000}"/>
    <cellStyle name="Normal 8 2 3 4 2 3" xfId="12078" xr:uid="{F17D01B8-92B5-42D8-88C2-ED9A2FE2C08D}"/>
    <cellStyle name="Normal 8 2 3 4 3" xfId="5269" xr:uid="{00000000-0005-0000-0000-0000D21C0000}"/>
    <cellStyle name="Normal 8 2 3 4 4" xfId="9932" xr:uid="{0D907332-F04A-46D6-99A5-F109B29C8DBE}"/>
    <cellStyle name="Normal 8 2 3 5" xfId="1373" xr:uid="{00000000-0005-0000-0000-0000D31C0000}"/>
    <cellStyle name="Normal 8 2 3 5 2" xfId="3603" xr:uid="{00000000-0005-0000-0000-0000D41C0000}"/>
    <cellStyle name="Normal 8 2 3 5 2 2" xfId="7827" xr:uid="{00000000-0005-0000-0000-0000D51C0000}"/>
    <cellStyle name="Normal 8 2 3 5 2 3" xfId="12491" xr:uid="{2C33F806-DCE4-48B9-8BD6-48BFBA20E29A}"/>
    <cellStyle name="Normal 8 2 3 5 3" xfId="5682" xr:uid="{00000000-0005-0000-0000-0000D61C0000}"/>
    <cellStyle name="Normal 8 2 3 5 4" xfId="10346" xr:uid="{90311009-6F95-47CF-BE65-DC6B1B94A7F7}"/>
    <cellStyle name="Normal 8 2 3 6" xfId="1786" xr:uid="{00000000-0005-0000-0000-0000D71C0000}"/>
    <cellStyle name="Normal 8 2 3 6 2" xfId="4016" xr:uid="{00000000-0005-0000-0000-0000D81C0000}"/>
    <cellStyle name="Normal 8 2 3 6 2 2" xfId="8240" xr:uid="{00000000-0005-0000-0000-0000D91C0000}"/>
    <cellStyle name="Normal 8 2 3 6 2 3" xfId="12904" xr:uid="{8789CA93-3F15-4579-8EF0-3D493E93D6D8}"/>
    <cellStyle name="Normal 8 2 3 6 3" xfId="6095" xr:uid="{00000000-0005-0000-0000-0000DA1C0000}"/>
    <cellStyle name="Normal 8 2 3 6 4" xfId="10759" xr:uid="{BB53D38C-F302-4684-9ACB-AB58520733C1}"/>
    <cellStyle name="Normal 8 2 3 7" xfId="2200" xr:uid="{00000000-0005-0000-0000-0000DB1C0000}"/>
    <cellStyle name="Normal 8 2 3 7 2" xfId="4429" xr:uid="{00000000-0005-0000-0000-0000DC1C0000}"/>
    <cellStyle name="Normal 8 2 3 7 2 2" xfId="8653" xr:uid="{00000000-0005-0000-0000-0000DD1C0000}"/>
    <cellStyle name="Normal 8 2 3 7 2 3" xfId="13317" xr:uid="{0DAC3729-6872-4CAA-BB52-09DB4D86217A}"/>
    <cellStyle name="Normal 8 2 3 7 3" xfId="6508" xr:uid="{00000000-0005-0000-0000-0000DE1C0000}"/>
    <cellStyle name="Normal 8 2 3 7 4" xfId="11172" xr:uid="{A648C778-AE29-4F34-A820-BF3CD7AE5E66}"/>
    <cellStyle name="Normal 8 2 3 8" xfId="2636" xr:uid="{00000000-0005-0000-0000-0000DF1C0000}"/>
    <cellStyle name="Normal 8 2 3 8 2" xfId="6921" xr:uid="{00000000-0005-0000-0000-0000E01C0000}"/>
    <cellStyle name="Normal 8 2 3 8 3" xfId="11585" xr:uid="{602419DA-CF09-407B-9008-1CFF53AFD301}"/>
    <cellStyle name="Normal 8 2 3 9" xfId="4856" xr:uid="{00000000-0005-0000-0000-0000E11C0000}"/>
    <cellStyle name="Normal 8 2 3 9 2" xfId="9516" xr:uid="{599FC433-9B43-4CE3-97E8-0DCE6A9E26CA}"/>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3" xfId="12083" xr:uid="{3F06FD3C-A556-48CD-BE4D-48BB870EFFAF}"/>
    <cellStyle name="Normal 8 2 4 2 2 3" xfId="5274" xr:uid="{00000000-0005-0000-0000-0000E71C0000}"/>
    <cellStyle name="Normal 8 2 4 2 2 4" xfId="9937" xr:uid="{38B2A895-9F28-4C90-AAF9-92D000DAE83C}"/>
    <cellStyle name="Normal 8 2 4 2 3" xfId="1378" xr:uid="{00000000-0005-0000-0000-0000E81C0000}"/>
    <cellStyle name="Normal 8 2 4 2 3 2" xfId="3608" xr:uid="{00000000-0005-0000-0000-0000E91C0000}"/>
    <cellStyle name="Normal 8 2 4 2 3 2 2" xfId="7832" xr:uid="{00000000-0005-0000-0000-0000EA1C0000}"/>
    <cellStyle name="Normal 8 2 4 2 3 2 3" xfId="12496" xr:uid="{BD8AD25D-8249-4E27-8332-AAF328D9635B}"/>
    <cellStyle name="Normal 8 2 4 2 3 3" xfId="5687" xr:uid="{00000000-0005-0000-0000-0000EB1C0000}"/>
    <cellStyle name="Normal 8 2 4 2 3 4" xfId="10351" xr:uid="{13813B51-F6BD-440B-868E-8D8DCDB59127}"/>
    <cellStyle name="Normal 8 2 4 2 4" xfId="1791" xr:uid="{00000000-0005-0000-0000-0000EC1C0000}"/>
    <cellStyle name="Normal 8 2 4 2 4 2" xfId="4021" xr:uid="{00000000-0005-0000-0000-0000ED1C0000}"/>
    <cellStyle name="Normal 8 2 4 2 4 2 2" xfId="8245" xr:uid="{00000000-0005-0000-0000-0000EE1C0000}"/>
    <cellStyle name="Normal 8 2 4 2 4 2 3" xfId="12909" xr:uid="{8C2F37C1-48CF-4F7F-B101-2BFCA03D6915}"/>
    <cellStyle name="Normal 8 2 4 2 4 3" xfId="6100" xr:uid="{00000000-0005-0000-0000-0000EF1C0000}"/>
    <cellStyle name="Normal 8 2 4 2 4 4" xfId="10764" xr:uid="{62D6124B-9130-4097-85F3-EE980B8153A0}"/>
    <cellStyle name="Normal 8 2 4 2 5" xfId="2205" xr:uid="{00000000-0005-0000-0000-0000F01C0000}"/>
    <cellStyle name="Normal 8 2 4 2 5 2" xfId="4434" xr:uid="{00000000-0005-0000-0000-0000F11C0000}"/>
    <cellStyle name="Normal 8 2 4 2 5 2 2" xfId="8658" xr:uid="{00000000-0005-0000-0000-0000F21C0000}"/>
    <cellStyle name="Normal 8 2 4 2 5 2 3" xfId="13322" xr:uid="{94BC3DB7-4FBD-49BC-AD37-536E9058C057}"/>
    <cellStyle name="Normal 8 2 4 2 5 3" xfId="6513" xr:uid="{00000000-0005-0000-0000-0000F31C0000}"/>
    <cellStyle name="Normal 8 2 4 2 5 4" xfId="11177" xr:uid="{7C61FF67-9AC2-47CC-8B1F-53A9F8C8994C}"/>
    <cellStyle name="Normal 8 2 4 2 6" xfId="2641" xr:uid="{00000000-0005-0000-0000-0000F41C0000}"/>
    <cellStyle name="Normal 8 2 4 2 6 2" xfId="6926" xr:uid="{00000000-0005-0000-0000-0000F51C0000}"/>
    <cellStyle name="Normal 8 2 4 2 6 3" xfId="11590" xr:uid="{E1FDDB14-F295-4773-906E-C1C2D8388314}"/>
    <cellStyle name="Normal 8 2 4 2 7" xfId="4861" xr:uid="{00000000-0005-0000-0000-0000F61C0000}"/>
    <cellStyle name="Normal 8 2 4 2 7 2" xfId="9521" xr:uid="{214E20F1-2F75-4525-964C-3E0E8FB0B24C}"/>
    <cellStyle name="Normal 8 2 4 2 8" xfId="9071" xr:uid="{19A0D37D-449D-4A15-9367-BA67FFE6D16F}"/>
    <cellStyle name="Normal 8 2 4 3" xfId="960" xr:uid="{00000000-0005-0000-0000-0000F71C0000}"/>
    <cellStyle name="Normal 8 2 4 3 2" xfId="3194" xr:uid="{00000000-0005-0000-0000-0000F81C0000}"/>
    <cellStyle name="Normal 8 2 4 3 2 2" xfId="7418" xr:uid="{00000000-0005-0000-0000-0000F91C0000}"/>
    <cellStyle name="Normal 8 2 4 3 2 3" xfId="12082" xr:uid="{A8DCA98D-4CFC-4532-8184-DB65D0D0255C}"/>
    <cellStyle name="Normal 8 2 4 3 3" xfId="5273" xr:uid="{00000000-0005-0000-0000-0000FA1C0000}"/>
    <cellStyle name="Normal 8 2 4 3 4" xfId="9936" xr:uid="{DCA3A818-D267-4730-82DD-89D173BB1E6F}"/>
    <cellStyle name="Normal 8 2 4 4" xfId="1377" xr:uid="{00000000-0005-0000-0000-0000FB1C0000}"/>
    <cellStyle name="Normal 8 2 4 4 2" xfId="3607" xr:uid="{00000000-0005-0000-0000-0000FC1C0000}"/>
    <cellStyle name="Normal 8 2 4 4 2 2" xfId="7831" xr:uid="{00000000-0005-0000-0000-0000FD1C0000}"/>
    <cellStyle name="Normal 8 2 4 4 2 3" xfId="12495" xr:uid="{D4187F6D-441C-446A-9FE4-8C3A930D256E}"/>
    <cellStyle name="Normal 8 2 4 4 3" xfId="5686" xr:uid="{00000000-0005-0000-0000-0000FE1C0000}"/>
    <cellStyle name="Normal 8 2 4 4 4" xfId="10350" xr:uid="{643C0F9E-F99C-4B54-9713-D12410A44C6B}"/>
    <cellStyle name="Normal 8 2 4 5" xfId="1790" xr:uid="{00000000-0005-0000-0000-0000FF1C0000}"/>
    <cellStyle name="Normal 8 2 4 5 2" xfId="4020" xr:uid="{00000000-0005-0000-0000-0000001D0000}"/>
    <cellStyle name="Normal 8 2 4 5 2 2" xfId="8244" xr:uid="{00000000-0005-0000-0000-0000011D0000}"/>
    <cellStyle name="Normal 8 2 4 5 2 3" xfId="12908" xr:uid="{EF200936-0F75-4353-AD15-9AF8427C538F}"/>
    <cellStyle name="Normal 8 2 4 5 3" xfId="6099" xr:uid="{00000000-0005-0000-0000-0000021D0000}"/>
    <cellStyle name="Normal 8 2 4 5 4" xfId="10763" xr:uid="{2C0EFCA3-5A81-40C6-8E27-9B9CB72D7941}"/>
    <cellStyle name="Normal 8 2 4 6" xfId="2204" xr:uid="{00000000-0005-0000-0000-0000031D0000}"/>
    <cellStyle name="Normal 8 2 4 6 2" xfId="4433" xr:uid="{00000000-0005-0000-0000-0000041D0000}"/>
    <cellStyle name="Normal 8 2 4 6 2 2" xfId="8657" xr:uid="{00000000-0005-0000-0000-0000051D0000}"/>
    <cellStyle name="Normal 8 2 4 6 2 3" xfId="13321" xr:uid="{EFEFEB16-D4E1-4009-B8E1-EC13B8A04DA0}"/>
    <cellStyle name="Normal 8 2 4 6 3" xfId="6512" xr:uid="{00000000-0005-0000-0000-0000061D0000}"/>
    <cellStyle name="Normal 8 2 4 6 4" xfId="11176" xr:uid="{53F26B8A-4279-4EF7-8B28-8333A14402F0}"/>
    <cellStyle name="Normal 8 2 4 7" xfId="2640" xr:uid="{00000000-0005-0000-0000-0000071D0000}"/>
    <cellStyle name="Normal 8 2 4 7 2" xfId="6925" xr:uid="{00000000-0005-0000-0000-0000081D0000}"/>
    <cellStyle name="Normal 8 2 4 7 3" xfId="11589" xr:uid="{E18F2003-4807-4D70-8192-AAF9A74263FD}"/>
    <cellStyle name="Normal 8 2 4 8" xfId="4860" xr:uid="{00000000-0005-0000-0000-0000091D0000}"/>
    <cellStyle name="Normal 8 2 4 8 2" xfId="9520" xr:uid="{5B433610-DF94-4D76-B188-33A834306E01}"/>
    <cellStyle name="Normal 8 2 4 9" xfId="9070" xr:uid="{B11920D8-3469-4341-8038-D3B8D8D2731A}"/>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3" xfId="12084" xr:uid="{F229F6A0-06D5-44DA-9789-6B7538C9D7E6}"/>
    <cellStyle name="Normal 8 2 5 2 3" xfId="5275" xr:uid="{00000000-0005-0000-0000-00000E1D0000}"/>
    <cellStyle name="Normal 8 2 5 2 4" xfId="9938" xr:uid="{E1168110-01D1-4ECC-8803-48F409AC86EB}"/>
    <cellStyle name="Normal 8 2 5 3" xfId="1379" xr:uid="{00000000-0005-0000-0000-00000F1D0000}"/>
    <cellStyle name="Normal 8 2 5 3 2" xfId="3609" xr:uid="{00000000-0005-0000-0000-0000101D0000}"/>
    <cellStyle name="Normal 8 2 5 3 2 2" xfId="7833" xr:uid="{00000000-0005-0000-0000-0000111D0000}"/>
    <cellStyle name="Normal 8 2 5 3 2 3" xfId="12497" xr:uid="{0E6F4F3C-F4B7-4CC1-B4ED-F61DC33EC0F5}"/>
    <cellStyle name="Normal 8 2 5 3 3" xfId="5688" xr:uid="{00000000-0005-0000-0000-0000121D0000}"/>
    <cellStyle name="Normal 8 2 5 3 4" xfId="10352" xr:uid="{AB505533-0CC7-4B15-8A5B-1977726F9D39}"/>
    <cellStyle name="Normal 8 2 5 4" xfId="1792" xr:uid="{00000000-0005-0000-0000-0000131D0000}"/>
    <cellStyle name="Normal 8 2 5 4 2" xfId="4022" xr:uid="{00000000-0005-0000-0000-0000141D0000}"/>
    <cellStyle name="Normal 8 2 5 4 2 2" xfId="8246" xr:uid="{00000000-0005-0000-0000-0000151D0000}"/>
    <cellStyle name="Normal 8 2 5 4 2 3" xfId="12910" xr:uid="{00FABCF2-1147-4675-BEBD-8CF4CF06818E}"/>
    <cellStyle name="Normal 8 2 5 4 3" xfId="6101" xr:uid="{00000000-0005-0000-0000-0000161D0000}"/>
    <cellStyle name="Normal 8 2 5 4 4" xfId="10765" xr:uid="{995EC024-F2F2-4A4E-893A-C54B6243018A}"/>
    <cellStyle name="Normal 8 2 5 5" xfId="2206" xr:uid="{00000000-0005-0000-0000-0000171D0000}"/>
    <cellStyle name="Normal 8 2 5 5 2" xfId="4435" xr:uid="{00000000-0005-0000-0000-0000181D0000}"/>
    <cellStyle name="Normal 8 2 5 5 2 2" xfId="8659" xr:uid="{00000000-0005-0000-0000-0000191D0000}"/>
    <cellStyle name="Normal 8 2 5 5 2 3" xfId="13323" xr:uid="{A44207FE-8684-4086-BFC0-BD6F91EC59A0}"/>
    <cellStyle name="Normal 8 2 5 5 3" xfId="6514" xr:uid="{00000000-0005-0000-0000-00001A1D0000}"/>
    <cellStyle name="Normal 8 2 5 5 4" xfId="11178" xr:uid="{41463898-AC9D-4395-BAD1-081ABEBDEEF2}"/>
    <cellStyle name="Normal 8 2 5 6" xfId="2642" xr:uid="{00000000-0005-0000-0000-00001B1D0000}"/>
    <cellStyle name="Normal 8 2 5 6 2" xfId="6927" xr:uid="{00000000-0005-0000-0000-00001C1D0000}"/>
    <cellStyle name="Normal 8 2 5 6 3" xfId="11591" xr:uid="{CFA9425E-4472-4A3C-A2EE-5FCD47DEC436}"/>
    <cellStyle name="Normal 8 2 5 7" xfId="4862" xr:uid="{00000000-0005-0000-0000-00001D1D0000}"/>
    <cellStyle name="Normal 8 2 5 7 2" xfId="9522" xr:uid="{721A4148-F7B5-4914-963F-F90CB93DECCA}"/>
    <cellStyle name="Normal 8 2 5 8" xfId="9072" xr:uid="{4C866716-6817-4508-AA61-53E1857EDA67}"/>
    <cellStyle name="Normal 8 2 6" xfId="947" xr:uid="{00000000-0005-0000-0000-00001E1D0000}"/>
    <cellStyle name="Normal 8 2 6 2" xfId="3181" xr:uid="{00000000-0005-0000-0000-00001F1D0000}"/>
    <cellStyle name="Normal 8 2 6 2 2" xfId="7405" xr:uid="{00000000-0005-0000-0000-0000201D0000}"/>
    <cellStyle name="Normal 8 2 6 2 3" xfId="12069" xr:uid="{F4C40CE4-7318-41C1-9A60-1CD8E3513997}"/>
    <cellStyle name="Normal 8 2 6 3" xfId="5260" xr:uid="{00000000-0005-0000-0000-0000211D0000}"/>
    <cellStyle name="Normal 8 2 6 4" xfId="9923" xr:uid="{C93CC4B7-A2C0-4B52-99F8-D6F6CC0320D2}"/>
    <cellStyle name="Normal 8 2 7" xfId="1364" xr:uid="{00000000-0005-0000-0000-0000221D0000}"/>
    <cellStyle name="Normal 8 2 7 2" xfId="3594" xr:uid="{00000000-0005-0000-0000-0000231D0000}"/>
    <cellStyle name="Normal 8 2 7 2 2" xfId="7818" xr:uid="{00000000-0005-0000-0000-0000241D0000}"/>
    <cellStyle name="Normal 8 2 7 2 3" xfId="12482" xr:uid="{B8FEEA82-5107-4E05-8D9B-30C9DA09B4D3}"/>
    <cellStyle name="Normal 8 2 7 3" xfId="5673" xr:uid="{00000000-0005-0000-0000-0000251D0000}"/>
    <cellStyle name="Normal 8 2 7 4" xfId="10337" xr:uid="{ACECEA12-3EC9-4171-9C71-4C08F9FE6C88}"/>
    <cellStyle name="Normal 8 2 8" xfId="1777" xr:uid="{00000000-0005-0000-0000-0000261D0000}"/>
    <cellStyle name="Normal 8 2 8 2" xfId="4007" xr:uid="{00000000-0005-0000-0000-0000271D0000}"/>
    <cellStyle name="Normal 8 2 8 2 2" xfId="8231" xr:uid="{00000000-0005-0000-0000-0000281D0000}"/>
    <cellStyle name="Normal 8 2 8 2 3" xfId="12895" xr:uid="{EDDB99B0-C29B-4036-AFC3-48C6D36FE6B7}"/>
    <cellStyle name="Normal 8 2 8 3" xfId="6086" xr:uid="{00000000-0005-0000-0000-0000291D0000}"/>
    <cellStyle name="Normal 8 2 8 4" xfId="10750" xr:uid="{C7816815-48D6-4E89-A8A8-B1A4EABDC582}"/>
    <cellStyle name="Normal 8 2 9" xfId="2191" xr:uid="{00000000-0005-0000-0000-00002A1D0000}"/>
    <cellStyle name="Normal 8 2 9 2" xfId="4420" xr:uid="{00000000-0005-0000-0000-00002B1D0000}"/>
    <cellStyle name="Normal 8 2 9 2 2" xfId="8644" xr:uid="{00000000-0005-0000-0000-00002C1D0000}"/>
    <cellStyle name="Normal 8 2 9 2 3" xfId="13308" xr:uid="{15665D95-EF68-4479-9E0D-2743466C1FF9}"/>
    <cellStyle name="Normal 8 2 9 3" xfId="6499" xr:uid="{00000000-0005-0000-0000-00002D1D0000}"/>
    <cellStyle name="Normal 8 2 9 4" xfId="11163" xr:uid="{E35CA8EA-8B5B-4DDF-883C-2A6B81DFC8DC}"/>
    <cellStyle name="Normal 8 3" xfId="495" xr:uid="{00000000-0005-0000-0000-00002E1D0000}"/>
    <cellStyle name="Normal 8 3 10" xfId="4863" xr:uid="{00000000-0005-0000-0000-00002F1D0000}"/>
    <cellStyle name="Normal 8 3 10 2" xfId="9523" xr:uid="{27102320-99FF-432C-AE95-96EB0C8E03BA}"/>
    <cellStyle name="Normal 8 3 11" xfId="9073" xr:uid="{DFFE9213-C43A-4213-B16F-BC53638CD39B}"/>
    <cellStyle name="Normal 8 3 2" xfId="496" xr:uid="{00000000-0005-0000-0000-0000301D0000}"/>
    <cellStyle name="Normal 8 3 2 10" xfId="9074" xr:uid="{92C4F1EC-702B-478A-A949-A3F5B375CA25}"/>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3" xfId="12088" xr:uid="{9845B3AE-C133-4B61-B917-1DEEA0E8832C}"/>
    <cellStyle name="Normal 8 3 2 2 2 2 3" xfId="5279" xr:uid="{00000000-0005-0000-0000-0000361D0000}"/>
    <cellStyle name="Normal 8 3 2 2 2 2 4" xfId="9942" xr:uid="{06888367-2048-461C-BAB2-A60D00EAFDF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3" xfId="12501" xr:uid="{E24A339C-517D-44F2-B116-E60EE34F97C0}"/>
    <cellStyle name="Normal 8 3 2 2 2 3 3" xfId="5692" xr:uid="{00000000-0005-0000-0000-00003A1D0000}"/>
    <cellStyle name="Normal 8 3 2 2 2 3 4" xfId="10356" xr:uid="{AB116372-9ABB-4E6C-A035-94CCE167FAF8}"/>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3" xfId="12914" xr:uid="{30C3B90A-F167-4EB2-903B-DCAAEE944C77}"/>
    <cellStyle name="Normal 8 3 2 2 2 4 3" xfId="6105" xr:uid="{00000000-0005-0000-0000-00003E1D0000}"/>
    <cellStyle name="Normal 8 3 2 2 2 4 4" xfId="10769" xr:uid="{545520D8-6113-407C-935A-0C536453526E}"/>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3" xfId="13327" xr:uid="{61EFA724-C7D6-4114-B42F-A70FD51E1380}"/>
    <cellStyle name="Normal 8 3 2 2 2 5 3" xfId="6518" xr:uid="{00000000-0005-0000-0000-0000421D0000}"/>
    <cellStyle name="Normal 8 3 2 2 2 5 4" xfId="11182" xr:uid="{7041A364-CD79-429F-A725-0FE8D3FAF2FF}"/>
    <cellStyle name="Normal 8 3 2 2 2 6" xfId="2646" xr:uid="{00000000-0005-0000-0000-0000431D0000}"/>
    <cellStyle name="Normal 8 3 2 2 2 6 2" xfId="6931" xr:uid="{00000000-0005-0000-0000-0000441D0000}"/>
    <cellStyle name="Normal 8 3 2 2 2 6 3" xfId="11595" xr:uid="{A6D0681D-0857-474F-A033-ED632B0A8FB1}"/>
    <cellStyle name="Normal 8 3 2 2 2 7" xfId="4866" xr:uid="{00000000-0005-0000-0000-0000451D0000}"/>
    <cellStyle name="Normal 8 3 2 2 2 7 2" xfId="9526" xr:uid="{ADB17650-5B9F-461D-849B-10F52ECE8B01}"/>
    <cellStyle name="Normal 8 3 2 2 2 8" xfId="9076" xr:uid="{808E4F15-69C4-4013-BC12-0E6B62C2281E}"/>
    <cellStyle name="Normal 8 3 2 2 3" xfId="965" xr:uid="{00000000-0005-0000-0000-0000461D0000}"/>
    <cellStyle name="Normal 8 3 2 2 3 2" xfId="3199" xr:uid="{00000000-0005-0000-0000-0000471D0000}"/>
    <cellStyle name="Normal 8 3 2 2 3 2 2" xfId="7423" xr:uid="{00000000-0005-0000-0000-0000481D0000}"/>
    <cellStyle name="Normal 8 3 2 2 3 2 3" xfId="12087" xr:uid="{818E0650-80EC-4096-8FB2-010E1E777C69}"/>
    <cellStyle name="Normal 8 3 2 2 3 3" xfId="5278" xr:uid="{00000000-0005-0000-0000-0000491D0000}"/>
    <cellStyle name="Normal 8 3 2 2 3 4" xfId="9941" xr:uid="{3A86201B-8733-4F85-8178-507FBF307143}"/>
    <cellStyle name="Normal 8 3 2 2 4" xfId="1382" xr:uid="{00000000-0005-0000-0000-00004A1D0000}"/>
    <cellStyle name="Normal 8 3 2 2 4 2" xfId="3612" xr:uid="{00000000-0005-0000-0000-00004B1D0000}"/>
    <cellStyle name="Normal 8 3 2 2 4 2 2" xfId="7836" xr:uid="{00000000-0005-0000-0000-00004C1D0000}"/>
    <cellStyle name="Normal 8 3 2 2 4 2 3" xfId="12500" xr:uid="{DCB3D76E-D4EF-43FA-86BD-DBC6D1E19C24}"/>
    <cellStyle name="Normal 8 3 2 2 4 3" xfId="5691" xr:uid="{00000000-0005-0000-0000-00004D1D0000}"/>
    <cellStyle name="Normal 8 3 2 2 4 4" xfId="10355" xr:uid="{A09C4BF5-954E-4ED4-BDB7-D5A61C9B5B2C}"/>
    <cellStyle name="Normal 8 3 2 2 5" xfId="1795" xr:uid="{00000000-0005-0000-0000-00004E1D0000}"/>
    <cellStyle name="Normal 8 3 2 2 5 2" xfId="4025" xr:uid="{00000000-0005-0000-0000-00004F1D0000}"/>
    <cellStyle name="Normal 8 3 2 2 5 2 2" xfId="8249" xr:uid="{00000000-0005-0000-0000-0000501D0000}"/>
    <cellStyle name="Normal 8 3 2 2 5 2 3" xfId="12913" xr:uid="{66557D96-42BD-429C-999C-80AE8A27E684}"/>
    <cellStyle name="Normal 8 3 2 2 5 3" xfId="6104" xr:uid="{00000000-0005-0000-0000-0000511D0000}"/>
    <cellStyle name="Normal 8 3 2 2 5 4" xfId="10768" xr:uid="{F84057F7-9598-46E0-8ED7-4CC147323A64}"/>
    <cellStyle name="Normal 8 3 2 2 6" xfId="2209" xr:uid="{00000000-0005-0000-0000-0000521D0000}"/>
    <cellStyle name="Normal 8 3 2 2 6 2" xfId="4438" xr:uid="{00000000-0005-0000-0000-0000531D0000}"/>
    <cellStyle name="Normal 8 3 2 2 6 2 2" xfId="8662" xr:uid="{00000000-0005-0000-0000-0000541D0000}"/>
    <cellStyle name="Normal 8 3 2 2 6 2 3" xfId="13326" xr:uid="{761BD124-3ACE-460B-82B8-D7E7E377B68A}"/>
    <cellStyle name="Normal 8 3 2 2 6 3" xfId="6517" xr:uid="{00000000-0005-0000-0000-0000551D0000}"/>
    <cellStyle name="Normal 8 3 2 2 6 4" xfId="11181" xr:uid="{4185F03A-343A-4B6A-AF48-40AF5D4DA61F}"/>
    <cellStyle name="Normal 8 3 2 2 7" xfId="2645" xr:uid="{00000000-0005-0000-0000-0000561D0000}"/>
    <cellStyle name="Normal 8 3 2 2 7 2" xfId="6930" xr:uid="{00000000-0005-0000-0000-0000571D0000}"/>
    <cellStyle name="Normal 8 3 2 2 7 3" xfId="11594" xr:uid="{9827ABF4-B791-4F3D-B9EA-9E8E09D3FFC2}"/>
    <cellStyle name="Normal 8 3 2 2 8" xfId="4865" xr:uid="{00000000-0005-0000-0000-0000581D0000}"/>
    <cellStyle name="Normal 8 3 2 2 8 2" xfId="9525" xr:uid="{5FC5BBBD-D1AB-4085-90E2-66D8FF52F7CA}"/>
    <cellStyle name="Normal 8 3 2 2 9" xfId="9075" xr:uid="{9B812C74-6756-4B63-9284-1E174AA41E17}"/>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3" xfId="12089" xr:uid="{2FE159F5-10E3-41ED-9C31-602E03D482AB}"/>
    <cellStyle name="Normal 8 3 2 3 2 3" xfId="5280" xr:uid="{00000000-0005-0000-0000-00005D1D0000}"/>
    <cellStyle name="Normal 8 3 2 3 2 4" xfId="9943" xr:uid="{BE6A63C1-93D5-4D42-A5D5-65DE80827614}"/>
    <cellStyle name="Normal 8 3 2 3 3" xfId="1384" xr:uid="{00000000-0005-0000-0000-00005E1D0000}"/>
    <cellStyle name="Normal 8 3 2 3 3 2" xfId="3614" xr:uid="{00000000-0005-0000-0000-00005F1D0000}"/>
    <cellStyle name="Normal 8 3 2 3 3 2 2" xfId="7838" xr:uid="{00000000-0005-0000-0000-0000601D0000}"/>
    <cellStyle name="Normal 8 3 2 3 3 2 3" xfId="12502" xr:uid="{47F8BBC0-DA8A-42B4-9506-6C996C217754}"/>
    <cellStyle name="Normal 8 3 2 3 3 3" xfId="5693" xr:uid="{00000000-0005-0000-0000-0000611D0000}"/>
    <cellStyle name="Normal 8 3 2 3 3 4" xfId="10357" xr:uid="{C72F62DE-4E3A-4583-A337-8EECE3D7D877}"/>
    <cellStyle name="Normal 8 3 2 3 4" xfId="1797" xr:uid="{00000000-0005-0000-0000-0000621D0000}"/>
    <cellStyle name="Normal 8 3 2 3 4 2" xfId="4027" xr:uid="{00000000-0005-0000-0000-0000631D0000}"/>
    <cellStyle name="Normal 8 3 2 3 4 2 2" xfId="8251" xr:uid="{00000000-0005-0000-0000-0000641D0000}"/>
    <cellStyle name="Normal 8 3 2 3 4 2 3" xfId="12915" xr:uid="{5F871992-15B2-433D-8B6A-D13FCAFFCE17}"/>
    <cellStyle name="Normal 8 3 2 3 4 3" xfId="6106" xr:uid="{00000000-0005-0000-0000-0000651D0000}"/>
    <cellStyle name="Normal 8 3 2 3 4 4" xfId="10770" xr:uid="{0FEC8CA9-B7C1-48E4-B584-324F87341834}"/>
    <cellStyle name="Normal 8 3 2 3 5" xfId="2211" xr:uid="{00000000-0005-0000-0000-0000661D0000}"/>
    <cellStyle name="Normal 8 3 2 3 5 2" xfId="4440" xr:uid="{00000000-0005-0000-0000-0000671D0000}"/>
    <cellStyle name="Normal 8 3 2 3 5 2 2" xfId="8664" xr:uid="{00000000-0005-0000-0000-0000681D0000}"/>
    <cellStyle name="Normal 8 3 2 3 5 2 3" xfId="13328" xr:uid="{F954118A-2323-41B8-BA60-0DACA8C8BDCE}"/>
    <cellStyle name="Normal 8 3 2 3 5 3" xfId="6519" xr:uid="{00000000-0005-0000-0000-0000691D0000}"/>
    <cellStyle name="Normal 8 3 2 3 5 4" xfId="11183" xr:uid="{AA4074DE-1109-4A16-A5F5-D7FC687CD452}"/>
    <cellStyle name="Normal 8 3 2 3 6" xfId="2647" xr:uid="{00000000-0005-0000-0000-00006A1D0000}"/>
    <cellStyle name="Normal 8 3 2 3 6 2" xfId="6932" xr:uid="{00000000-0005-0000-0000-00006B1D0000}"/>
    <cellStyle name="Normal 8 3 2 3 6 3" xfId="11596" xr:uid="{2A503CF3-C8DD-4864-9444-48A5AF41439D}"/>
    <cellStyle name="Normal 8 3 2 3 7" xfId="4867" xr:uid="{00000000-0005-0000-0000-00006C1D0000}"/>
    <cellStyle name="Normal 8 3 2 3 7 2" xfId="9527" xr:uid="{428C5804-0C88-4350-8780-F7F26CCFE095}"/>
    <cellStyle name="Normal 8 3 2 3 8" xfId="9077" xr:uid="{DA15B753-5FDA-44F2-BE9A-CEAEE2E9F81C}"/>
    <cellStyle name="Normal 8 3 2 4" xfId="964" xr:uid="{00000000-0005-0000-0000-00006D1D0000}"/>
    <cellStyle name="Normal 8 3 2 4 2" xfId="3198" xr:uid="{00000000-0005-0000-0000-00006E1D0000}"/>
    <cellStyle name="Normal 8 3 2 4 2 2" xfId="7422" xr:uid="{00000000-0005-0000-0000-00006F1D0000}"/>
    <cellStyle name="Normal 8 3 2 4 2 3" xfId="12086" xr:uid="{26F9FD01-6DB7-4353-A7D2-C686E13AE0BA}"/>
    <cellStyle name="Normal 8 3 2 4 3" xfId="5277" xr:uid="{00000000-0005-0000-0000-0000701D0000}"/>
    <cellStyle name="Normal 8 3 2 4 4" xfId="9940" xr:uid="{40357B20-A61C-48C7-A713-73DAE0C46914}"/>
    <cellStyle name="Normal 8 3 2 5" xfId="1381" xr:uid="{00000000-0005-0000-0000-0000711D0000}"/>
    <cellStyle name="Normal 8 3 2 5 2" xfId="3611" xr:uid="{00000000-0005-0000-0000-0000721D0000}"/>
    <cellStyle name="Normal 8 3 2 5 2 2" xfId="7835" xr:uid="{00000000-0005-0000-0000-0000731D0000}"/>
    <cellStyle name="Normal 8 3 2 5 2 3" xfId="12499" xr:uid="{9AAD378A-CBAE-4FF8-B784-E53D28C4CC54}"/>
    <cellStyle name="Normal 8 3 2 5 3" xfId="5690" xr:uid="{00000000-0005-0000-0000-0000741D0000}"/>
    <cellStyle name="Normal 8 3 2 5 4" xfId="10354" xr:uid="{B9A62C0C-A648-4C39-821E-1B6AC7ADF6DC}"/>
    <cellStyle name="Normal 8 3 2 6" xfId="1794" xr:uid="{00000000-0005-0000-0000-0000751D0000}"/>
    <cellStyle name="Normal 8 3 2 6 2" xfId="4024" xr:uid="{00000000-0005-0000-0000-0000761D0000}"/>
    <cellStyle name="Normal 8 3 2 6 2 2" xfId="8248" xr:uid="{00000000-0005-0000-0000-0000771D0000}"/>
    <cellStyle name="Normal 8 3 2 6 2 3" xfId="12912" xr:uid="{7FE52ACE-9358-4CB6-862E-E81222163417}"/>
    <cellStyle name="Normal 8 3 2 6 3" xfId="6103" xr:uid="{00000000-0005-0000-0000-0000781D0000}"/>
    <cellStyle name="Normal 8 3 2 6 4" xfId="10767" xr:uid="{0F184A0B-83DB-4EA9-A92C-CE393C6CD759}"/>
    <cellStyle name="Normal 8 3 2 7" xfId="2208" xr:uid="{00000000-0005-0000-0000-0000791D0000}"/>
    <cellStyle name="Normal 8 3 2 7 2" xfId="4437" xr:uid="{00000000-0005-0000-0000-00007A1D0000}"/>
    <cellStyle name="Normal 8 3 2 7 2 2" xfId="8661" xr:uid="{00000000-0005-0000-0000-00007B1D0000}"/>
    <cellStyle name="Normal 8 3 2 7 2 3" xfId="13325" xr:uid="{7D19B843-F16E-4769-A015-CD4ED69B758F}"/>
    <cellStyle name="Normal 8 3 2 7 3" xfId="6516" xr:uid="{00000000-0005-0000-0000-00007C1D0000}"/>
    <cellStyle name="Normal 8 3 2 7 4" xfId="11180" xr:uid="{E0C638BD-9FFF-4C58-8B9A-422CAE8032C5}"/>
    <cellStyle name="Normal 8 3 2 8" xfId="2644" xr:uid="{00000000-0005-0000-0000-00007D1D0000}"/>
    <cellStyle name="Normal 8 3 2 8 2" xfId="6929" xr:uid="{00000000-0005-0000-0000-00007E1D0000}"/>
    <cellStyle name="Normal 8 3 2 8 3" xfId="11593" xr:uid="{430039F8-B474-49B1-B015-538B3DAE31AC}"/>
    <cellStyle name="Normal 8 3 2 9" xfId="4864" xr:uid="{00000000-0005-0000-0000-00007F1D0000}"/>
    <cellStyle name="Normal 8 3 2 9 2" xfId="9524" xr:uid="{BFC6D78C-74DD-4438-87CD-78BF90C0A927}"/>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3" xfId="12091" xr:uid="{56EC1516-6E5B-413A-BE0A-E11EF785AE2A}"/>
    <cellStyle name="Normal 8 3 3 2 2 3" xfId="5282" xr:uid="{00000000-0005-0000-0000-0000851D0000}"/>
    <cellStyle name="Normal 8 3 3 2 2 4" xfId="9945" xr:uid="{B4F3863D-EEC2-44F1-ACB0-78D325BAACBD}"/>
    <cellStyle name="Normal 8 3 3 2 3" xfId="1386" xr:uid="{00000000-0005-0000-0000-0000861D0000}"/>
    <cellStyle name="Normal 8 3 3 2 3 2" xfId="3616" xr:uid="{00000000-0005-0000-0000-0000871D0000}"/>
    <cellStyle name="Normal 8 3 3 2 3 2 2" xfId="7840" xr:uid="{00000000-0005-0000-0000-0000881D0000}"/>
    <cellStyle name="Normal 8 3 3 2 3 2 3" xfId="12504" xr:uid="{24BADCE4-B88F-4A26-A153-09449165DD49}"/>
    <cellStyle name="Normal 8 3 3 2 3 3" xfId="5695" xr:uid="{00000000-0005-0000-0000-0000891D0000}"/>
    <cellStyle name="Normal 8 3 3 2 3 4" xfId="10359" xr:uid="{B2EA1690-95D3-480B-9AB5-5898540DFB9E}"/>
    <cellStyle name="Normal 8 3 3 2 4" xfId="1799" xr:uid="{00000000-0005-0000-0000-00008A1D0000}"/>
    <cellStyle name="Normal 8 3 3 2 4 2" xfId="4029" xr:uid="{00000000-0005-0000-0000-00008B1D0000}"/>
    <cellStyle name="Normal 8 3 3 2 4 2 2" xfId="8253" xr:uid="{00000000-0005-0000-0000-00008C1D0000}"/>
    <cellStyle name="Normal 8 3 3 2 4 2 3" xfId="12917" xr:uid="{0253005A-D95C-4A60-AD7F-934662E654D1}"/>
    <cellStyle name="Normal 8 3 3 2 4 3" xfId="6108" xr:uid="{00000000-0005-0000-0000-00008D1D0000}"/>
    <cellStyle name="Normal 8 3 3 2 4 4" xfId="10772" xr:uid="{4230684C-6FBD-433E-BEE7-AB8D1E62FB81}"/>
    <cellStyle name="Normal 8 3 3 2 5" xfId="2213" xr:uid="{00000000-0005-0000-0000-00008E1D0000}"/>
    <cellStyle name="Normal 8 3 3 2 5 2" xfId="4442" xr:uid="{00000000-0005-0000-0000-00008F1D0000}"/>
    <cellStyle name="Normal 8 3 3 2 5 2 2" xfId="8666" xr:uid="{00000000-0005-0000-0000-0000901D0000}"/>
    <cellStyle name="Normal 8 3 3 2 5 2 3" xfId="13330" xr:uid="{2631F8C4-2F7F-4F23-80A9-C9868420E7A4}"/>
    <cellStyle name="Normal 8 3 3 2 5 3" xfId="6521" xr:uid="{00000000-0005-0000-0000-0000911D0000}"/>
    <cellStyle name="Normal 8 3 3 2 5 4" xfId="11185" xr:uid="{D97647D8-DA1A-485D-B4D2-85291CBCFE2E}"/>
    <cellStyle name="Normal 8 3 3 2 6" xfId="2649" xr:uid="{00000000-0005-0000-0000-0000921D0000}"/>
    <cellStyle name="Normal 8 3 3 2 6 2" xfId="6934" xr:uid="{00000000-0005-0000-0000-0000931D0000}"/>
    <cellStyle name="Normal 8 3 3 2 6 3" xfId="11598" xr:uid="{C22CDCB8-0071-4AC5-A60C-50E00620B6C1}"/>
    <cellStyle name="Normal 8 3 3 2 7" xfId="4869" xr:uid="{00000000-0005-0000-0000-0000941D0000}"/>
    <cellStyle name="Normal 8 3 3 2 7 2" xfId="9529" xr:uid="{140E3D50-73CE-44C6-8028-2445A52CB154}"/>
    <cellStyle name="Normal 8 3 3 2 8" xfId="9079" xr:uid="{EB064EC5-E9B3-413D-88CD-2C74743CC0C7}"/>
    <cellStyle name="Normal 8 3 3 3" xfId="968" xr:uid="{00000000-0005-0000-0000-0000951D0000}"/>
    <cellStyle name="Normal 8 3 3 3 2" xfId="3202" xr:uid="{00000000-0005-0000-0000-0000961D0000}"/>
    <cellStyle name="Normal 8 3 3 3 2 2" xfId="7426" xr:uid="{00000000-0005-0000-0000-0000971D0000}"/>
    <cellStyle name="Normal 8 3 3 3 2 3" xfId="12090" xr:uid="{3B2D8883-840D-4E18-B726-0061E8CF8EE6}"/>
    <cellStyle name="Normal 8 3 3 3 3" xfId="5281" xr:uid="{00000000-0005-0000-0000-0000981D0000}"/>
    <cellStyle name="Normal 8 3 3 3 4" xfId="9944" xr:uid="{7E62BE6E-D50F-4864-B57B-EAD44A7C0498}"/>
    <cellStyle name="Normal 8 3 3 4" xfId="1385" xr:uid="{00000000-0005-0000-0000-0000991D0000}"/>
    <cellStyle name="Normal 8 3 3 4 2" xfId="3615" xr:uid="{00000000-0005-0000-0000-00009A1D0000}"/>
    <cellStyle name="Normal 8 3 3 4 2 2" xfId="7839" xr:uid="{00000000-0005-0000-0000-00009B1D0000}"/>
    <cellStyle name="Normal 8 3 3 4 2 3" xfId="12503" xr:uid="{EA83914D-7DD8-42E9-B041-B33D0A1265A1}"/>
    <cellStyle name="Normal 8 3 3 4 3" xfId="5694" xr:uid="{00000000-0005-0000-0000-00009C1D0000}"/>
    <cellStyle name="Normal 8 3 3 4 4" xfId="10358" xr:uid="{71C7BBFD-D4E0-4171-8198-1187953BB5F6}"/>
    <cellStyle name="Normal 8 3 3 5" xfId="1798" xr:uid="{00000000-0005-0000-0000-00009D1D0000}"/>
    <cellStyle name="Normal 8 3 3 5 2" xfId="4028" xr:uid="{00000000-0005-0000-0000-00009E1D0000}"/>
    <cellStyle name="Normal 8 3 3 5 2 2" xfId="8252" xr:uid="{00000000-0005-0000-0000-00009F1D0000}"/>
    <cellStyle name="Normal 8 3 3 5 2 3" xfId="12916" xr:uid="{6494648C-AA2A-4749-A733-6E65E47239EA}"/>
    <cellStyle name="Normal 8 3 3 5 3" xfId="6107" xr:uid="{00000000-0005-0000-0000-0000A01D0000}"/>
    <cellStyle name="Normal 8 3 3 5 4" xfId="10771" xr:uid="{6BD88FAB-E4AC-4D9A-97F0-A309B5E986E2}"/>
    <cellStyle name="Normal 8 3 3 6" xfId="2212" xr:uid="{00000000-0005-0000-0000-0000A11D0000}"/>
    <cellStyle name="Normal 8 3 3 6 2" xfId="4441" xr:uid="{00000000-0005-0000-0000-0000A21D0000}"/>
    <cellStyle name="Normal 8 3 3 6 2 2" xfId="8665" xr:uid="{00000000-0005-0000-0000-0000A31D0000}"/>
    <cellStyle name="Normal 8 3 3 6 2 3" xfId="13329" xr:uid="{F67EC4A9-AA75-4894-8F3D-8A44A6C9DCD1}"/>
    <cellStyle name="Normal 8 3 3 6 3" xfId="6520" xr:uid="{00000000-0005-0000-0000-0000A41D0000}"/>
    <cellStyle name="Normal 8 3 3 6 4" xfId="11184" xr:uid="{9147AF23-D45D-4C84-8C13-6C418C3746C2}"/>
    <cellStyle name="Normal 8 3 3 7" xfId="2648" xr:uid="{00000000-0005-0000-0000-0000A51D0000}"/>
    <cellStyle name="Normal 8 3 3 7 2" xfId="6933" xr:uid="{00000000-0005-0000-0000-0000A61D0000}"/>
    <cellStyle name="Normal 8 3 3 7 3" xfId="11597" xr:uid="{932BBDB4-A83E-411D-BD71-96166C653ED9}"/>
    <cellStyle name="Normal 8 3 3 8" xfId="4868" xr:uid="{00000000-0005-0000-0000-0000A71D0000}"/>
    <cellStyle name="Normal 8 3 3 8 2" xfId="9528" xr:uid="{F44162A3-CD17-442F-A1C4-45D3EA18D848}"/>
    <cellStyle name="Normal 8 3 3 9" xfId="9078" xr:uid="{4A63B478-0414-41AA-AC11-DE953960E3EE}"/>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3" xfId="12092" xr:uid="{23C2BA8D-9FAB-4FFA-A37F-42CCEB078BA2}"/>
    <cellStyle name="Normal 8 3 4 2 3" xfId="5283" xr:uid="{00000000-0005-0000-0000-0000AC1D0000}"/>
    <cellStyle name="Normal 8 3 4 2 4" xfId="9946" xr:uid="{7510C05E-01D2-4733-9F96-CDD5CA83E1F4}"/>
    <cellStyle name="Normal 8 3 4 3" xfId="1387" xr:uid="{00000000-0005-0000-0000-0000AD1D0000}"/>
    <cellStyle name="Normal 8 3 4 3 2" xfId="3617" xr:uid="{00000000-0005-0000-0000-0000AE1D0000}"/>
    <cellStyle name="Normal 8 3 4 3 2 2" xfId="7841" xr:uid="{00000000-0005-0000-0000-0000AF1D0000}"/>
    <cellStyle name="Normal 8 3 4 3 2 3" xfId="12505" xr:uid="{6FD8EB89-BC34-4384-92F3-91C172986766}"/>
    <cellStyle name="Normal 8 3 4 3 3" xfId="5696" xr:uid="{00000000-0005-0000-0000-0000B01D0000}"/>
    <cellStyle name="Normal 8 3 4 3 4" xfId="10360" xr:uid="{4728725F-8327-4CD6-AEA7-E002F543736A}"/>
    <cellStyle name="Normal 8 3 4 4" xfId="1800" xr:uid="{00000000-0005-0000-0000-0000B11D0000}"/>
    <cellStyle name="Normal 8 3 4 4 2" xfId="4030" xr:uid="{00000000-0005-0000-0000-0000B21D0000}"/>
    <cellStyle name="Normal 8 3 4 4 2 2" xfId="8254" xr:uid="{00000000-0005-0000-0000-0000B31D0000}"/>
    <cellStyle name="Normal 8 3 4 4 2 3" xfId="12918" xr:uid="{3CDB5D10-1188-4E3D-A8EC-863D37425CBD}"/>
    <cellStyle name="Normal 8 3 4 4 3" xfId="6109" xr:uid="{00000000-0005-0000-0000-0000B41D0000}"/>
    <cellStyle name="Normal 8 3 4 4 4" xfId="10773" xr:uid="{27F1D30E-FD03-40F9-AFF3-D26E695E1F5D}"/>
    <cellStyle name="Normal 8 3 4 5" xfId="2214" xr:uid="{00000000-0005-0000-0000-0000B51D0000}"/>
    <cellStyle name="Normal 8 3 4 5 2" xfId="4443" xr:uid="{00000000-0005-0000-0000-0000B61D0000}"/>
    <cellStyle name="Normal 8 3 4 5 2 2" xfId="8667" xr:uid="{00000000-0005-0000-0000-0000B71D0000}"/>
    <cellStyle name="Normal 8 3 4 5 2 3" xfId="13331" xr:uid="{4B026C75-34F4-48E2-BD8B-E49CF1908993}"/>
    <cellStyle name="Normal 8 3 4 5 3" xfId="6522" xr:uid="{00000000-0005-0000-0000-0000B81D0000}"/>
    <cellStyle name="Normal 8 3 4 5 4" xfId="11186" xr:uid="{ED516193-15DB-4CB1-B66D-2FD52FC013F1}"/>
    <cellStyle name="Normal 8 3 4 6" xfId="2650" xr:uid="{00000000-0005-0000-0000-0000B91D0000}"/>
    <cellStyle name="Normal 8 3 4 6 2" xfId="6935" xr:uid="{00000000-0005-0000-0000-0000BA1D0000}"/>
    <cellStyle name="Normal 8 3 4 6 3" xfId="11599" xr:uid="{C7D740E3-3A67-418A-BE89-9931365A68CE}"/>
    <cellStyle name="Normal 8 3 4 7" xfId="4870" xr:uid="{00000000-0005-0000-0000-0000BB1D0000}"/>
    <cellStyle name="Normal 8 3 4 7 2" xfId="9530" xr:uid="{D8113D7D-0B70-4E64-A64B-003920CDA2B0}"/>
    <cellStyle name="Normal 8 3 4 8" xfId="9080" xr:uid="{7CA64147-10DF-4C61-A1E8-C843DDD75EFC}"/>
    <cellStyle name="Normal 8 3 5" xfId="963" xr:uid="{00000000-0005-0000-0000-0000BC1D0000}"/>
    <cellStyle name="Normal 8 3 5 2" xfId="3197" xr:uid="{00000000-0005-0000-0000-0000BD1D0000}"/>
    <cellStyle name="Normal 8 3 5 2 2" xfId="7421" xr:uid="{00000000-0005-0000-0000-0000BE1D0000}"/>
    <cellStyle name="Normal 8 3 5 2 3" xfId="12085" xr:uid="{80FE6E5F-E47A-4DCC-BE9F-8384A7C84BC3}"/>
    <cellStyle name="Normal 8 3 5 3" xfId="5276" xr:uid="{00000000-0005-0000-0000-0000BF1D0000}"/>
    <cellStyle name="Normal 8 3 5 4" xfId="9939" xr:uid="{A2335633-F28B-4CD1-BD99-5018380C86BB}"/>
    <cellStyle name="Normal 8 3 6" xfId="1380" xr:uid="{00000000-0005-0000-0000-0000C01D0000}"/>
    <cellStyle name="Normal 8 3 6 2" xfId="3610" xr:uid="{00000000-0005-0000-0000-0000C11D0000}"/>
    <cellStyle name="Normal 8 3 6 2 2" xfId="7834" xr:uid="{00000000-0005-0000-0000-0000C21D0000}"/>
    <cellStyle name="Normal 8 3 6 2 3" xfId="12498" xr:uid="{8667D6D4-BCF5-4C5F-BFC6-8687A9F1706F}"/>
    <cellStyle name="Normal 8 3 6 3" xfId="5689" xr:uid="{00000000-0005-0000-0000-0000C31D0000}"/>
    <cellStyle name="Normal 8 3 6 4" xfId="10353" xr:uid="{C5C135B5-9E2F-4D46-A4CE-1B4E3685A02A}"/>
    <cellStyle name="Normal 8 3 7" xfId="1793" xr:uid="{00000000-0005-0000-0000-0000C41D0000}"/>
    <cellStyle name="Normal 8 3 7 2" xfId="4023" xr:uid="{00000000-0005-0000-0000-0000C51D0000}"/>
    <cellStyle name="Normal 8 3 7 2 2" xfId="8247" xr:uid="{00000000-0005-0000-0000-0000C61D0000}"/>
    <cellStyle name="Normal 8 3 7 2 3" xfId="12911" xr:uid="{C2A7AA37-B128-4ED2-8659-5F6C024A7E52}"/>
    <cellStyle name="Normal 8 3 7 3" xfId="6102" xr:uid="{00000000-0005-0000-0000-0000C71D0000}"/>
    <cellStyle name="Normal 8 3 7 4" xfId="10766" xr:uid="{EE6B5CD7-33E7-465F-8149-04F3BFFF38FD}"/>
    <cellStyle name="Normal 8 3 8" xfId="2207" xr:uid="{00000000-0005-0000-0000-0000C81D0000}"/>
    <cellStyle name="Normal 8 3 8 2" xfId="4436" xr:uid="{00000000-0005-0000-0000-0000C91D0000}"/>
    <cellStyle name="Normal 8 3 8 2 2" xfId="8660" xr:uid="{00000000-0005-0000-0000-0000CA1D0000}"/>
    <cellStyle name="Normal 8 3 8 2 3" xfId="13324" xr:uid="{9994BC70-433C-4374-AA9B-28AB08914DD6}"/>
    <cellStyle name="Normal 8 3 8 3" xfId="6515" xr:uid="{00000000-0005-0000-0000-0000CB1D0000}"/>
    <cellStyle name="Normal 8 3 8 4" xfId="11179" xr:uid="{D9C2EA3F-AB84-4E14-8AC3-35A9B04FE927}"/>
    <cellStyle name="Normal 8 3 9" xfId="2643" xr:uid="{00000000-0005-0000-0000-0000CC1D0000}"/>
    <cellStyle name="Normal 8 3 9 2" xfId="6928" xr:uid="{00000000-0005-0000-0000-0000CD1D0000}"/>
    <cellStyle name="Normal 8 3 9 3" xfId="11592" xr:uid="{84105BFB-270F-4053-B969-CAEA6E0123A1}"/>
    <cellStyle name="Normal 8 4" xfId="503" xr:uid="{00000000-0005-0000-0000-0000CE1D0000}"/>
    <cellStyle name="Normal 8 4 10" xfId="9081" xr:uid="{0CF03C5E-3102-433E-B92C-DAE76B65E955}"/>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3" xfId="12095" xr:uid="{E8BDDD74-5A5B-41AA-A313-4AAEAFC69008}"/>
    <cellStyle name="Normal 8 4 2 2 2 3" xfId="5286" xr:uid="{00000000-0005-0000-0000-0000D41D0000}"/>
    <cellStyle name="Normal 8 4 2 2 2 4" xfId="9949" xr:uid="{12CE14B7-7577-41B7-A42C-8704C3EBD6C1}"/>
    <cellStyle name="Normal 8 4 2 2 3" xfId="1390" xr:uid="{00000000-0005-0000-0000-0000D51D0000}"/>
    <cellStyle name="Normal 8 4 2 2 3 2" xfId="3620" xr:uid="{00000000-0005-0000-0000-0000D61D0000}"/>
    <cellStyle name="Normal 8 4 2 2 3 2 2" xfId="7844" xr:uid="{00000000-0005-0000-0000-0000D71D0000}"/>
    <cellStyle name="Normal 8 4 2 2 3 2 3" xfId="12508" xr:uid="{06CC1AEF-1253-4BEF-A32B-32B368FC055D}"/>
    <cellStyle name="Normal 8 4 2 2 3 3" xfId="5699" xr:uid="{00000000-0005-0000-0000-0000D81D0000}"/>
    <cellStyle name="Normal 8 4 2 2 3 4" xfId="10363" xr:uid="{C6A0D4EE-360D-46B5-A1FA-EF2FFDC70ED5}"/>
    <cellStyle name="Normal 8 4 2 2 4" xfId="1803" xr:uid="{00000000-0005-0000-0000-0000D91D0000}"/>
    <cellStyle name="Normal 8 4 2 2 4 2" xfId="4033" xr:uid="{00000000-0005-0000-0000-0000DA1D0000}"/>
    <cellStyle name="Normal 8 4 2 2 4 2 2" xfId="8257" xr:uid="{00000000-0005-0000-0000-0000DB1D0000}"/>
    <cellStyle name="Normal 8 4 2 2 4 2 3" xfId="12921" xr:uid="{A4CD1331-DAF6-48C5-B04B-BFE1616505EF}"/>
    <cellStyle name="Normal 8 4 2 2 4 3" xfId="6112" xr:uid="{00000000-0005-0000-0000-0000DC1D0000}"/>
    <cellStyle name="Normal 8 4 2 2 4 4" xfId="10776" xr:uid="{9CAD7E12-8D0F-480E-958B-161070703346}"/>
    <cellStyle name="Normal 8 4 2 2 5" xfId="2217" xr:uid="{00000000-0005-0000-0000-0000DD1D0000}"/>
    <cellStyle name="Normal 8 4 2 2 5 2" xfId="4446" xr:uid="{00000000-0005-0000-0000-0000DE1D0000}"/>
    <cellStyle name="Normal 8 4 2 2 5 2 2" xfId="8670" xr:uid="{00000000-0005-0000-0000-0000DF1D0000}"/>
    <cellStyle name="Normal 8 4 2 2 5 2 3" xfId="13334" xr:uid="{B5FCF9FF-B4FB-449F-B678-A741DBCA9FA2}"/>
    <cellStyle name="Normal 8 4 2 2 5 3" xfId="6525" xr:uid="{00000000-0005-0000-0000-0000E01D0000}"/>
    <cellStyle name="Normal 8 4 2 2 5 4" xfId="11189" xr:uid="{D7B18016-9B2D-4C5A-8DE9-3AB16F28ECF4}"/>
    <cellStyle name="Normal 8 4 2 2 6" xfId="2653" xr:uid="{00000000-0005-0000-0000-0000E11D0000}"/>
    <cellStyle name="Normal 8 4 2 2 6 2" xfId="6938" xr:uid="{00000000-0005-0000-0000-0000E21D0000}"/>
    <cellStyle name="Normal 8 4 2 2 6 3" xfId="11602" xr:uid="{058DD186-7EEA-45ED-ABD6-A728951DC7C1}"/>
    <cellStyle name="Normal 8 4 2 2 7" xfId="4873" xr:uid="{00000000-0005-0000-0000-0000E31D0000}"/>
    <cellStyle name="Normal 8 4 2 2 7 2" xfId="9533" xr:uid="{CC61CD5E-156F-48B0-8AD8-01F2DB3C5D9C}"/>
    <cellStyle name="Normal 8 4 2 2 8" xfId="9083" xr:uid="{EB8C00B5-C0B7-4888-8473-155D212BD7F7}"/>
    <cellStyle name="Normal 8 4 2 3" xfId="972" xr:uid="{00000000-0005-0000-0000-0000E41D0000}"/>
    <cellStyle name="Normal 8 4 2 3 2" xfId="3206" xr:uid="{00000000-0005-0000-0000-0000E51D0000}"/>
    <cellStyle name="Normal 8 4 2 3 2 2" xfId="7430" xr:uid="{00000000-0005-0000-0000-0000E61D0000}"/>
    <cellStyle name="Normal 8 4 2 3 2 3" xfId="12094" xr:uid="{42DBD1C6-8D37-489B-B119-F9514AC1F0E2}"/>
    <cellStyle name="Normal 8 4 2 3 3" xfId="5285" xr:uid="{00000000-0005-0000-0000-0000E71D0000}"/>
    <cellStyle name="Normal 8 4 2 3 4" xfId="9948" xr:uid="{4D9AC67E-0737-47CB-99EC-0EFB6F193ECD}"/>
    <cellStyle name="Normal 8 4 2 4" xfId="1389" xr:uid="{00000000-0005-0000-0000-0000E81D0000}"/>
    <cellStyle name="Normal 8 4 2 4 2" xfId="3619" xr:uid="{00000000-0005-0000-0000-0000E91D0000}"/>
    <cellStyle name="Normal 8 4 2 4 2 2" xfId="7843" xr:uid="{00000000-0005-0000-0000-0000EA1D0000}"/>
    <cellStyle name="Normal 8 4 2 4 2 3" xfId="12507" xr:uid="{BE8BDEBF-BAF4-4CAB-AD34-BA47CB801EBD}"/>
    <cellStyle name="Normal 8 4 2 4 3" xfId="5698" xr:uid="{00000000-0005-0000-0000-0000EB1D0000}"/>
    <cellStyle name="Normal 8 4 2 4 4" xfId="10362" xr:uid="{7E3B36B5-4289-4B68-9750-7496AEEAA08E}"/>
    <cellStyle name="Normal 8 4 2 5" xfId="1802" xr:uid="{00000000-0005-0000-0000-0000EC1D0000}"/>
    <cellStyle name="Normal 8 4 2 5 2" xfId="4032" xr:uid="{00000000-0005-0000-0000-0000ED1D0000}"/>
    <cellStyle name="Normal 8 4 2 5 2 2" xfId="8256" xr:uid="{00000000-0005-0000-0000-0000EE1D0000}"/>
    <cellStyle name="Normal 8 4 2 5 2 3" xfId="12920" xr:uid="{BA75A2F7-0815-4BD2-9181-C96819A11286}"/>
    <cellStyle name="Normal 8 4 2 5 3" xfId="6111" xr:uid="{00000000-0005-0000-0000-0000EF1D0000}"/>
    <cellStyle name="Normal 8 4 2 5 4" xfId="10775" xr:uid="{F8669703-F80F-456E-BCEA-D2D3C4DF9DD0}"/>
    <cellStyle name="Normal 8 4 2 6" xfId="2216" xr:uid="{00000000-0005-0000-0000-0000F01D0000}"/>
    <cellStyle name="Normal 8 4 2 6 2" xfId="4445" xr:uid="{00000000-0005-0000-0000-0000F11D0000}"/>
    <cellStyle name="Normal 8 4 2 6 2 2" xfId="8669" xr:uid="{00000000-0005-0000-0000-0000F21D0000}"/>
    <cellStyle name="Normal 8 4 2 6 2 3" xfId="13333" xr:uid="{D510C402-765A-4F6E-A11D-787F884DD90E}"/>
    <cellStyle name="Normal 8 4 2 6 3" xfId="6524" xr:uid="{00000000-0005-0000-0000-0000F31D0000}"/>
    <cellStyle name="Normal 8 4 2 6 4" xfId="11188" xr:uid="{36533A39-DE86-4F32-BC0F-FBC59F715993}"/>
    <cellStyle name="Normal 8 4 2 7" xfId="2652" xr:uid="{00000000-0005-0000-0000-0000F41D0000}"/>
    <cellStyle name="Normal 8 4 2 7 2" xfId="6937" xr:uid="{00000000-0005-0000-0000-0000F51D0000}"/>
    <cellStyle name="Normal 8 4 2 7 3" xfId="11601" xr:uid="{29F7C137-0C6F-4E13-9071-F64C92EB0976}"/>
    <cellStyle name="Normal 8 4 2 8" xfId="4872" xr:uid="{00000000-0005-0000-0000-0000F61D0000}"/>
    <cellStyle name="Normal 8 4 2 8 2" xfId="9532" xr:uid="{4F44E9EB-3C09-4254-B9CF-562953F05A5B}"/>
    <cellStyle name="Normal 8 4 2 9" xfId="9082" xr:uid="{78AA3237-392F-4E24-B92D-5202FBE6D316}"/>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3" xfId="12096" xr:uid="{56FC1FA0-A937-4A62-A4CF-4583F27E8BBD}"/>
    <cellStyle name="Normal 8 4 3 2 3" xfId="5287" xr:uid="{00000000-0005-0000-0000-0000FB1D0000}"/>
    <cellStyle name="Normal 8 4 3 2 4" xfId="9950" xr:uid="{F11BFF01-8931-40D1-BDCA-8E8336167AD6}"/>
    <cellStyle name="Normal 8 4 3 3" xfId="1391" xr:uid="{00000000-0005-0000-0000-0000FC1D0000}"/>
    <cellStyle name="Normal 8 4 3 3 2" xfId="3621" xr:uid="{00000000-0005-0000-0000-0000FD1D0000}"/>
    <cellStyle name="Normal 8 4 3 3 2 2" xfId="7845" xr:uid="{00000000-0005-0000-0000-0000FE1D0000}"/>
    <cellStyle name="Normal 8 4 3 3 2 3" xfId="12509" xr:uid="{84AFEDFA-FF80-4FF1-93B6-A9E783961D86}"/>
    <cellStyle name="Normal 8 4 3 3 3" xfId="5700" xr:uid="{00000000-0005-0000-0000-0000FF1D0000}"/>
    <cellStyle name="Normal 8 4 3 3 4" xfId="10364" xr:uid="{AB299301-9EE2-48CA-BAB9-8FB58A0EBFB4}"/>
    <cellStyle name="Normal 8 4 3 4" xfId="1804" xr:uid="{00000000-0005-0000-0000-0000001E0000}"/>
    <cellStyle name="Normal 8 4 3 4 2" xfId="4034" xr:uid="{00000000-0005-0000-0000-0000011E0000}"/>
    <cellStyle name="Normal 8 4 3 4 2 2" xfId="8258" xr:uid="{00000000-0005-0000-0000-0000021E0000}"/>
    <cellStyle name="Normal 8 4 3 4 2 3" xfId="12922" xr:uid="{96BE4F3D-4429-4DC7-B5B4-2EA03330FBA5}"/>
    <cellStyle name="Normal 8 4 3 4 3" xfId="6113" xr:uid="{00000000-0005-0000-0000-0000031E0000}"/>
    <cellStyle name="Normal 8 4 3 4 4" xfId="10777" xr:uid="{3692114A-E071-4CFB-A020-EFF43582E6C3}"/>
    <cellStyle name="Normal 8 4 3 5" xfId="2218" xr:uid="{00000000-0005-0000-0000-0000041E0000}"/>
    <cellStyle name="Normal 8 4 3 5 2" xfId="4447" xr:uid="{00000000-0005-0000-0000-0000051E0000}"/>
    <cellStyle name="Normal 8 4 3 5 2 2" xfId="8671" xr:uid="{00000000-0005-0000-0000-0000061E0000}"/>
    <cellStyle name="Normal 8 4 3 5 2 3" xfId="13335" xr:uid="{C2B6F0CC-C5EC-4104-A1D4-106B310E5AC7}"/>
    <cellStyle name="Normal 8 4 3 5 3" xfId="6526" xr:uid="{00000000-0005-0000-0000-0000071E0000}"/>
    <cellStyle name="Normal 8 4 3 5 4" xfId="11190" xr:uid="{2C5A6686-A92E-4545-842F-2048A8DD80C1}"/>
    <cellStyle name="Normal 8 4 3 6" xfId="2654" xr:uid="{00000000-0005-0000-0000-0000081E0000}"/>
    <cellStyle name="Normal 8 4 3 6 2" xfId="6939" xr:uid="{00000000-0005-0000-0000-0000091E0000}"/>
    <cellStyle name="Normal 8 4 3 6 3" xfId="11603" xr:uid="{F0A2DAE8-B9F9-42E4-8152-676E08EAEEC2}"/>
    <cellStyle name="Normal 8 4 3 7" xfId="4874" xr:uid="{00000000-0005-0000-0000-00000A1E0000}"/>
    <cellStyle name="Normal 8 4 3 7 2" xfId="9534" xr:uid="{B6EB2E99-8774-4143-882E-E97F050978D1}"/>
    <cellStyle name="Normal 8 4 3 8" xfId="9084" xr:uid="{2D478759-9E3C-4F00-84AC-0F6F690E05A2}"/>
    <cellStyle name="Normal 8 4 4" xfId="971" xr:uid="{00000000-0005-0000-0000-00000B1E0000}"/>
    <cellStyle name="Normal 8 4 4 2" xfId="3205" xr:uid="{00000000-0005-0000-0000-00000C1E0000}"/>
    <cellStyle name="Normal 8 4 4 2 2" xfId="7429" xr:uid="{00000000-0005-0000-0000-00000D1E0000}"/>
    <cellStyle name="Normal 8 4 4 2 3" xfId="12093" xr:uid="{295724D7-A44C-4B08-AE2B-5DD067E84A9B}"/>
    <cellStyle name="Normal 8 4 4 3" xfId="5284" xr:uid="{00000000-0005-0000-0000-00000E1E0000}"/>
    <cellStyle name="Normal 8 4 4 4" xfId="9947" xr:uid="{600DA1B4-DEDC-40F5-8930-B115F927AFDB}"/>
    <cellStyle name="Normal 8 4 5" xfId="1388" xr:uid="{00000000-0005-0000-0000-00000F1E0000}"/>
    <cellStyle name="Normal 8 4 5 2" xfId="3618" xr:uid="{00000000-0005-0000-0000-0000101E0000}"/>
    <cellStyle name="Normal 8 4 5 2 2" xfId="7842" xr:uid="{00000000-0005-0000-0000-0000111E0000}"/>
    <cellStyle name="Normal 8 4 5 2 3" xfId="12506" xr:uid="{CB1C6FB1-48AD-4A49-837A-941DA8747217}"/>
    <cellStyle name="Normal 8 4 5 3" xfId="5697" xr:uid="{00000000-0005-0000-0000-0000121E0000}"/>
    <cellStyle name="Normal 8 4 5 4" xfId="10361" xr:uid="{E042A85E-4791-4AB2-A7AD-74624D5E7D7C}"/>
    <cellStyle name="Normal 8 4 6" xfId="1801" xr:uid="{00000000-0005-0000-0000-0000131E0000}"/>
    <cellStyle name="Normal 8 4 6 2" xfId="4031" xr:uid="{00000000-0005-0000-0000-0000141E0000}"/>
    <cellStyle name="Normal 8 4 6 2 2" xfId="8255" xr:uid="{00000000-0005-0000-0000-0000151E0000}"/>
    <cellStyle name="Normal 8 4 6 2 3" xfId="12919" xr:uid="{AADA1C7C-AF78-42F6-B354-1FFE561DCF44}"/>
    <cellStyle name="Normal 8 4 6 3" xfId="6110" xr:uid="{00000000-0005-0000-0000-0000161E0000}"/>
    <cellStyle name="Normal 8 4 6 4" xfId="10774" xr:uid="{FC3C0503-6006-4793-B36A-81B09A4E2701}"/>
    <cellStyle name="Normal 8 4 7" xfId="2215" xr:uid="{00000000-0005-0000-0000-0000171E0000}"/>
    <cellStyle name="Normal 8 4 7 2" xfId="4444" xr:uid="{00000000-0005-0000-0000-0000181E0000}"/>
    <cellStyle name="Normal 8 4 7 2 2" xfId="8668" xr:uid="{00000000-0005-0000-0000-0000191E0000}"/>
    <cellStyle name="Normal 8 4 7 2 3" xfId="13332" xr:uid="{286CEF0E-0D9A-421F-BAE8-470F1361AF59}"/>
    <cellStyle name="Normal 8 4 7 3" xfId="6523" xr:uid="{00000000-0005-0000-0000-00001A1E0000}"/>
    <cellStyle name="Normal 8 4 7 4" xfId="11187" xr:uid="{220B5D48-F5DD-4581-A8D3-214919A5FB4C}"/>
    <cellStyle name="Normal 8 4 8" xfId="2651" xr:uid="{00000000-0005-0000-0000-00001B1E0000}"/>
    <cellStyle name="Normal 8 4 8 2" xfId="6936" xr:uid="{00000000-0005-0000-0000-00001C1E0000}"/>
    <cellStyle name="Normal 8 4 8 3" xfId="11600" xr:uid="{3B83BAA6-4DAD-400D-947B-A911831F5DEE}"/>
    <cellStyle name="Normal 8 4 9" xfId="4871" xr:uid="{00000000-0005-0000-0000-00001D1E0000}"/>
    <cellStyle name="Normal 8 4 9 2" xfId="9531" xr:uid="{B79675C2-C9B2-4886-83F7-F79C2BDCD02D}"/>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3" xfId="12098" xr:uid="{F99CBEEE-4C6B-44AE-AB4A-012E2A6C01A7}"/>
    <cellStyle name="Normal 8 5 2 2 3" xfId="5289" xr:uid="{00000000-0005-0000-0000-0000231E0000}"/>
    <cellStyle name="Normal 8 5 2 2 4" xfId="9952" xr:uid="{029F0205-4B43-4566-AC7D-419DD726BDFB}"/>
    <cellStyle name="Normal 8 5 2 3" xfId="1393" xr:uid="{00000000-0005-0000-0000-0000241E0000}"/>
    <cellStyle name="Normal 8 5 2 3 2" xfId="3623" xr:uid="{00000000-0005-0000-0000-0000251E0000}"/>
    <cellStyle name="Normal 8 5 2 3 2 2" xfId="7847" xr:uid="{00000000-0005-0000-0000-0000261E0000}"/>
    <cellStyle name="Normal 8 5 2 3 2 3" xfId="12511" xr:uid="{C27DFEBE-69A8-4473-B1ED-AADE0E3E95A2}"/>
    <cellStyle name="Normal 8 5 2 3 3" xfId="5702" xr:uid="{00000000-0005-0000-0000-0000271E0000}"/>
    <cellStyle name="Normal 8 5 2 3 4" xfId="10366" xr:uid="{3A8B0873-899E-4B9F-AA4B-F5A3E6EE230A}"/>
    <cellStyle name="Normal 8 5 2 4" xfId="1806" xr:uid="{00000000-0005-0000-0000-0000281E0000}"/>
    <cellStyle name="Normal 8 5 2 4 2" xfId="4036" xr:uid="{00000000-0005-0000-0000-0000291E0000}"/>
    <cellStyle name="Normal 8 5 2 4 2 2" xfId="8260" xr:uid="{00000000-0005-0000-0000-00002A1E0000}"/>
    <cellStyle name="Normal 8 5 2 4 2 3" xfId="12924" xr:uid="{B6359E5B-5BA4-4FAD-8089-31D58BB2D3E4}"/>
    <cellStyle name="Normal 8 5 2 4 3" xfId="6115" xr:uid="{00000000-0005-0000-0000-00002B1E0000}"/>
    <cellStyle name="Normal 8 5 2 4 4" xfId="10779" xr:uid="{CF6094EF-ABA7-47A9-9345-F4F14C7F11E7}"/>
    <cellStyle name="Normal 8 5 2 5" xfId="2220" xr:uid="{00000000-0005-0000-0000-00002C1E0000}"/>
    <cellStyle name="Normal 8 5 2 5 2" xfId="4449" xr:uid="{00000000-0005-0000-0000-00002D1E0000}"/>
    <cellStyle name="Normal 8 5 2 5 2 2" xfId="8673" xr:uid="{00000000-0005-0000-0000-00002E1E0000}"/>
    <cellStyle name="Normal 8 5 2 5 2 3" xfId="13337" xr:uid="{D932D3BA-0E1F-4778-A47A-806A5D103E9B}"/>
    <cellStyle name="Normal 8 5 2 5 3" xfId="6528" xr:uid="{00000000-0005-0000-0000-00002F1E0000}"/>
    <cellStyle name="Normal 8 5 2 5 4" xfId="11192" xr:uid="{32D949B2-3DD6-4E56-9B52-9503BF66E620}"/>
    <cellStyle name="Normal 8 5 2 6" xfId="2656" xr:uid="{00000000-0005-0000-0000-0000301E0000}"/>
    <cellStyle name="Normal 8 5 2 6 2" xfId="6941" xr:uid="{00000000-0005-0000-0000-0000311E0000}"/>
    <cellStyle name="Normal 8 5 2 6 3" xfId="11605" xr:uid="{73073DEA-B1CD-4680-950B-DD54DBAFBC36}"/>
    <cellStyle name="Normal 8 5 2 7" xfId="4876" xr:uid="{00000000-0005-0000-0000-0000321E0000}"/>
    <cellStyle name="Normal 8 5 2 7 2" xfId="9536" xr:uid="{F09109FD-71C9-4D9F-A23F-E47D2B2DAB99}"/>
    <cellStyle name="Normal 8 5 2 8" xfId="9086" xr:uid="{3BDB0530-B70B-4962-8C62-C60A406DDB2B}"/>
    <cellStyle name="Normal 8 5 3" xfId="975" xr:uid="{00000000-0005-0000-0000-0000331E0000}"/>
    <cellStyle name="Normal 8 5 3 2" xfId="3209" xr:uid="{00000000-0005-0000-0000-0000341E0000}"/>
    <cellStyle name="Normal 8 5 3 2 2" xfId="7433" xr:uid="{00000000-0005-0000-0000-0000351E0000}"/>
    <cellStyle name="Normal 8 5 3 2 3" xfId="12097" xr:uid="{91745731-84F8-4EFC-B4D4-7F97419EA432}"/>
    <cellStyle name="Normal 8 5 3 3" xfId="5288" xr:uid="{00000000-0005-0000-0000-0000361E0000}"/>
    <cellStyle name="Normal 8 5 3 4" xfId="9951" xr:uid="{B7867999-450B-46F1-82F8-D025824BDAD2}"/>
    <cellStyle name="Normal 8 5 4" xfId="1392" xr:uid="{00000000-0005-0000-0000-0000371E0000}"/>
    <cellStyle name="Normal 8 5 4 2" xfId="3622" xr:uid="{00000000-0005-0000-0000-0000381E0000}"/>
    <cellStyle name="Normal 8 5 4 2 2" xfId="7846" xr:uid="{00000000-0005-0000-0000-0000391E0000}"/>
    <cellStyle name="Normal 8 5 4 2 3" xfId="12510" xr:uid="{7BF8BE88-5C7D-4066-90C3-DE239BCAB718}"/>
    <cellStyle name="Normal 8 5 4 3" xfId="5701" xr:uid="{00000000-0005-0000-0000-00003A1E0000}"/>
    <cellStyle name="Normal 8 5 4 4" xfId="10365" xr:uid="{69C41B81-E667-48D8-8F02-DF9628FF799B}"/>
    <cellStyle name="Normal 8 5 5" xfId="1805" xr:uid="{00000000-0005-0000-0000-00003B1E0000}"/>
    <cellStyle name="Normal 8 5 5 2" xfId="4035" xr:uid="{00000000-0005-0000-0000-00003C1E0000}"/>
    <cellStyle name="Normal 8 5 5 2 2" xfId="8259" xr:uid="{00000000-0005-0000-0000-00003D1E0000}"/>
    <cellStyle name="Normal 8 5 5 2 3" xfId="12923" xr:uid="{A33BBDE3-EB02-42C0-97BA-33C605C01AF9}"/>
    <cellStyle name="Normal 8 5 5 3" xfId="6114" xr:uid="{00000000-0005-0000-0000-00003E1E0000}"/>
    <cellStyle name="Normal 8 5 5 4" xfId="10778" xr:uid="{4CE0AC90-4BA8-48E2-A189-99698DCD9620}"/>
    <cellStyle name="Normal 8 5 6" xfId="2219" xr:uid="{00000000-0005-0000-0000-00003F1E0000}"/>
    <cellStyle name="Normal 8 5 6 2" xfId="4448" xr:uid="{00000000-0005-0000-0000-0000401E0000}"/>
    <cellStyle name="Normal 8 5 6 2 2" xfId="8672" xr:uid="{00000000-0005-0000-0000-0000411E0000}"/>
    <cellStyle name="Normal 8 5 6 2 3" xfId="13336" xr:uid="{64B73B61-5168-4975-B5D2-4EEDF8F8B4A3}"/>
    <cellStyle name="Normal 8 5 6 3" xfId="6527" xr:uid="{00000000-0005-0000-0000-0000421E0000}"/>
    <cellStyle name="Normal 8 5 6 4" xfId="11191" xr:uid="{7FDE24FD-F2DE-434D-8842-B20A48926E9E}"/>
    <cellStyle name="Normal 8 5 7" xfId="2655" xr:uid="{00000000-0005-0000-0000-0000431E0000}"/>
    <cellStyle name="Normal 8 5 7 2" xfId="6940" xr:uid="{00000000-0005-0000-0000-0000441E0000}"/>
    <cellStyle name="Normal 8 5 7 3" xfId="11604" xr:uid="{54F569CD-F674-47D5-B8F2-2BC727E1E2CB}"/>
    <cellStyle name="Normal 8 5 8" xfId="4875" xr:uid="{00000000-0005-0000-0000-0000451E0000}"/>
    <cellStyle name="Normal 8 5 8 2" xfId="9535" xr:uid="{FB391D6F-8059-4072-8E7D-2EF20FF4129D}"/>
    <cellStyle name="Normal 8 5 9" xfId="9085" xr:uid="{F15C9A9F-38F0-478E-A8E7-2295C08DD05F}"/>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3" xfId="12099" xr:uid="{E7095429-D01D-416F-8C79-B9FCCAE28482}"/>
    <cellStyle name="Normal 8 6 2 3" xfId="5290" xr:uid="{00000000-0005-0000-0000-00004A1E0000}"/>
    <cellStyle name="Normal 8 6 2 4" xfId="9953" xr:uid="{81146398-E0C2-4D2F-998B-BD395C7E8DB5}"/>
    <cellStyle name="Normal 8 6 3" xfId="1394" xr:uid="{00000000-0005-0000-0000-00004B1E0000}"/>
    <cellStyle name="Normal 8 6 3 2" xfId="3624" xr:uid="{00000000-0005-0000-0000-00004C1E0000}"/>
    <cellStyle name="Normal 8 6 3 2 2" xfId="7848" xr:uid="{00000000-0005-0000-0000-00004D1E0000}"/>
    <cellStyle name="Normal 8 6 3 2 3" xfId="12512" xr:uid="{7B370A93-D36F-4294-955F-759DAB26F353}"/>
    <cellStyle name="Normal 8 6 3 3" xfId="5703" xr:uid="{00000000-0005-0000-0000-00004E1E0000}"/>
    <cellStyle name="Normal 8 6 3 4" xfId="10367" xr:uid="{43CAE3F0-E1D7-4A27-A188-22529A36EB1D}"/>
    <cellStyle name="Normal 8 6 4" xfId="1807" xr:uid="{00000000-0005-0000-0000-00004F1E0000}"/>
    <cellStyle name="Normal 8 6 4 2" xfId="4037" xr:uid="{00000000-0005-0000-0000-0000501E0000}"/>
    <cellStyle name="Normal 8 6 4 2 2" xfId="8261" xr:uid="{00000000-0005-0000-0000-0000511E0000}"/>
    <cellStyle name="Normal 8 6 4 2 3" xfId="12925" xr:uid="{297E93C9-F46D-4D7F-AFB8-9CE799A3B450}"/>
    <cellStyle name="Normal 8 6 4 3" xfId="6116" xr:uid="{00000000-0005-0000-0000-0000521E0000}"/>
    <cellStyle name="Normal 8 6 4 4" xfId="10780" xr:uid="{454B26E4-E80D-4053-953B-A18A07B6A59F}"/>
    <cellStyle name="Normal 8 6 5" xfId="2221" xr:uid="{00000000-0005-0000-0000-0000531E0000}"/>
    <cellStyle name="Normal 8 6 5 2" xfId="4450" xr:uid="{00000000-0005-0000-0000-0000541E0000}"/>
    <cellStyle name="Normal 8 6 5 2 2" xfId="8674" xr:uid="{00000000-0005-0000-0000-0000551E0000}"/>
    <cellStyle name="Normal 8 6 5 2 3" xfId="13338" xr:uid="{3AECE7DC-80C8-4E39-81FF-7DD76931F0EF}"/>
    <cellStyle name="Normal 8 6 5 3" xfId="6529" xr:uid="{00000000-0005-0000-0000-0000561E0000}"/>
    <cellStyle name="Normal 8 6 5 4" xfId="11193" xr:uid="{FF21C196-F084-4C1F-AC00-DEC2046308E5}"/>
    <cellStyle name="Normal 8 6 6" xfId="2657" xr:uid="{00000000-0005-0000-0000-0000571E0000}"/>
    <cellStyle name="Normal 8 6 6 2" xfId="6942" xr:uid="{00000000-0005-0000-0000-0000581E0000}"/>
    <cellStyle name="Normal 8 6 6 3" xfId="11606" xr:uid="{3901D43B-A080-4BEB-87A3-A18AB1D3EB0C}"/>
    <cellStyle name="Normal 8 6 7" xfId="4877" xr:uid="{00000000-0005-0000-0000-0000591E0000}"/>
    <cellStyle name="Normal 8 6 7 2" xfId="9537" xr:uid="{969F7F98-F488-463F-A336-3CAFE0804F12}"/>
    <cellStyle name="Normal 8 6 8" xfId="9087" xr:uid="{8F938A29-FEC3-4D56-8C8D-CB8972AF581A}"/>
    <cellStyle name="Normal 8 7" xfId="946" xr:uid="{00000000-0005-0000-0000-00005A1E0000}"/>
    <cellStyle name="Normal 8 7 2" xfId="3180" xr:uid="{00000000-0005-0000-0000-00005B1E0000}"/>
    <cellStyle name="Normal 8 7 2 2" xfId="7404" xr:uid="{00000000-0005-0000-0000-00005C1E0000}"/>
    <cellStyle name="Normal 8 7 2 3" xfId="12068" xr:uid="{088BD056-90B6-410A-B596-A721DBF70919}"/>
    <cellStyle name="Normal 8 7 3" xfId="5259" xr:uid="{00000000-0005-0000-0000-00005D1E0000}"/>
    <cellStyle name="Normal 8 7 4" xfId="9922" xr:uid="{75897C7A-B633-41E8-91D1-B0D9CE0BF421}"/>
    <cellStyle name="Normal 8 8" xfId="1363" xr:uid="{00000000-0005-0000-0000-00005E1E0000}"/>
    <cellStyle name="Normal 8 8 2" xfId="3593" xr:uid="{00000000-0005-0000-0000-00005F1E0000}"/>
    <cellStyle name="Normal 8 8 2 2" xfId="7817" xr:uid="{00000000-0005-0000-0000-0000601E0000}"/>
    <cellStyle name="Normal 8 8 2 3" xfId="12481" xr:uid="{1095EDD0-744B-4493-A24A-365849140949}"/>
    <cellStyle name="Normal 8 8 3" xfId="5672" xr:uid="{00000000-0005-0000-0000-0000611E0000}"/>
    <cellStyle name="Normal 8 8 4" xfId="10336" xr:uid="{B1BADAE0-4C72-43DA-8530-CA74016162C7}"/>
    <cellStyle name="Normal 8 9" xfId="1776" xr:uid="{00000000-0005-0000-0000-0000621E0000}"/>
    <cellStyle name="Normal 8 9 2" xfId="4006" xr:uid="{00000000-0005-0000-0000-0000631E0000}"/>
    <cellStyle name="Normal 8 9 2 2" xfId="8230" xr:uid="{00000000-0005-0000-0000-0000641E0000}"/>
    <cellStyle name="Normal 8 9 2 3" xfId="12894" xr:uid="{32BDD92E-3F71-4B9F-9700-AFF9F29479C4}"/>
    <cellStyle name="Normal 8 9 3" xfId="6085" xr:uid="{00000000-0005-0000-0000-0000651E0000}"/>
    <cellStyle name="Normal 8 9 4" xfId="10749" xr:uid="{13C33FC6-D28E-482F-B9E6-F66F253401EE}"/>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3" xfId="11607" xr:uid="{018A7B1F-B180-4941-BCF5-FEB26227AEC1}"/>
    <cellStyle name="Normal 9 2 11" xfId="4878" xr:uid="{00000000-0005-0000-0000-00006A1E0000}"/>
    <cellStyle name="Normal 9 2 11 2" xfId="9539" xr:uid="{FD0F65C1-30C2-4B14-A121-6A8D02DD2736}"/>
    <cellStyle name="Normal 9 2 12" xfId="9088" xr:uid="{9077C5F6-EB70-42DE-8DB9-A7A9AEC0B66C}"/>
    <cellStyle name="Normal 9 2 2" xfId="512" xr:uid="{00000000-0005-0000-0000-00006B1E0000}"/>
    <cellStyle name="Normal 9 2 2 10" xfId="4879" xr:uid="{00000000-0005-0000-0000-00006C1E0000}"/>
    <cellStyle name="Normal 9 2 2 10 2" xfId="9540" xr:uid="{2D97F336-D53F-4E66-A71F-670EC4C1D69A}"/>
    <cellStyle name="Normal 9 2 2 11" xfId="9089" xr:uid="{817291DD-EF30-43B6-987F-9918B4DD0FCD}"/>
    <cellStyle name="Normal 9 2 2 2" xfId="513" xr:uid="{00000000-0005-0000-0000-00006D1E0000}"/>
    <cellStyle name="Normal 9 2 2 2 10" xfId="9090" xr:uid="{FA0CE168-C046-456E-9EC6-C75A94B0C921}"/>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3" xfId="12104" xr:uid="{545A41A5-5296-430D-8BD3-684AD70136D0}"/>
    <cellStyle name="Normal 9 2 2 2 2 2 2 3" xfId="5295" xr:uid="{00000000-0005-0000-0000-0000731E0000}"/>
    <cellStyle name="Normal 9 2 2 2 2 2 2 4" xfId="9958" xr:uid="{A287F728-D90F-465D-BAF9-9DC007BF65E4}"/>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3" xfId="12517" xr:uid="{E182EF65-72BB-4034-8E52-11E4990C4B0D}"/>
    <cellStyle name="Normal 9 2 2 2 2 2 3 3" xfId="5708" xr:uid="{00000000-0005-0000-0000-0000771E0000}"/>
    <cellStyle name="Normal 9 2 2 2 2 2 3 4" xfId="10372" xr:uid="{83CD31B9-7DCF-4D34-816C-9CD01C015FEC}"/>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3" xfId="12930" xr:uid="{DBE44C9E-15D5-47C8-A3C0-BD640AE42DBF}"/>
    <cellStyle name="Normal 9 2 2 2 2 2 4 3" xfId="6121" xr:uid="{00000000-0005-0000-0000-00007B1E0000}"/>
    <cellStyle name="Normal 9 2 2 2 2 2 4 4" xfId="10785" xr:uid="{7020C2D8-AC11-4A75-91F5-C972540A52D9}"/>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3" xfId="13343" xr:uid="{639AE51C-6E2A-4416-98BB-421689140679}"/>
    <cellStyle name="Normal 9 2 2 2 2 2 5 3" xfId="6534" xr:uid="{00000000-0005-0000-0000-00007F1E0000}"/>
    <cellStyle name="Normal 9 2 2 2 2 2 5 4" xfId="11198" xr:uid="{46BBB411-5ADE-4B06-9F48-28FA9F940123}"/>
    <cellStyle name="Normal 9 2 2 2 2 2 6" xfId="2662" xr:uid="{00000000-0005-0000-0000-0000801E0000}"/>
    <cellStyle name="Normal 9 2 2 2 2 2 6 2" xfId="6947" xr:uid="{00000000-0005-0000-0000-0000811E0000}"/>
    <cellStyle name="Normal 9 2 2 2 2 2 6 3" xfId="11611" xr:uid="{8CC07B57-110A-4093-AA85-9F29E59FAAAA}"/>
    <cellStyle name="Normal 9 2 2 2 2 2 7" xfId="4882" xr:uid="{00000000-0005-0000-0000-0000821E0000}"/>
    <cellStyle name="Normal 9 2 2 2 2 2 7 2" xfId="9543" xr:uid="{8B46D8BA-D788-4373-B607-CCAA2BEA814F}"/>
    <cellStyle name="Normal 9 2 2 2 2 2 8" xfId="9092" xr:uid="{8CA7545B-A72F-465D-A4C4-8FF0BE7D860F}"/>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3" xfId="12103" xr:uid="{AA08A7D0-2538-4E2B-97FF-E8C1CB85CB28}"/>
    <cellStyle name="Normal 9 2 2 2 2 3 3" xfId="5294" xr:uid="{00000000-0005-0000-0000-0000861E0000}"/>
    <cellStyle name="Normal 9 2 2 2 2 3 4" xfId="9957" xr:uid="{6255FF2B-57F6-4526-B946-FD44ED323775}"/>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3" xfId="12516" xr:uid="{49DA9B81-E8D4-4F8E-931C-57E49EA5EF43}"/>
    <cellStyle name="Normal 9 2 2 2 2 4 3" xfId="5707" xr:uid="{00000000-0005-0000-0000-00008A1E0000}"/>
    <cellStyle name="Normal 9 2 2 2 2 4 4" xfId="10371" xr:uid="{8CCE09B6-190B-4A31-9534-BD5300A5C2DF}"/>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3" xfId="12929" xr:uid="{988D5B7F-FA36-46DB-A959-5589B2D2F71A}"/>
    <cellStyle name="Normal 9 2 2 2 2 5 3" xfId="6120" xr:uid="{00000000-0005-0000-0000-00008E1E0000}"/>
    <cellStyle name="Normal 9 2 2 2 2 5 4" xfId="10784" xr:uid="{F6840132-8658-4568-ACEC-89CB7309CFD4}"/>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3" xfId="13342" xr:uid="{B8F2CF0C-C045-43A7-8E54-D697AE2EC4FA}"/>
    <cellStyle name="Normal 9 2 2 2 2 6 3" xfId="6533" xr:uid="{00000000-0005-0000-0000-0000921E0000}"/>
    <cellStyle name="Normal 9 2 2 2 2 6 4" xfId="11197" xr:uid="{18E08137-9C3B-4B2E-8BD4-841835B9B0AF}"/>
    <cellStyle name="Normal 9 2 2 2 2 7" xfId="2661" xr:uid="{00000000-0005-0000-0000-0000931E0000}"/>
    <cellStyle name="Normal 9 2 2 2 2 7 2" xfId="6946" xr:uid="{00000000-0005-0000-0000-0000941E0000}"/>
    <cellStyle name="Normal 9 2 2 2 2 7 3" xfId="11610" xr:uid="{55EC94FD-8F04-4CA5-987B-9B3085600892}"/>
    <cellStyle name="Normal 9 2 2 2 2 8" xfId="4881" xr:uid="{00000000-0005-0000-0000-0000951E0000}"/>
    <cellStyle name="Normal 9 2 2 2 2 8 2" xfId="9542" xr:uid="{EA8EBB6C-F44A-4011-AB88-49943B2E036C}"/>
    <cellStyle name="Normal 9 2 2 2 2 9" xfId="9091" xr:uid="{A75564E5-699D-4802-A070-4820DEE2D0BF}"/>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3" xfId="12105" xr:uid="{C1F37884-0117-44D9-8E1F-DEB323A32D38}"/>
    <cellStyle name="Normal 9 2 2 2 3 2 3" xfId="5296" xr:uid="{00000000-0005-0000-0000-00009A1E0000}"/>
    <cellStyle name="Normal 9 2 2 2 3 2 4" xfId="9959" xr:uid="{73BE7EA3-3D68-4DEC-889B-C54674F5629E}"/>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3" xfId="12518" xr:uid="{D362E0B6-EC72-42A9-B4AE-78923ADD19A8}"/>
    <cellStyle name="Normal 9 2 2 2 3 3 3" xfId="5709" xr:uid="{00000000-0005-0000-0000-00009E1E0000}"/>
    <cellStyle name="Normal 9 2 2 2 3 3 4" xfId="10373" xr:uid="{3C9E5401-F122-404A-A9CD-EA977715DB49}"/>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3" xfId="12931" xr:uid="{77BEAEE3-AE94-4A77-9E39-32986B97D026}"/>
    <cellStyle name="Normal 9 2 2 2 3 4 3" xfId="6122" xr:uid="{00000000-0005-0000-0000-0000A21E0000}"/>
    <cellStyle name="Normal 9 2 2 2 3 4 4" xfId="10786" xr:uid="{8F43F035-B906-43BE-A509-557F6F21F57B}"/>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3" xfId="13344" xr:uid="{A73F8D71-E426-42C9-9875-B3006AB0C5EB}"/>
    <cellStyle name="Normal 9 2 2 2 3 5 3" xfId="6535" xr:uid="{00000000-0005-0000-0000-0000A61E0000}"/>
    <cellStyle name="Normal 9 2 2 2 3 5 4" xfId="11199" xr:uid="{FE8FC696-B247-4B40-B1E1-FF625760AE3F}"/>
    <cellStyle name="Normal 9 2 2 2 3 6" xfId="2663" xr:uid="{00000000-0005-0000-0000-0000A71E0000}"/>
    <cellStyle name="Normal 9 2 2 2 3 6 2" xfId="6948" xr:uid="{00000000-0005-0000-0000-0000A81E0000}"/>
    <cellStyle name="Normal 9 2 2 2 3 6 3" xfId="11612" xr:uid="{3D0BCD1D-867C-4AF3-9F4D-0DE11806638F}"/>
    <cellStyle name="Normal 9 2 2 2 3 7" xfId="4883" xr:uid="{00000000-0005-0000-0000-0000A91E0000}"/>
    <cellStyle name="Normal 9 2 2 2 3 7 2" xfId="9544" xr:uid="{B497BC57-FD97-45DB-A2F7-E002997C69BD}"/>
    <cellStyle name="Normal 9 2 2 2 3 8" xfId="9093" xr:uid="{E3017CC2-12AA-460A-9211-F88B86B5B5C7}"/>
    <cellStyle name="Normal 9 2 2 2 4" xfId="981" xr:uid="{00000000-0005-0000-0000-0000AA1E0000}"/>
    <cellStyle name="Normal 9 2 2 2 4 2" xfId="3214" xr:uid="{00000000-0005-0000-0000-0000AB1E0000}"/>
    <cellStyle name="Normal 9 2 2 2 4 2 2" xfId="7438" xr:uid="{00000000-0005-0000-0000-0000AC1E0000}"/>
    <cellStyle name="Normal 9 2 2 2 4 2 3" xfId="12102" xr:uid="{620BA10F-28FE-4B69-8C4E-85D0AF6380D5}"/>
    <cellStyle name="Normal 9 2 2 2 4 3" xfId="5293" xr:uid="{00000000-0005-0000-0000-0000AD1E0000}"/>
    <cellStyle name="Normal 9 2 2 2 4 4" xfId="9956" xr:uid="{8D171D54-3D82-4461-835C-8A775ABA07F4}"/>
    <cellStyle name="Normal 9 2 2 2 5" xfId="1397" xr:uid="{00000000-0005-0000-0000-0000AE1E0000}"/>
    <cellStyle name="Normal 9 2 2 2 5 2" xfId="3627" xr:uid="{00000000-0005-0000-0000-0000AF1E0000}"/>
    <cellStyle name="Normal 9 2 2 2 5 2 2" xfId="7851" xr:uid="{00000000-0005-0000-0000-0000B01E0000}"/>
    <cellStyle name="Normal 9 2 2 2 5 2 3" xfId="12515" xr:uid="{D46DC2DA-3A26-4EA7-81E4-97647C551512}"/>
    <cellStyle name="Normal 9 2 2 2 5 3" xfId="5706" xr:uid="{00000000-0005-0000-0000-0000B11E0000}"/>
    <cellStyle name="Normal 9 2 2 2 5 4" xfId="10370" xr:uid="{F2BD6009-DD15-4770-946C-EF2ADF0E3CD5}"/>
    <cellStyle name="Normal 9 2 2 2 6" xfId="1810" xr:uid="{00000000-0005-0000-0000-0000B21E0000}"/>
    <cellStyle name="Normal 9 2 2 2 6 2" xfId="4040" xr:uid="{00000000-0005-0000-0000-0000B31E0000}"/>
    <cellStyle name="Normal 9 2 2 2 6 2 2" xfId="8264" xr:uid="{00000000-0005-0000-0000-0000B41E0000}"/>
    <cellStyle name="Normal 9 2 2 2 6 2 3" xfId="12928" xr:uid="{939FF50B-75EC-48F0-AA64-FBF68FDE1202}"/>
    <cellStyle name="Normal 9 2 2 2 6 3" xfId="6119" xr:uid="{00000000-0005-0000-0000-0000B51E0000}"/>
    <cellStyle name="Normal 9 2 2 2 6 4" xfId="10783" xr:uid="{CD9E53B1-6882-4EE3-A85D-329D608C3BF0}"/>
    <cellStyle name="Normal 9 2 2 2 7" xfId="2224" xr:uid="{00000000-0005-0000-0000-0000B61E0000}"/>
    <cellStyle name="Normal 9 2 2 2 7 2" xfId="4453" xr:uid="{00000000-0005-0000-0000-0000B71E0000}"/>
    <cellStyle name="Normal 9 2 2 2 7 2 2" xfId="8677" xr:uid="{00000000-0005-0000-0000-0000B81E0000}"/>
    <cellStyle name="Normal 9 2 2 2 7 2 3" xfId="13341" xr:uid="{843851F6-AF77-4AA8-8ED6-E1B7F0B6E2E8}"/>
    <cellStyle name="Normal 9 2 2 2 7 3" xfId="6532" xr:uid="{00000000-0005-0000-0000-0000B91E0000}"/>
    <cellStyle name="Normal 9 2 2 2 7 4" xfId="11196" xr:uid="{F7B77465-48F6-46D6-A0C5-B01AC05BEE25}"/>
    <cellStyle name="Normal 9 2 2 2 8" xfId="2660" xr:uid="{00000000-0005-0000-0000-0000BA1E0000}"/>
    <cellStyle name="Normal 9 2 2 2 8 2" xfId="6945" xr:uid="{00000000-0005-0000-0000-0000BB1E0000}"/>
    <cellStyle name="Normal 9 2 2 2 8 3" xfId="11609" xr:uid="{D5F6D9FF-8F8D-40D3-8A5F-E9A58A9AB2DB}"/>
    <cellStyle name="Normal 9 2 2 2 9" xfId="4880" xr:uid="{00000000-0005-0000-0000-0000BC1E0000}"/>
    <cellStyle name="Normal 9 2 2 2 9 2" xfId="9541" xr:uid="{C57A533C-10C4-473D-8A98-2E3B5D9A183B}"/>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3" xfId="12107" xr:uid="{08CBD2E2-AF66-44D4-A003-CDB8BBD7258A}"/>
    <cellStyle name="Normal 9 2 2 3 2 2 3" xfId="5298" xr:uid="{00000000-0005-0000-0000-0000C21E0000}"/>
    <cellStyle name="Normal 9 2 2 3 2 2 4" xfId="9961" xr:uid="{B0D854A3-6399-460B-A533-C76682AB80CD}"/>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3" xfId="12520" xr:uid="{5B3531F6-CFD0-4B73-BE13-97CA6476AC80}"/>
    <cellStyle name="Normal 9 2 2 3 2 3 3" xfId="5711" xr:uid="{00000000-0005-0000-0000-0000C61E0000}"/>
    <cellStyle name="Normal 9 2 2 3 2 3 4" xfId="10375" xr:uid="{5CD851A6-E5B3-4D90-A7E7-05A1BDC0A1DE}"/>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3" xfId="12933" xr:uid="{A654A4C8-F69F-4022-837A-728E809F5996}"/>
    <cellStyle name="Normal 9 2 2 3 2 4 3" xfId="6124" xr:uid="{00000000-0005-0000-0000-0000CA1E0000}"/>
    <cellStyle name="Normal 9 2 2 3 2 4 4" xfId="10788" xr:uid="{DD679D1A-2A4B-485F-9E19-AF4C70B96F7C}"/>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3" xfId="13346" xr:uid="{8881F88D-D162-46FF-BDD1-86B945A36978}"/>
    <cellStyle name="Normal 9 2 2 3 2 5 3" xfId="6537" xr:uid="{00000000-0005-0000-0000-0000CE1E0000}"/>
    <cellStyle name="Normal 9 2 2 3 2 5 4" xfId="11201" xr:uid="{57115098-00E3-4077-98FB-A7C9051C48FC}"/>
    <cellStyle name="Normal 9 2 2 3 2 6" xfId="2665" xr:uid="{00000000-0005-0000-0000-0000CF1E0000}"/>
    <cellStyle name="Normal 9 2 2 3 2 6 2" xfId="6950" xr:uid="{00000000-0005-0000-0000-0000D01E0000}"/>
    <cellStyle name="Normal 9 2 2 3 2 6 3" xfId="11614" xr:uid="{809D29E3-A495-4359-BFA9-E1EB4696E52D}"/>
    <cellStyle name="Normal 9 2 2 3 2 7" xfId="4885" xr:uid="{00000000-0005-0000-0000-0000D11E0000}"/>
    <cellStyle name="Normal 9 2 2 3 2 7 2" xfId="9546" xr:uid="{43EEE498-51E1-4235-997B-E52298F4D1BC}"/>
    <cellStyle name="Normal 9 2 2 3 2 8" xfId="9095" xr:uid="{DA253E4D-8267-48BB-98CE-F759C32F340E}"/>
    <cellStyle name="Normal 9 2 2 3 3" xfId="985" xr:uid="{00000000-0005-0000-0000-0000D21E0000}"/>
    <cellStyle name="Normal 9 2 2 3 3 2" xfId="3218" xr:uid="{00000000-0005-0000-0000-0000D31E0000}"/>
    <cellStyle name="Normal 9 2 2 3 3 2 2" xfId="7442" xr:uid="{00000000-0005-0000-0000-0000D41E0000}"/>
    <cellStyle name="Normal 9 2 2 3 3 2 3" xfId="12106" xr:uid="{F3587E50-8122-42D5-8A3D-CE8ED297D8A4}"/>
    <cellStyle name="Normal 9 2 2 3 3 3" xfId="5297" xr:uid="{00000000-0005-0000-0000-0000D51E0000}"/>
    <cellStyle name="Normal 9 2 2 3 3 4" xfId="9960" xr:uid="{82F168B6-B725-4F5E-AE1A-D5F2BF8599A3}"/>
    <cellStyle name="Normal 9 2 2 3 4" xfId="1401" xr:uid="{00000000-0005-0000-0000-0000D61E0000}"/>
    <cellStyle name="Normal 9 2 2 3 4 2" xfId="3631" xr:uid="{00000000-0005-0000-0000-0000D71E0000}"/>
    <cellStyle name="Normal 9 2 2 3 4 2 2" xfId="7855" xr:uid="{00000000-0005-0000-0000-0000D81E0000}"/>
    <cellStyle name="Normal 9 2 2 3 4 2 3" xfId="12519" xr:uid="{8550834A-183D-499C-85F9-D1258E159CE3}"/>
    <cellStyle name="Normal 9 2 2 3 4 3" xfId="5710" xr:uid="{00000000-0005-0000-0000-0000D91E0000}"/>
    <cellStyle name="Normal 9 2 2 3 4 4" xfId="10374" xr:uid="{5E634351-B1FB-4F71-9294-257E26880BA9}"/>
    <cellStyle name="Normal 9 2 2 3 5" xfId="1814" xr:uid="{00000000-0005-0000-0000-0000DA1E0000}"/>
    <cellStyle name="Normal 9 2 2 3 5 2" xfId="4044" xr:uid="{00000000-0005-0000-0000-0000DB1E0000}"/>
    <cellStyle name="Normal 9 2 2 3 5 2 2" xfId="8268" xr:uid="{00000000-0005-0000-0000-0000DC1E0000}"/>
    <cellStyle name="Normal 9 2 2 3 5 2 3" xfId="12932" xr:uid="{65F25448-8827-41A9-94D5-90F80F59E1F2}"/>
    <cellStyle name="Normal 9 2 2 3 5 3" xfId="6123" xr:uid="{00000000-0005-0000-0000-0000DD1E0000}"/>
    <cellStyle name="Normal 9 2 2 3 5 4" xfId="10787" xr:uid="{78966289-059E-44DB-AEA8-178F8F548F4F}"/>
    <cellStyle name="Normal 9 2 2 3 6" xfId="2228" xr:uid="{00000000-0005-0000-0000-0000DE1E0000}"/>
    <cellStyle name="Normal 9 2 2 3 6 2" xfId="4457" xr:uid="{00000000-0005-0000-0000-0000DF1E0000}"/>
    <cellStyle name="Normal 9 2 2 3 6 2 2" xfId="8681" xr:uid="{00000000-0005-0000-0000-0000E01E0000}"/>
    <cellStyle name="Normal 9 2 2 3 6 2 3" xfId="13345" xr:uid="{12C82618-66BD-46BC-898B-4E338CFAC819}"/>
    <cellStyle name="Normal 9 2 2 3 6 3" xfId="6536" xr:uid="{00000000-0005-0000-0000-0000E11E0000}"/>
    <cellStyle name="Normal 9 2 2 3 6 4" xfId="11200" xr:uid="{BC68374C-3ECB-4F2D-BD1A-9DFB4F5DA942}"/>
    <cellStyle name="Normal 9 2 2 3 7" xfId="2664" xr:uid="{00000000-0005-0000-0000-0000E21E0000}"/>
    <cellStyle name="Normal 9 2 2 3 7 2" xfId="6949" xr:uid="{00000000-0005-0000-0000-0000E31E0000}"/>
    <cellStyle name="Normal 9 2 2 3 7 3" xfId="11613" xr:uid="{4CFF01EB-84CD-40A9-927A-ED8A3801C74F}"/>
    <cellStyle name="Normal 9 2 2 3 8" xfId="4884" xr:uid="{00000000-0005-0000-0000-0000E41E0000}"/>
    <cellStyle name="Normal 9 2 2 3 8 2" xfId="9545" xr:uid="{587CB72C-7573-4952-B3A6-6F11ED0062FD}"/>
    <cellStyle name="Normal 9 2 2 3 9" xfId="9094" xr:uid="{FD02B6F4-7B50-4E3B-B60C-A905425928FE}"/>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3" xfId="12108" xr:uid="{FB00296C-185E-4A2C-BCB1-12589A53D975}"/>
    <cellStyle name="Normal 9 2 2 4 2 3" xfId="5299" xr:uid="{00000000-0005-0000-0000-0000E91E0000}"/>
    <cellStyle name="Normal 9 2 2 4 2 4" xfId="9962" xr:uid="{601BC8BD-588F-497F-9EE5-E01402ACEE44}"/>
    <cellStyle name="Normal 9 2 2 4 3" xfId="1403" xr:uid="{00000000-0005-0000-0000-0000EA1E0000}"/>
    <cellStyle name="Normal 9 2 2 4 3 2" xfId="3633" xr:uid="{00000000-0005-0000-0000-0000EB1E0000}"/>
    <cellStyle name="Normal 9 2 2 4 3 2 2" xfId="7857" xr:uid="{00000000-0005-0000-0000-0000EC1E0000}"/>
    <cellStyle name="Normal 9 2 2 4 3 2 3" xfId="12521" xr:uid="{1575AE9D-3B46-4E6A-BC25-56AD0774A379}"/>
    <cellStyle name="Normal 9 2 2 4 3 3" xfId="5712" xr:uid="{00000000-0005-0000-0000-0000ED1E0000}"/>
    <cellStyle name="Normal 9 2 2 4 3 4" xfId="10376" xr:uid="{ADBC8F94-635A-48D6-A950-691388D2D270}"/>
    <cellStyle name="Normal 9 2 2 4 4" xfId="1816" xr:uid="{00000000-0005-0000-0000-0000EE1E0000}"/>
    <cellStyle name="Normal 9 2 2 4 4 2" xfId="4046" xr:uid="{00000000-0005-0000-0000-0000EF1E0000}"/>
    <cellStyle name="Normal 9 2 2 4 4 2 2" xfId="8270" xr:uid="{00000000-0005-0000-0000-0000F01E0000}"/>
    <cellStyle name="Normal 9 2 2 4 4 2 3" xfId="12934" xr:uid="{46A4560D-1658-4152-97D6-C7477899FF29}"/>
    <cellStyle name="Normal 9 2 2 4 4 3" xfId="6125" xr:uid="{00000000-0005-0000-0000-0000F11E0000}"/>
    <cellStyle name="Normal 9 2 2 4 4 4" xfId="10789" xr:uid="{E8ED3EE4-28EB-44FF-88B4-219E8054BF1E}"/>
    <cellStyle name="Normal 9 2 2 4 5" xfId="2230" xr:uid="{00000000-0005-0000-0000-0000F21E0000}"/>
    <cellStyle name="Normal 9 2 2 4 5 2" xfId="4459" xr:uid="{00000000-0005-0000-0000-0000F31E0000}"/>
    <cellStyle name="Normal 9 2 2 4 5 2 2" xfId="8683" xr:uid="{00000000-0005-0000-0000-0000F41E0000}"/>
    <cellStyle name="Normal 9 2 2 4 5 2 3" xfId="13347" xr:uid="{4B738437-57E8-4921-9601-DB7AFC48B017}"/>
    <cellStyle name="Normal 9 2 2 4 5 3" xfId="6538" xr:uid="{00000000-0005-0000-0000-0000F51E0000}"/>
    <cellStyle name="Normal 9 2 2 4 5 4" xfId="11202" xr:uid="{B71D2102-8FFD-4F22-838E-107CA912CCD9}"/>
    <cellStyle name="Normal 9 2 2 4 6" xfId="2666" xr:uid="{00000000-0005-0000-0000-0000F61E0000}"/>
    <cellStyle name="Normal 9 2 2 4 6 2" xfId="6951" xr:uid="{00000000-0005-0000-0000-0000F71E0000}"/>
    <cellStyle name="Normal 9 2 2 4 6 3" xfId="11615" xr:uid="{C6E51479-A7B1-421F-AF8B-2FA59C89387B}"/>
    <cellStyle name="Normal 9 2 2 4 7" xfId="4886" xr:uid="{00000000-0005-0000-0000-0000F81E0000}"/>
    <cellStyle name="Normal 9 2 2 4 7 2" xfId="9547" xr:uid="{5EC97019-B023-4AC3-A562-A412EFD7FD42}"/>
    <cellStyle name="Normal 9 2 2 4 8" xfId="9096" xr:uid="{51D8A357-8845-4C1F-B2CE-1B6BF1AD0331}"/>
    <cellStyle name="Normal 9 2 2 5" xfId="980" xr:uid="{00000000-0005-0000-0000-0000F91E0000}"/>
    <cellStyle name="Normal 9 2 2 5 2" xfId="3213" xr:uid="{00000000-0005-0000-0000-0000FA1E0000}"/>
    <cellStyle name="Normal 9 2 2 5 2 2" xfId="7437" xr:uid="{00000000-0005-0000-0000-0000FB1E0000}"/>
    <cellStyle name="Normal 9 2 2 5 2 3" xfId="12101" xr:uid="{8FA04B2C-5F30-4B26-A5D5-9B6B7A9533D9}"/>
    <cellStyle name="Normal 9 2 2 5 3" xfId="5292" xr:uid="{00000000-0005-0000-0000-0000FC1E0000}"/>
    <cellStyle name="Normal 9 2 2 5 4" xfId="9955" xr:uid="{F6B5FD1C-D937-4DB3-B3FB-2BB5B7E7B8E8}"/>
    <cellStyle name="Normal 9 2 2 6" xfId="1396" xr:uid="{00000000-0005-0000-0000-0000FD1E0000}"/>
    <cellStyle name="Normal 9 2 2 6 2" xfId="3626" xr:uid="{00000000-0005-0000-0000-0000FE1E0000}"/>
    <cellStyle name="Normal 9 2 2 6 2 2" xfId="7850" xr:uid="{00000000-0005-0000-0000-0000FF1E0000}"/>
    <cellStyle name="Normal 9 2 2 6 2 3" xfId="12514" xr:uid="{E6605E79-71B4-43DE-9A23-7BE87BCBF4F1}"/>
    <cellStyle name="Normal 9 2 2 6 3" xfId="5705" xr:uid="{00000000-0005-0000-0000-0000001F0000}"/>
    <cellStyle name="Normal 9 2 2 6 4" xfId="10369" xr:uid="{E4C5A65F-110A-4643-ABAF-DA226116D8D8}"/>
    <cellStyle name="Normal 9 2 2 7" xfId="1809" xr:uid="{00000000-0005-0000-0000-0000011F0000}"/>
    <cellStyle name="Normal 9 2 2 7 2" xfId="4039" xr:uid="{00000000-0005-0000-0000-0000021F0000}"/>
    <cellStyle name="Normal 9 2 2 7 2 2" xfId="8263" xr:uid="{00000000-0005-0000-0000-0000031F0000}"/>
    <cellStyle name="Normal 9 2 2 7 2 3" xfId="12927" xr:uid="{B59A94FE-C8FD-43B8-9200-B9A8D4C38D93}"/>
    <cellStyle name="Normal 9 2 2 7 3" xfId="6118" xr:uid="{00000000-0005-0000-0000-0000041F0000}"/>
    <cellStyle name="Normal 9 2 2 7 4" xfId="10782" xr:uid="{62E67C30-E0BA-4122-B61B-D9B9E591C3E0}"/>
    <cellStyle name="Normal 9 2 2 8" xfId="2223" xr:uid="{00000000-0005-0000-0000-0000051F0000}"/>
    <cellStyle name="Normal 9 2 2 8 2" xfId="4452" xr:uid="{00000000-0005-0000-0000-0000061F0000}"/>
    <cellStyle name="Normal 9 2 2 8 2 2" xfId="8676" xr:uid="{00000000-0005-0000-0000-0000071F0000}"/>
    <cellStyle name="Normal 9 2 2 8 2 3" xfId="13340" xr:uid="{4E90D48C-375A-444A-A32D-47A5C5F36984}"/>
    <cellStyle name="Normal 9 2 2 8 3" xfId="6531" xr:uid="{00000000-0005-0000-0000-0000081F0000}"/>
    <cellStyle name="Normal 9 2 2 8 4" xfId="11195" xr:uid="{C4B86331-0E41-4FE6-96D2-843267FEB0D5}"/>
    <cellStyle name="Normal 9 2 2 9" xfId="2659" xr:uid="{00000000-0005-0000-0000-0000091F0000}"/>
    <cellStyle name="Normal 9 2 2 9 2" xfId="6944" xr:uid="{00000000-0005-0000-0000-00000A1F0000}"/>
    <cellStyle name="Normal 9 2 2 9 3" xfId="11608" xr:uid="{C0530E22-2FA4-41B0-A79B-8025EB4BC2CB}"/>
    <cellStyle name="Normal 9 2 3" xfId="520" xr:uid="{00000000-0005-0000-0000-00000B1F0000}"/>
    <cellStyle name="Normal 9 2 3 10" xfId="9097" xr:uid="{05B5FD3C-8216-4D23-BC9E-6882836CFEC3}"/>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3" xfId="12111" xr:uid="{EDD0DEFA-0144-485D-B252-8A50EDF71A64}"/>
    <cellStyle name="Normal 9 2 3 2 2 2 3" xfId="5302" xr:uid="{00000000-0005-0000-0000-0000111F0000}"/>
    <cellStyle name="Normal 9 2 3 2 2 2 4" xfId="9965" xr:uid="{A58AED25-9E2A-40E5-827F-B17C51E4EC07}"/>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3" xfId="12524" xr:uid="{C9069366-BAA5-47CD-85B1-CDB3916776BA}"/>
    <cellStyle name="Normal 9 2 3 2 2 3 3" xfId="5715" xr:uid="{00000000-0005-0000-0000-0000151F0000}"/>
    <cellStyle name="Normal 9 2 3 2 2 3 4" xfId="10379" xr:uid="{8E542E8B-FDC6-461C-AD43-B7BED7476544}"/>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3" xfId="12937" xr:uid="{5AA3EB71-CDAA-4D0B-849A-1C18C6308C45}"/>
    <cellStyle name="Normal 9 2 3 2 2 4 3" xfId="6128" xr:uid="{00000000-0005-0000-0000-0000191F0000}"/>
    <cellStyle name="Normal 9 2 3 2 2 4 4" xfId="10792" xr:uid="{4997E402-7E5A-4C24-9F7A-80FA979246B5}"/>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3" xfId="13350" xr:uid="{F4C435C3-8FC7-45DE-9C40-4771394D7EBD}"/>
    <cellStyle name="Normal 9 2 3 2 2 5 3" xfId="6541" xr:uid="{00000000-0005-0000-0000-00001D1F0000}"/>
    <cellStyle name="Normal 9 2 3 2 2 5 4" xfId="11205" xr:uid="{0DA3B08D-710D-49B9-806E-B78FD28AB7D3}"/>
    <cellStyle name="Normal 9 2 3 2 2 6" xfId="2669" xr:uid="{00000000-0005-0000-0000-00001E1F0000}"/>
    <cellStyle name="Normal 9 2 3 2 2 6 2" xfId="6954" xr:uid="{00000000-0005-0000-0000-00001F1F0000}"/>
    <cellStyle name="Normal 9 2 3 2 2 6 3" xfId="11618" xr:uid="{664A09FC-C594-4022-A8F2-3CA2CBC3AD1A}"/>
    <cellStyle name="Normal 9 2 3 2 2 7" xfId="4889" xr:uid="{00000000-0005-0000-0000-0000201F0000}"/>
    <cellStyle name="Normal 9 2 3 2 2 7 2" xfId="9550" xr:uid="{3F973F98-369C-4AEF-AEF2-BE25E366A21F}"/>
    <cellStyle name="Normal 9 2 3 2 2 8" xfId="9099" xr:uid="{E7F743AE-F3C1-499C-AB75-CF2BF1F7A353}"/>
    <cellStyle name="Normal 9 2 3 2 3" xfId="989" xr:uid="{00000000-0005-0000-0000-0000211F0000}"/>
    <cellStyle name="Normal 9 2 3 2 3 2" xfId="3222" xr:uid="{00000000-0005-0000-0000-0000221F0000}"/>
    <cellStyle name="Normal 9 2 3 2 3 2 2" xfId="7446" xr:uid="{00000000-0005-0000-0000-0000231F0000}"/>
    <cellStyle name="Normal 9 2 3 2 3 2 3" xfId="12110" xr:uid="{2790BB09-44E5-40EC-820A-BDADEF6B4C74}"/>
    <cellStyle name="Normal 9 2 3 2 3 3" xfId="5301" xr:uid="{00000000-0005-0000-0000-0000241F0000}"/>
    <cellStyle name="Normal 9 2 3 2 3 4" xfId="9964" xr:uid="{FB428A6D-60C8-483C-BC6F-E68F0661C394}"/>
    <cellStyle name="Normal 9 2 3 2 4" xfId="1405" xr:uid="{00000000-0005-0000-0000-0000251F0000}"/>
    <cellStyle name="Normal 9 2 3 2 4 2" xfId="3635" xr:uid="{00000000-0005-0000-0000-0000261F0000}"/>
    <cellStyle name="Normal 9 2 3 2 4 2 2" xfId="7859" xr:uid="{00000000-0005-0000-0000-0000271F0000}"/>
    <cellStyle name="Normal 9 2 3 2 4 2 3" xfId="12523" xr:uid="{7318CB97-BF07-4074-921F-28CFE6E38D6B}"/>
    <cellStyle name="Normal 9 2 3 2 4 3" xfId="5714" xr:uid="{00000000-0005-0000-0000-0000281F0000}"/>
    <cellStyle name="Normal 9 2 3 2 4 4" xfId="10378" xr:uid="{22D81B7E-A861-4034-8A7C-58B3C8023DB5}"/>
    <cellStyle name="Normal 9 2 3 2 5" xfId="1818" xr:uid="{00000000-0005-0000-0000-0000291F0000}"/>
    <cellStyle name="Normal 9 2 3 2 5 2" xfId="4048" xr:uid="{00000000-0005-0000-0000-00002A1F0000}"/>
    <cellStyle name="Normal 9 2 3 2 5 2 2" xfId="8272" xr:uid="{00000000-0005-0000-0000-00002B1F0000}"/>
    <cellStyle name="Normal 9 2 3 2 5 2 3" xfId="12936" xr:uid="{5F2E88C2-B175-4ADD-A9CA-A80F107E33E1}"/>
    <cellStyle name="Normal 9 2 3 2 5 3" xfId="6127" xr:uid="{00000000-0005-0000-0000-00002C1F0000}"/>
    <cellStyle name="Normal 9 2 3 2 5 4" xfId="10791" xr:uid="{3B6AF52C-F9D8-4E94-966C-D8792EACED6C}"/>
    <cellStyle name="Normal 9 2 3 2 6" xfId="2232" xr:uid="{00000000-0005-0000-0000-00002D1F0000}"/>
    <cellStyle name="Normal 9 2 3 2 6 2" xfId="4461" xr:uid="{00000000-0005-0000-0000-00002E1F0000}"/>
    <cellStyle name="Normal 9 2 3 2 6 2 2" xfId="8685" xr:uid="{00000000-0005-0000-0000-00002F1F0000}"/>
    <cellStyle name="Normal 9 2 3 2 6 2 3" xfId="13349" xr:uid="{E4D65CE9-FCC3-4694-9FFA-E750B35784A3}"/>
    <cellStyle name="Normal 9 2 3 2 6 3" xfId="6540" xr:uid="{00000000-0005-0000-0000-0000301F0000}"/>
    <cellStyle name="Normal 9 2 3 2 6 4" xfId="11204" xr:uid="{F4EBBA59-3396-482A-A134-6836566A351D}"/>
    <cellStyle name="Normal 9 2 3 2 7" xfId="2668" xr:uid="{00000000-0005-0000-0000-0000311F0000}"/>
    <cellStyle name="Normal 9 2 3 2 7 2" xfId="6953" xr:uid="{00000000-0005-0000-0000-0000321F0000}"/>
    <cellStyle name="Normal 9 2 3 2 7 3" xfId="11617" xr:uid="{EA2E5E76-A9CA-474B-8827-C9E761FBB035}"/>
    <cellStyle name="Normal 9 2 3 2 8" xfId="4888" xr:uid="{00000000-0005-0000-0000-0000331F0000}"/>
    <cellStyle name="Normal 9 2 3 2 8 2" xfId="9549" xr:uid="{867C5DFC-5C40-41AD-A236-5D7466C5C0A1}"/>
    <cellStyle name="Normal 9 2 3 2 9" xfId="9098" xr:uid="{8FEE56D4-681A-4286-B333-86DB85EBC181}"/>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3" xfId="12112" xr:uid="{C5E94732-9989-4AF7-9B4F-BF7FAC528994}"/>
    <cellStyle name="Normal 9 2 3 3 2 3" xfId="5303" xr:uid="{00000000-0005-0000-0000-0000381F0000}"/>
    <cellStyle name="Normal 9 2 3 3 2 4" xfId="9966" xr:uid="{69FE95EF-37E2-41F9-A403-896DAEC2E216}"/>
    <cellStyle name="Normal 9 2 3 3 3" xfId="1407" xr:uid="{00000000-0005-0000-0000-0000391F0000}"/>
    <cellStyle name="Normal 9 2 3 3 3 2" xfId="3637" xr:uid="{00000000-0005-0000-0000-00003A1F0000}"/>
    <cellStyle name="Normal 9 2 3 3 3 2 2" xfId="7861" xr:uid="{00000000-0005-0000-0000-00003B1F0000}"/>
    <cellStyle name="Normal 9 2 3 3 3 2 3" xfId="12525" xr:uid="{187C683D-23EC-4A53-B08F-7D47C8884EE9}"/>
    <cellStyle name="Normal 9 2 3 3 3 3" xfId="5716" xr:uid="{00000000-0005-0000-0000-00003C1F0000}"/>
    <cellStyle name="Normal 9 2 3 3 3 4" xfId="10380" xr:uid="{FCB5C494-0C52-43D8-979B-7D890532AA65}"/>
    <cellStyle name="Normal 9 2 3 3 4" xfId="1820" xr:uid="{00000000-0005-0000-0000-00003D1F0000}"/>
    <cellStyle name="Normal 9 2 3 3 4 2" xfId="4050" xr:uid="{00000000-0005-0000-0000-00003E1F0000}"/>
    <cellStyle name="Normal 9 2 3 3 4 2 2" xfId="8274" xr:uid="{00000000-0005-0000-0000-00003F1F0000}"/>
    <cellStyle name="Normal 9 2 3 3 4 2 3" xfId="12938" xr:uid="{BAB3CF8B-A6ED-4F97-9568-50C3D7EAD61C}"/>
    <cellStyle name="Normal 9 2 3 3 4 3" xfId="6129" xr:uid="{00000000-0005-0000-0000-0000401F0000}"/>
    <cellStyle name="Normal 9 2 3 3 4 4" xfId="10793" xr:uid="{4A9AE20E-82FB-4B91-941F-EED1608019AF}"/>
    <cellStyle name="Normal 9 2 3 3 5" xfId="2234" xr:uid="{00000000-0005-0000-0000-0000411F0000}"/>
    <cellStyle name="Normal 9 2 3 3 5 2" xfId="4463" xr:uid="{00000000-0005-0000-0000-0000421F0000}"/>
    <cellStyle name="Normal 9 2 3 3 5 2 2" xfId="8687" xr:uid="{00000000-0005-0000-0000-0000431F0000}"/>
    <cellStyle name="Normal 9 2 3 3 5 2 3" xfId="13351" xr:uid="{76DDFFA2-02DB-4817-8D47-27C6B441AE31}"/>
    <cellStyle name="Normal 9 2 3 3 5 3" xfId="6542" xr:uid="{00000000-0005-0000-0000-0000441F0000}"/>
    <cellStyle name="Normal 9 2 3 3 5 4" xfId="11206" xr:uid="{96088582-2646-4386-8D3E-E9CD8705974F}"/>
    <cellStyle name="Normal 9 2 3 3 6" xfId="2670" xr:uid="{00000000-0005-0000-0000-0000451F0000}"/>
    <cellStyle name="Normal 9 2 3 3 6 2" xfId="6955" xr:uid="{00000000-0005-0000-0000-0000461F0000}"/>
    <cellStyle name="Normal 9 2 3 3 6 3" xfId="11619" xr:uid="{09A9972B-4CCA-4453-A272-26B18A0805FC}"/>
    <cellStyle name="Normal 9 2 3 3 7" xfId="4890" xr:uid="{00000000-0005-0000-0000-0000471F0000}"/>
    <cellStyle name="Normal 9 2 3 3 7 2" xfId="9551" xr:uid="{2E9F4E00-916A-4917-AD34-B3DC7E43324D}"/>
    <cellStyle name="Normal 9 2 3 3 8" xfId="9100" xr:uid="{9083CD8B-B9D2-410A-8159-650BAF05A8E1}"/>
    <cellStyle name="Normal 9 2 3 4" xfId="988" xr:uid="{00000000-0005-0000-0000-0000481F0000}"/>
    <cellStyle name="Normal 9 2 3 4 2" xfId="3221" xr:uid="{00000000-0005-0000-0000-0000491F0000}"/>
    <cellStyle name="Normal 9 2 3 4 2 2" xfId="7445" xr:uid="{00000000-0005-0000-0000-00004A1F0000}"/>
    <cellStyle name="Normal 9 2 3 4 2 3" xfId="12109" xr:uid="{3EA891FF-B9D5-4164-8B92-DD8616EC4D9D}"/>
    <cellStyle name="Normal 9 2 3 4 3" xfId="5300" xr:uid="{00000000-0005-0000-0000-00004B1F0000}"/>
    <cellStyle name="Normal 9 2 3 4 4" xfId="9963" xr:uid="{6868CA1A-C66A-41CD-8935-EF23522A1539}"/>
    <cellStyle name="Normal 9 2 3 5" xfId="1404" xr:uid="{00000000-0005-0000-0000-00004C1F0000}"/>
    <cellStyle name="Normal 9 2 3 5 2" xfId="3634" xr:uid="{00000000-0005-0000-0000-00004D1F0000}"/>
    <cellStyle name="Normal 9 2 3 5 2 2" xfId="7858" xr:uid="{00000000-0005-0000-0000-00004E1F0000}"/>
    <cellStyle name="Normal 9 2 3 5 2 3" xfId="12522" xr:uid="{22CB4A31-3295-47B3-AD09-7124F04BD820}"/>
    <cellStyle name="Normal 9 2 3 5 3" xfId="5713" xr:uid="{00000000-0005-0000-0000-00004F1F0000}"/>
    <cellStyle name="Normal 9 2 3 5 4" xfId="10377" xr:uid="{3CF44B8F-6C88-46AA-8FAF-10B3D4D32DBE}"/>
    <cellStyle name="Normal 9 2 3 6" xfId="1817" xr:uid="{00000000-0005-0000-0000-0000501F0000}"/>
    <cellStyle name="Normal 9 2 3 6 2" xfId="4047" xr:uid="{00000000-0005-0000-0000-0000511F0000}"/>
    <cellStyle name="Normal 9 2 3 6 2 2" xfId="8271" xr:uid="{00000000-0005-0000-0000-0000521F0000}"/>
    <cellStyle name="Normal 9 2 3 6 2 3" xfId="12935" xr:uid="{87907C69-9056-4F9D-97CA-67FA2724F082}"/>
    <cellStyle name="Normal 9 2 3 6 3" xfId="6126" xr:uid="{00000000-0005-0000-0000-0000531F0000}"/>
    <cellStyle name="Normal 9 2 3 6 4" xfId="10790" xr:uid="{F81CF78D-0FB8-4FFE-8247-17E649D82CE9}"/>
    <cellStyle name="Normal 9 2 3 7" xfId="2231" xr:uid="{00000000-0005-0000-0000-0000541F0000}"/>
    <cellStyle name="Normal 9 2 3 7 2" xfId="4460" xr:uid="{00000000-0005-0000-0000-0000551F0000}"/>
    <cellStyle name="Normal 9 2 3 7 2 2" xfId="8684" xr:uid="{00000000-0005-0000-0000-0000561F0000}"/>
    <cellStyle name="Normal 9 2 3 7 2 3" xfId="13348" xr:uid="{E84385F0-1E34-4A0C-A6CC-B83C9BB9231A}"/>
    <cellStyle name="Normal 9 2 3 7 3" xfId="6539" xr:uid="{00000000-0005-0000-0000-0000571F0000}"/>
    <cellStyle name="Normal 9 2 3 7 4" xfId="11203" xr:uid="{90863D68-C9BB-4BE7-9A5C-03E84C7F8D9D}"/>
    <cellStyle name="Normal 9 2 3 8" xfId="2667" xr:uid="{00000000-0005-0000-0000-0000581F0000}"/>
    <cellStyle name="Normal 9 2 3 8 2" xfId="6952" xr:uid="{00000000-0005-0000-0000-0000591F0000}"/>
    <cellStyle name="Normal 9 2 3 8 3" xfId="11616" xr:uid="{C3EF0B3A-B54D-4F93-BA81-F4B31A3A72D7}"/>
    <cellStyle name="Normal 9 2 3 9" xfId="4887" xr:uid="{00000000-0005-0000-0000-00005A1F0000}"/>
    <cellStyle name="Normal 9 2 3 9 2" xfId="9548" xr:uid="{D792F5E9-D728-4F3A-97E1-373B16CE61F6}"/>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3" xfId="12114" xr:uid="{88A1A87E-FF01-4B4C-895E-09C3D0BB1B3A}"/>
    <cellStyle name="Normal 9 2 4 2 2 3" xfId="5305" xr:uid="{00000000-0005-0000-0000-0000601F0000}"/>
    <cellStyle name="Normal 9 2 4 2 2 4" xfId="9968" xr:uid="{D2F253D9-994D-4A86-BC32-81C374E04E61}"/>
    <cellStyle name="Normal 9 2 4 2 3" xfId="1409" xr:uid="{00000000-0005-0000-0000-0000611F0000}"/>
    <cellStyle name="Normal 9 2 4 2 3 2" xfId="3639" xr:uid="{00000000-0005-0000-0000-0000621F0000}"/>
    <cellStyle name="Normal 9 2 4 2 3 2 2" xfId="7863" xr:uid="{00000000-0005-0000-0000-0000631F0000}"/>
    <cellStyle name="Normal 9 2 4 2 3 2 3" xfId="12527" xr:uid="{1FF459AF-A150-4A54-9FA7-B5DAE5FF3A4F}"/>
    <cellStyle name="Normal 9 2 4 2 3 3" xfId="5718" xr:uid="{00000000-0005-0000-0000-0000641F0000}"/>
    <cellStyle name="Normal 9 2 4 2 3 4" xfId="10382" xr:uid="{B521064A-3854-4B36-BC80-F17F04ED86BB}"/>
    <cellStyle name="Normal 9 2 4 2 4" xfId="1822" xr:uid="{00000000-0005-0000-0000-0000651F0000}"/>
    <cellStyle name="Normal 9 2 4 2 4 2" xfId="4052" xr:uid="{00000000-0005-0000-0000-0000661F0000}"/>
    <cellStyle name="Normal 9 2 4 2 4 2 2" xfId="8276" xr:uid="{00000000-0005-0000-0000-0000671F0000}"/>
    <cellStyle name="Normal 9 2 4 2 4 2 3" xfId="12940" xr:uid="{298C6AAC-E80D-4D0E-8B80-B1E625E66BE3}"/>
    <cellStyle name="Normal 9 2 4 2 4 3" xfId="6131" xr:uid="{00000000-0005-0000-0000-0000681F0000}"/>
    <cellStyle name="Normal 9 2 4 2 4 4" xfId="10795" xr:uid="{577E3C3D-AFD4-46F1-A4A4-252D2B2D461F}"/>
    <cellStyle name="Normal 9 2 4 2 5" xfId="2236" xr:uid="{00000000-0005-0000-0000-0000691F0000}"/>
    <cellStyle name="Normal 9 2 4 2 5 2" xfId="4465" xr:uid="{00000000-0005-0000-0000-00006A1F0000}"/>
    <cellStyle name="Normal 9 2 4 2 5 2 2" xfId="8689" xr:uid="{00000000-0005-0000-0000-00006B1F0000}"/>
    <cellStyle name="Normal 9 2 4 2 5 2 3" xfId="13353" xr:uid="{197CA7B2-496F-4C92-B93B-B443311E83E5}"/>
    <cellStyle name="Normal 9 2 4 2 5 3" xfId="6544" xr:uid="{00000000-0005-0000-0000-00006C1F0000}"/>
    <cellStyle name="Normal 9 2 4 2 5 4" xfId="11208" xr:uid="{2E9C5E88-5316-46A0-BFF1-BD1F0DE82947}"/>
    <cellStyle name="Normal 9 2 4 2 6" xfId="2672" xr:uid="{00000000-0005-0000-0000-00006D1F0000}"/>
    <cellStyle name="Normal 9 2 4 2 6 2" xfId="6957" xr:uid="{00000000-0005-0000-0000-00006E1F0000}"/>
    <cellStyle name="Normal 9 2 4 2 6 3" xfId="11621" xr:uid="{057C8D3D-B92B-429C-A51B-FCEDD3699F3A}"/>
    <cellStyle name="Normal 9 2 4 2 7" xfId="4892" xr:uid="{00000000-0005-0000-0000-00006F1F0000}"/>
    <cellStyle name="Normal 9 2 4 2 7 2" xfId="9553" xr:uid="{3BF17998-4C07-447D-A17F-0565875A243D}"/>
    <cellStyle name="Normal 9 2 4 2 8" xfId="9102" xr:uid="{DAA0695F-EA68-4EE4-BC58-DA6E71B9F514}"/>
    <cellStyle name="Normal 9 2 4 3" xfId="992" xr:uid="{00000000-0005-0000-0000-0000701F0000}"/>
    <cellStyle name="Normal 9 2 4 3 2" xfId="3225" xr:uid="{00000000-0005-0000-0000-0000711F0000}"/>
    <cellStyle name="Normal 9 2 4 3 2 2" xfId="7449" xr:uid="{00000000-0005-0000-0000-0000721F0000}"/>
    <cellStyle name="Normal 9 2 4 3 2 3" xfId="12113" xr:uid="{5D643577-B5B5-40B7-BD93-EA35ABDD3977}"/>
    <cellStyle name="Normal 9 2 4 3 3" xfId="5304" xr:uid="{00000000-0005-0000-0000-0000731F0000}"/>
    <cellStyle name="Normal 9 2 4 3 4" xfId="9967" xr:uid="{99553A46-49D3-41C3-8784-C7AD5D7D8A6B}"/>
    <cellStyle name="Normal 9 2 4 4" xfId="1408" xr:uid="{00000000-0005-0000-0000-0000741F0000}"/>
    <cellStyle name="Normal 9 2 4 4 2" xfId="3638" xr:uid="{00000000-0005-0000-0000-0000751F0000}"/>
    <cellStyle name="Normal 9 2 4 4 2 2" xfId="7862" xr:uid="{00000000-0005-0000-0000-0000761F0000}"/>
    <cellStyle name="Normal 9 2 4 4 2 3" xfId="12526" xr:uid="{E6065AA2-1464-49BE-9295-414C43AB45AF}"/>
    <cellStyle name="Normal 9 2 4 4 3" xfId="5717" xr:uid="{00000000-0005-0000-0000-0000771F0000}"/>
    <cellStyle name="Normal 9 2 4 4 4" xfId="10381" xr:uid="{5AF69283-D7EE-42A2-B6B7-5B976BC5B876}"/>
    <cellStyle name="Normal 9 2 4 5" xfId="1821" xr:uid="{00000000-0005-0000-0000-0000781F0000}"/>
    <cellStyle name="Normal 9 2 4 5 2" xfId="4051" xr:uid="{00000000-0005-0000-0000-0000791F0000}"/>
    <cellStyle name="Normal 9 2 4 5 2 2" xfId="8275" xr:uid="{00000000-0005-0000-0000-00007A1F0000}"/>
    <cellStyle name="Normal 9 2 4 5 2 3" xfId="12939" xr:uid="{7AB39E76-D85A-4752-876F-AA94ACB521DB}"/>
    <cellStyle name="Normal 9 2 4 5 3" xfId="6130" xr:uid="{00000000-0005-0000-0000-00007B1F0000}"/>
    <cellStyle name="Normal 9 2 4 5 4" xfId="10794" xr:uid="{83468BEA-F72D-4307-B2BF-51A0B0C08B3E}"/>
    <cellStyle name="Normal 9 2 4 6" xfId="2235" xr:uid="{00000000-0005-0000-0000-00007C1F0000}"/>
    <cellStyle name="Normal 9 2 4 6 2" xfId="4464" xr:uid="{00000000-0005-0000-0000-00007D1F0000}"/>
    <cellStyle name="Normal 9 2 4 6 2 2" xfId="8688" xr:uid="{00000000-0005-0000-0000-00007E1F0000}"/>
    <cellStyle name="Normal 9 2 4 6 2 3" xfId="13352" xr:uid="{340E94C2-EEB4-4B73-989F-D6396527DEB2}"/>
    <cellStyle name="Normal 9 2 4 6 3" xfId="6543" xr:uid="{00000000-0005-0000-0000-00007F1F0000}"/>
    <cellStyle name="Normal 9 2 4 6 4" xfId="11207" xr:uid="{C67FB8D0-D80B-443D-B17B-C230A39BC04D}"/>
    <cellStyle name="Normal 9 2 4 7" xfId="2671" xr:uid="{00000000-0005-0000-0000-0000801F0000}"/>
    <cellStyle name="Normal 9 2 4 7 2" xfId="6956" xr:uid="{00000000-0005-0000-0000-0000811F0000}"/>
    <cellStyle name="Normal 9 2 4 7 3" xfId="11620" xr:uid="{4AF49705-AA37-4ED1-A30E-B33613B449FA}"/>
    <cellStyle name="Normal 9 2 4 8" xfId="4891" xr:uid="{00000000-0005-0000-0000-0000821F0000}"/>
    <cellStyle name="Normal 9 2 4 8 2" xfId="9552" xr:uid="{F3C3386B-DB0E-4E1F-A198-4B7E122DD1CB}"/>
    <cellStyle name="Normal 9 2 4 9" xfId="9101" xr:uid="{7340A2D2-D980-499F-B166-BCB234ECB573}"/>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3" xfId="12115" xr:uid="{35D388DC-1CA4-4E62-BF9E-84F4499DCD3A}"/>
    <cellStyle name="Normal 9 2 5 2 3" xfId="5306" xr:uid="{00000000-0005-0000-0000-0000871F0000}"/>
    <cellStyle name="Normal 9 2 5 2 4" xfId="9969" xr:uid="{F6C10C24-5185-49CD-BE62-998E73E2239B}"/>
    <cellStyle name="Normal 9 2 5 3" xfId="1410" xr:uid="{00000000-0005-0000-0000-0000881F0000}"/>
    <cellStyle name="Normal 9 2 5 3 2" xfId="3640" xr:uid="{00000000-0005-0000-0000-0000891F0000}"/>
    <cellStyle name="Normal 9 2 5 3 2 2" xfId="7864" xr:uid="{00000000-0005-0000-0000-00008A1F0000}"/>
    <cellStyle name="Normal 9 2 5 3 2 3" xfId="12528" xr:uid="{ECD9B953-936A-4F9A-A874-C59E9EB351D1}"/>
    <cellStyle name="Normal 9 2 5 3 3" xfId="5719" xr:uid="{00000000-0005-0000-0000-00008B1F0000}"/>
    <cellStyle name="Normal 9 2 5 3 4" xfId="10383" xr:uid="{0F772F6A-C32B-459D-A55B-108C9765D048}"/>
    <cellStyle name="Normal 9 2 5 4" xfId="1823" xr:uid="{00000000-0005-0000-0000-00008C1F0000}"/>
    <cellStyle name="Normal 9 2 5 4 2" xfId="4053" xr:uid="{00000000-0005-0000-0000-00008D1F0000}"/>
    <cellStyle name="Normal 9 2 5 4 2 2" xfId="8277" xr:uid="{00000000-0005-0000-0000-00008E1F0000}"/>
    <cellStyle name="Normal 9 2 5 4 2 3" xfId="12941" xr:uid="{FAE7CDE0-F771-442A-A7CF-AA9ADD217190}"/>
    <cellStyle name="Normal 9 2 5 4 3" xfId="6132" xr:uid="{00000000-0005-0000-0000-00008F1F0000}"/>
    <cellStyle name="Normal 9 2 5 4 4" xfId="10796" xr:uid="{0CB6F117-D82A-4176-B007-E68EFF435976}"/>
    <cellStyle name="Normal 9 2 5 5" xfId="2237" xr:uid="{00000000-0005-0000-0000-0000901F0000}"/>
    <cellStyle name="Normal 9 2 5 5 2" xfId="4466" xr:uid="{00000000-0005-0000-0000-0000911F0000}"/>
    <cellStyle name="Normal 9 2 5 5 2 2" xfId="8690" xr:uid="{00000000-0005-0000-0000-0000921F0000}"/>
    <cellStyle name="Normal 9 2 5 5 2 3" xfId="13354" xr:uid="{9AB41F81-4DAB-4620-8E1F-4981A07EC932}"/>
    <cellStyle name="Normal 9 2 5 5 3" xfId="6545" xr:uid="{00000000-0005-0000-0000-0000931F0000}"/>
    <cellStyle name="Normal 9 2 5 5 4" xfId="11209" xr:uid="{76C9985D-FE65-4507-BA62-D9B46B3DA8B4}"/>
    <cellStyle name="Normal 9 2 5 6" xfId="2673" xr:uid="{00000000-0005-0000-0000-0000941F0000}"/>
    <cellStyle name="Normal 9 2 5 6 2" xfId="6958" xr:uid="{00000000-0005-0000-0000-0000951F0000}"/>
    <cellStyle name="Normal 9 2 5 6 3" xfId="11622" xr:uid="{74C36188-E670-49E3-83E5-7E6AD3D6EA06}"/>
    <cellStyle name="Normal 9 2 5 7" xfId="4893" xr:uid="{00000000-0005-0000-0000-0000961F0000}"/>
    <cellStyle name="Normal 9 2 5 7 2" xfId="9554" xr:uid="{DB2F22E1-2E6F-4B54-9A3A-FA42377F2519}"/>
    <cellStyle name="Normal 9 2 5 8" xfId="9103" xr:uid="{BEA4F2D1-3461-4403-8766-02C3074D4F64}"/>
    <cellStyle name="Normal 9 2 6" xfId="979" xr:uid="{00000000-0005-0000-0000-0000971F0000}"/>
    <cellStyle name="Normal 9 2 6 2" xfId="3212" xr:uid="{00000000-0005-0000-0000-0000981F0000}"/>
    <cellStyle name="Normal 9 2 6 2 2" xfId="7436" xr:uid="{00000000-0005-0000-0000-0000991F0000}"/>
    <cellStyle name="Normal 9 2 6 2 3" xfId="12100" xr:uid="{6BAC2199-1009-428C-9E16-C9A8130A7C09}"/>
    <cellStyle name="Normal 9 2 6 3" xfId="5291" xr:uid="{00000000-0005-0000-0000-00009A1F0000}"/>
    <cellStyle name="Normal 9 2 6 4" xfId="9954" xr:uid="{D4D881F1-1BEF-40E3-B493-54ABC0898714}"/>
    <cellStyle name="Normal 9 2 7" xfId="1395" xr:uid="{00000000-0005-0000-0000-00009B1F0000}"/>
    <cellStyle name="Normal 9 2 7 2" xfId="3625" xr:uid="{00000000-0005-0000-0000-00009C1F0000}"/>
    <cellStyle name="Normal 9 2 7 2 2" xfId="7849" xr:uid="{00000000-0005-0000-0000-00009D1F0000}"/>
    <cellStyle name="Normal 9 2 7 2 3" xfId="12513" xr:uid="{10DECA98-9878-4A96-9007-B43761903882}"/>
    <cellStyle name="Normal 9 2 7 3" xfId="5704" xr:uid="{00000000-0005-0000-0000-00009E1F0000}"/>
    <cellStyle name="Normal 9 2 7 4" xfId="10368" xr:uid="{571CD94C-54BA-4F8F-83C2-AF62A9BB009D}"/>
    <cellStyle name="Normal 9 2 8" xfId="1808" xr:uid="{00000000-0005-0000-0000-00009F1F0000}"/>
    <cellStyle name="Normal 9 2 8 2" xfId="4038" xr:uid="{00000000-0005-0000-0000-0000A01F0000}"/>
    <cellStyle name="Normal 9 2 8 2 2" xfId="8262" xr:uid="{00000000-0005-0000-0000-0000A11F0000}"/>
    <cellStyle name="Normal 9 2 8 2 3" xfId="12926" xr:uid="{15BCF751-D3FF-46A0-B8BE-77DB429DF15E}"/>
    <cellStyle name="Normal 9 2 8 3" xfId="6117" xr:uid="{00000000-0005-0000-0000-0000A21F0000}"/>
    <cellStyle name="Normal 9 2 8 4" xfId="10781" xr:uid="{73474CA8-FF92-4629-8ED8-41BDF86F3F5B}"/>
    <cellStyle name="Normal 9 2 9" xfId="2222" xr:uid="{00000000-0005-0000-0000-0000A31F0000}"/>
    <cellStyle name="Normal 9 2 9 2" xfId="4451" xr:uid="{00000000-0005-0000-0000-0000A41F0000}"/>
    <cellStyle name="Normal 9 2 9 2 2" xfId="8675" xr:uid="{00000000-0005-0000-0000-0000A51F0000}"/>
    <cellStyle name="Normal 9 2 9 2 3" xfId="13339" xr:uid="{16D0093B-701D-463D-913D-CEF22406CB77}"/>
    <cellStyle name="Normal 9 2 9 3" xfId="6530" xr:uid="{00000000-0005-0000-0000-0000A61F0000}"/>
    <cellStyle name="Normal 9 2 9 4" xfId="11194" xr:uid="{D984407D-1CCB-4086-AA89-613F304257A7}"/>
    <cellStyle name="Normal 9 3" xfId="527" xr:uid="{00000000-0005-0000-0000-0000A71F0000}"/>
    <cellStyle name="Normal 9 3 10" xfId="4894" xr:uid="{00000000-0005-0000-0000-0000A81F0000}"/>
    <cellStyle name="Normal 9 3 10 2" xfId="9555" xr:uid="{B0F4110D-BDE2-40A7-8BF0-C54E81F8B749}"/>
    <cellStyle name="Normal 9 3 11" xfId="9104" xr:uid="{95E5BDAC-5554-4A1B-9ACB-4592DFCEFF5E}"/>
    <cellStyle name="Normal 9 3 2" xfId="528" xr:uid="{00000000-0005-0000-0000-0000A91F0000}"/>
    <cellStyle name="Normal 9 3 2 10" xfId="9105" xr:uid="{BA6DBEB4-9E15-4511-81D9-5EA654FDF57C}"/>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3" xfId="12119" xr:uid="{BA5B4736-B966-4714-A42A-42A5767132D9}"/>
    <cellStyle name="Normal 9 3 2 2 2 2 3" xfId="5310" xr:uid="{00000000-0005-0000-0000-0000AF1F0000}"/>
    <cellStyle name="Normal 9 3 2 2 2 2 4" xfId="9973" xr:uid="{0CFD8119-8A9E-4A61-BE10-8EB9F75836A3}"/>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3" xfId="12532" xr:uid="{D9692E65-98A5-41BC-B68F-AC1821673AAF}"/>
    <cellStyle name="Normal 9 3 2 2 2 3 3" xfId="5723" xr:uid="{00000000-0005-0000-0000-0000B31F0000}"/>
    <cellStyle name="Normal 9 3 2 2 2 3 4" xfId="10387" xr:uid="{44016D03-66EE-49FA-809F-1F7698B2C3D7}"/>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3" xfId="12945" xr:uid="{7515F1FC-C32B-44B4-AC45-4BD8B35BD623}"/>
    <cellStyle name="Normal 9 3 2 2 2 4 3" xfId="6136" xr:uid="{00000000-0005-0000-0000-0000B71F0000}"/>
    <cellStyle name="Normal 9 3 2 2 2 4 4" xfId="10800" xr:uid="{47BA914D-72C2-4CD2-A63C-D6444906523F}"/>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3" xfId="13358" xr:uid="{5096CC68-6F5D-459E-B3BF-0805F199FE65}"/>
    <cellStyle name="Normal 9 3 2 2 2 5 3" xfId="6549" xr:uid="{00000000-0005-0000-0000-0000BB1F0000}"/>
    <cellStyle name="Normal 9 3 2 2 2 5 4" xfId="11213" xr:uid="{0F9CA455-DCF2-47E8-9624-236FF6754E96}"/>
    <cellStyle name="Normal 9 3 2 2 2 6" xfId="2677" xr:uid="{00000000-0005-0000-0000-0000BC1F0000}"/>
    <cellStyle name="Normal 9 3 2 2 2 6 2" xfId="6962" xr:uid="{00000000-0005-0000-0000-0000BD1F0000}"/>
    <cellStyle name="Normal 9 3 2 2 2 6 3" xfId="11626" xr:uid="{F64A1289-BB78-4362-AB0A-8B99E048E9B3}"/>
    <cellStyle name="Normal 9 3 2 2 2 7" xfId="4897" xr:uid="{00000000-0005-0000-0000-0000BE1F0000}"/>
    <cellStyle name="Normal 9 3 2 2 2 7 2" xfId="9558" xr:uid="{D4D55984-210E-4FFC-9D54-211E957E65F5}"/>
    <cellStyle name="Normal 9 3 2 2 2 8" xfId="9107" xr:uid="{DADF2199-6A64-4E88-9851-B8E08C8C1FC2}"/>
    <cellStyle name="Normal 9 3 2 2 3" xfId="997" xr:uid="{00000000-0005-0000-0000-0000BF1F0000}"/>
    <cellStyle name="Normal 9 3 2 2 3 2" xfId="3230" xr:uid="{00000000-0005-0000-0000-0000C01F0000}"/>
    <cellStyle name="Normal 9 3 2 2 3 2 2" xfId="7454" xr:uid="{00000000-0005-0000-0000-0000C11F0000}"/>
    <cellStyle name="Normal 9 3 2 2 3 2 3" xfId="12118" xr:uid="{CB5C0359-BD31-4271-BA64-18F73E79BAEA}"/>
    <cellStyle name="Normal 9 3 2 2 3 3" xfId="5309" xr:uid="{00000000-0005-0000-0000-0000C21F0000}"/>
    <cellStyle name="Normal 9 3 2 2 3 4" xfId="9972" xr:uid="{6ABB22F9-D08A-460A-8523-EA96E70F39F9}"/>
    <cellStyle name="Normal 9 3 2 2 4" xfId="1413" xr:uid="{00000000-0005-0000-0000-0000C31F0000}"/>
    <cellStyle name="Normal 9 3 2 2 4 2" xfId="3643" xr:uid="{00000000-0005-0000-0000-0000C41F0000}"/>
    <cellStyle name="Normal 9 3 2 2 4 2 2" xfId="7867" xr:uid="{00000000-0005-0000-0000-0000C51F0000}"/>
    <cellStyle name="Normal 9 3 2 2 4 2 3" xfId="12531" xr:uid="{0E4ED187-4628-49A4-B5C4-035EE0C9F475}"/>
    <cellStyle name="Normal 9 3 2 2 4 3" xfId="5722" xr:uid="{00000000-0005-0000-0000-0000C61F0000}"/>
    <cellStyle name="Normal 9 3 2 2 4 4" xfId="10386" xr:uid="{F6F23AB2-2CA1-4087-88F6-492659C34877}"/>
    <cellStyle name="Normal 9 3 2 2 5" xfId="1826" xr:uid="{00000000-0005-0000-0000-0000C71F0000}"/>
    <cellStyle name="Normal 9 3 2 2 5 2" xfId="4056" xr:uid="{00000000-0005-0000-0000-0000C81F0000}"/>
    <cellStyle name="Normal 9 3 2 2 5 2 2" xfId="8280" xr:uid="{00000000-0005-0000-0000-0000C91F0000}"/>
    <cellStyle name="Normal 9 3 2 2 5 2 3" xfId="12944" xr:uid="{99A3D993-454E-4F2E-A87A-6518B12E3156}"/>
    <cellStyle name="Normal 9 3 2 2 5 3" xfId="6135" xr:uid="{00000000-0005-0000-0000-0000CA1F0000}"/>
    <cellStyle name="Normal 9 3 2 2 5 4" xfId="10799" xr:uid="{0F1F5A5A-DC31-4CD1-8C3F-0E426FF82E67}"/>
    <cellStyle name="Normal 9 3 2 2 6" xfId="2240" xr:uid="{00000000-0005-0000-0000-0000CB1F0000}"/>
    <cellStyle name="Normal 9 3 2 2 6 2" xfId="4469" xr:uid="{00000000-0005-0000-0000-0000CC1F0000}"/>
    <cellStyle name="Normal 9 3 2 2 6 2 2" xfId="8693" xr:uid="{00000000-0005-0000-0000-0000CD1F0000}"/>
    <cellStyle name="Normal 9 3 2 2 6 2 3" xfId="13357" xr:uid="{0EB3E909-4868-40E8-93D5-102CB9AA1632}"/>
    <cellStyle name="Normal 9 3 2 2 6 3" xfId="6548" xr:uid="{00000000-0005-0000-0000-0000CE1F0000}"/>
    <cellStyle name="Normal 9 3 2 2 6 4" xfId="11212" xr:uid="{C083E507-1BA0-445E-BF09-992A8AA7DE8D}"/>
    <cellStyle name="Normal 9 3 2 2 7" xfId="2676" xr:uid="{00000000-0005-0000-0000-0000CF1F0000}"/>
    <cellStyle name="Normal 9 3 2 2 7 2" xfId="6961" xr:uid="{00000000-0005-0000-0000-0000D01F0000}"/>
    <cellStyle name="Normal 9 3 2 2 7 3" xfId="11625" xr:uid="{2F734DEB-0367-4D5C-8471-FBCC6CDE5648}"/>
    <cellStyle name="Normal 9 3 2 2 8" xfId="4896" xr:uid="{00000000-0005-0000-0000-0000D11F0000}"/>
    <cellStyle name="Normal 9 3 2 2 8 2" xfId="9557" xr:uid="{C4D891C8-97BF-4EE1-9199-A02B3465F962}"/>
    <cellStyle name="Normal 9 3 2 2 9" xfId="9106" xr:uid="{4DF575E7-7E37-4A6E-8090-127CFA8E29AA}"/>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3" xfId="12120" xr:uid="{C12E9226-841A-4BA2-94E5-D90B3C27679A}"/>
    <cellStyle name="Normal 9 3 2 3 2 3" xfId="5311" xr:uid="{00000000-0005-0000-0000-0000D61F0000}"/>
    <cellStyle name="Normal 9 3 2 3 2 4" xfId="9974" xr:uid="{0F4AF5A5-E533-4581-8AF5-AB0F61EEC1EE}"/>
    <cellStyle name="Normal 9 3 2 3 3" xfId="1415" xr:uid="{00000000-0005-0000-0000-0000D71F0000}"/>
    <cellStyle name="Normal 9 3 2 3 3 2" xfId="3645" xr:uid="{00000000-0005-0000-0000-0000D81F0000}"/>
    <cellStyle name="Normal 9 3 2 3 3 2 2" xfId="7869" xr:uid="{00000000-0005-0000-0000-0000D91F0000}"/>
    <cellStyle name="Normal 9 3 2 3 3 2 3" xfId="12533" xr:uid="{5EF77EDE-F57C-4E88-B0B0-3A4EA0B1D1B4}"/>
    <cellStyle name="Normal 9 3 2 3 3 3" xfId="5724" xr:uid="{00000000-0005-0000-0000-0000DA1F0000}"/>
    <cellStyle name="Normal 9 3 2 3 3 4" xfId="10388" xr:uid="{DF013917-ABF4-497E-95BF-C2C7788BD21D}"/>
    <cellStyle name="Normal 9 3 2 3 4" xfId="1828" xr:uid="{00000000-0005-0000-0000-0000DB1F0000}"/>
    <cellStyle name="Normal 9 3 2 3 4 2" xfId="4058" xr:uid="{00000000-0005-0000-0000-0000DC1F0000}"/>
    <cellStyle name="Normal 9 3 2 3 4 2 2" xfId="8282" xr:uid="{00000000-0005-0000-0000-0000DD1F0000}"/>
    <cellStyle name="Normal 9 3 2 3 4 2 3" xfId="12946" xr:uid="{D5E76405-B032-4F51-AF1B-0E9857FB74D1}"/>
    <cellStyle name="Normal 9 3 2 3 4 3" xfId="6137" xr:uid="{00000000-0005-0000-0000-0000DE1F0000}"/>
    <cellStyle name="Normal 9 3 2 3 4 4" xfId="10801" xr:uid="{5600F10F-ABE2-4C8E-A6B7-ADA3148999DB}"/>
    <cellStyle name="Normal 9 3 2 3 5" xfId="2242" xr:uid="{00000000-0005-0000-0000-0000DF1F0000}"/>
    <cellStyle name="Normal 9 3 2 3 5 2" xfId="4471" xr:uid="{00000000-0005-0000-0000-0000E01F0000}"/>
    <cellStyle name="Normal 9 3 2 3 5 2 2" xfId="8695" xr:uid="{00000000-0005-0000-0000-0000E11F0000}"/>
    <cellStyle name="Normal 9 3 2 3 5 2 3" xfId="13359" xr:uid="{327F6588-5703-48E8-A3C0-C226566E20AD}"/>
    <cellStyle name="Normal 9 3 2 3 5 3" xfId="6550" xr:uid="{00000000-0005-0000-0000-0000E21F0000}"/>
    <cellStyle name="Normal 9 3 2 3 5 4" xfId="11214" xr:uid="{830335E3-629E-4F71-A773-ECF42991BE0A}"/>
    <cellStyle name="Normal 9 3 2 3 6" xfId="2678" xr:uid="{00000000-0005-0000-0000-0000E31F0000}"/>
    <cellStyle name="Normal 9 3 2 3 6 2" xfId="6963" xr:uid="{00000000-0005-0000-0000-0000E41F0000}"/>
    <cellStyle name="Normal 9 3 2 3 6 3" xfId="11627" xr:uid="{D4B91380-FC59-4A7E-8B9B-1EE95E3F6696}"/>
    <cellStyle name="Normal 9 3 2 3 7" xfId="4898" xr:uid="{00000000-0005-0000-0000-0000E51F0000}"/>
    <cellStyle name="Normal 9 3 2 3 7 2" xfId="9559" xr:uid="{A927284F-9594-490A-984C-22B933ED544C}"/>
    <cellStyle name="Normal 9 3 2 3 8" xfId="9108" xr:uid="{46EA12D2-0855-4893-BA3E-E693A17759C6}"/>
    <cellStyle name="Normal 9 3 2 4" xfId="996" xr:uid="{00000000-0005-0000-0000-0000E61F0000}"/>
    <cellStyle name="Normal 9 3 2 4 2" xfId="3229" xr:uid="{00000000-0005-0000-0000-0000E71F0000}"/>
    <cellStyle name="Normal 9 3 2 4 2 2" xfId="7453" xr:uid="{00000000-0005-0000-0000-0000E81F0000}"/>
    <cellStyle name="Normal 9 3 2 4 2 3" xfId="12117" xr:uid="{E299F7D7-FD0D-4C7A-91BC-A8BBEF46B6F6}"/>
    <cellStyle name="Normal 9 3 2 4 3" xfId="5308" xr:uid="{00000000-0005-0000-0000-0000E91F0000}"/>
    <cellStyle name="Normal 9 3 2 4 4" xfId="9971" xr:uid="{8543C96B-C1CA-4CB7-9AFB-1ADF825B9F3F}"/>
    <cellStyle name="Normal 9 3 2 5" xfId="1412" xr:uid="{00000000-0005-0000-0000-0000EA1F0000}"/>
    <cellStyle name="Normal 9 3 2 5 2" xfId="3642" xr:uid="{00000000-0005-0000-0000-0000EB1F0000}"/>
    <cellStyle name="Normal 9 3 2 5 2 2" xfId="7866" xr:uid="{00000000-0005-0000-0000-0000EC1F0000}"/>
    <cellStyle name="Normal 9 3 2 5 2 3" xfId="12530" xr:uid="{80CEE91B-3DDD-41B1-9F8E-A1875DBCB476}"/>
    <cellStyle name="Normal 9 3 2 5 3" xfId="5721" xr:uid="{00000000-0005-0000-0000-0000ED1F0000}"/>
    <cellStyle name="Normal 9 3 2 5 4" xfId="10385" xr:uid="{15C1D164-6BF5-4CA8-976F-18F0F8856D73}"/>
    <cellStyle name="Normal 9 3 2 6" xfId="1825" xr:uid="{00000000-0005-0000-0000-0000EE1F0000}"/>
    <cellStyle name="Normal 9 3 2 6 2" xfId="4055" xr:uid="{00000000-0005-0000-0000-0000EF1F0000}"/>
    <cellStyle name="Normal 9 3 2 6 2 2" xfId="8279" xr:uid="{00000000-0005-0000-0000-0000F01F0000}"/>
    <cellStyle name="Normal 9 3 2 6 2 3" xfId="12943" xr:uid="{F935D237-DF65-4C0E-8030-9EB2754F54E1}"/>
    <cellStyle name="Normal 9 3 2 6 3" xfId="6134" xr:uid="{00000000-0005-0000-0000-0000F11F0000}"/>
    <cellStyle name="Normal 9 3 2 6 4" xfId="10798" xr:uid="{3A120F9A-6E53-4147-B3B7-F52C3858FC3B}"/>
    <cellStyle name="Normal 9 3 2 7" xfId="2239" xr:uid="{00000000-0005-0000-0000-0000F21F0000}"/>
    <cellStyle name="Normal 9 3 2 7 2" xfId="4468" xr:uid="{00000000-0005-0000-0000-0000F31F0000}"/>
    <cellStyle name="Normal 9 3 2 7 2 2" xfId="8692" xr:uid="{00000000-0005-0000-0000-0000F41F0000}"/>
    <cellStyle name="Normal 9 3 2 7 2 3" xfId="13356" xr:uid="{B67751CC-B340-4FC3-A778-5AD502FB7FB5}"/>
    <cellStyle name="Normal 9 3 2 7 3" xfId="6547" xr:uid="{00000000-0005-0000-0000-0000F51F0000}"/>
    <cellStyle name="Normal 9 3 2 7 4" xfId="11211" xr:uid="{2823D6CA-32A4-4F24-8058-B4D8B053F6DB}"/>
    <cellStyle name="Normal 9 3 2 8" xfId="2675" xr:uid="{00000000-0005-0000-0000-0000F61F0000}"/>
    <cellStyle name="Normal 9 3 2 8 2" xfId="6960" xr:uid="{00000000-0005-0000-0000-0000F71F0000}"/>
    <cellStyle name="Normal 9 3 2 8 3" xfId="11624" xr:uid="{ABBC4511-BEAB-4340-B4C3-46397025EC43}"/>
    <cellStyle name="Normal 9 3 2 9" xfId="4895" xr:uid="{00000000-0005-0000-0000-0000F81F0000}"/>
    <cellStyle name="Normal 9 3 2 9 2" xfId="9556" xr:uid="{F8C5203C-17D1-4626-95DE-C050350768B6}"/>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3" xfId="12122" xr:uid="{4C714B3C-B6D1-4133-967D-8F8B84CE33EE}"/>
    <cellStyle name="Normal 9 3 3 2 2 3" xfId="5313" xr:uid="{00000000-0005-0000-0000-0000FE1F0000}"/>
    <cellStyle name="Normal 9 3 3 2 2 4" xfId="9976" xr:uid="{3BF637E1-B155-4A62-926C-B23B9EF04EF9}"/>
    <cellStyle name="Normal 9 3 3 2 3" xfId="1417" xr:uid="{00000000-0005-0000-0000-0000FF1F0000}"/>
    <cellStyle name="Normal 9 3 3 2 3 2" xfId="3647" xr:uid="{00000000-0005-0000-0000-000000200000}"/>
    <cellStyle name="Normal 9 3 3 2 3 2 2" xfId="7871" xr:uid="{00000000-0005-0000-0000-000001200000}"/>
    <cellStyle name="Normal 9 3 3 2 3 2 3" xfId="12535" xr:uid="{A4FD6D91-BA09-4A4B-8B8E-C027A0C44C1E}"/>
    <cellStyle name="Normal 9 3 3 2 3 3" xfId="5726" xr:uid="{00000000-0005-0000-0000-000002200000}"/>
    <cellStyle name="Normal 9 3 3 2 3 4" xfId="10390" xr:uid="{6DFA2976-C8FD-4B61-AA0E-8247358184FB}"/>
    <cellStyle name="Normal 9 3 3 2 4" xfId="1830" xr:uid="{00000000-0005-0000-0000-000003200000}"/>
    <cellStyle name="Normal 9 3 3 2 4 2" xfId="4060" xr:uid="{00000000-0005-0000-0000-000004200000}"/>
    <cellStyle name="Normal 9 3 3 2 4 2 2" xfId="8284" xr:uid="{00000000-0005-0000-0000-000005200000}"/>
    <cellStyle name="Normal 9 3 3 2 4 2 3" xfId="12948" xr:uid="{95526147-41EF-4891-9297-90BB264C5D69}"/>
    <cellStyle name="Normal 9 3 3 2 4 3" xfId="6139" xr:uid="{00000000-0005-0000-0000-000006200000}"/>
    <cellStyle name="Normal 9 3 3 2 4 4" xfId="10803" xr:uid="{FFD21594-009E-42FE-8025-D54F0B7BCEF7}"/>
    <cellStyle name="Normal 9 3 3 2 5" xfId="2244" xr:uid="{00000000-0005-0000-0000-000007200000}"/>
    <cellStyle name="Normal 9 3 3 2 5 2" xfId="4473" xr:uid="{00000000-0005-0000-0000-000008200000}"/>
    <cellStyle name="Normal 9 3 3 2 5 2 2" xfId="8697" xr:uid="{00000000-0005-0000-0000-000009200000}"/>
    <cellStyle name="Normal 9 3 3 2 5 2 3" xfId="13361" xr:uid="{6538F14C-94E4-4729-BE90-30FBB158B61E}"/>
    <cellStyle name="Normal 9 3 3 2 5 3" xfId="6552" xr:uid="{00000000-0005-0000-0000-00000A200000}"/>
    <cellStyle name="Normal 9 3 3 2 5 4" xfId="11216" xr:uid="{762ADDFE-DF67-4EA2-B947-8E478CFC83EE}"/>
    <cellStyle name="Normal 9 3 3 2 6" xfId="2680" xr:uid="{00000000-0005-0000-0000-00000B200000}"/>
    <cellStyle name="Normal 9 3 3 2 6 2" xfId="6965" xr:uid="{00000000-0005-0000-0000-00000C200000}"/>
    <cellStyle name="Normal 9 3 3 2 6 3" xfId="11629" xr:uid="{05B31382-CAC1-4EA8-96EC-A5133D76B6DC}"/>
    <cellStyle name="Normal 9 3 3 2 7" xfId="4900" xr:uid="{00000000-0005-0000-0000-00000D200000}"/>
    <cellStyle name="Normal 9 3 3 2 7 2" xfId="9561" xr:uid="{EFF9B14E-EE63-4C7D-AF19-099D1287CA06}"/>
    <cellStyle name="Normal 9 3 3 2 8" xfId="9110" xr:uid="{E3EC1DD4-CADD-43E6-9E48-55162FEA633E}"/>
    <cellStyle name="Normal 9 3 3 3" xfId="1000" xr:uid="{00000000-0005-0000-0000-00000E200000}"/>
    <cellStyle name="Normal 9 3 3 3 2" xfId="3233" xr:uid="{00000000-0005-0000-0000-00000F200000}"/>
    <cellStyle name="Normal 9 3 3 3 2 2" xfId="7457" xr:uid="{00000000-0005-0000-0000-000010200000}"/>
    <cellStyle name="Normal 9 3 3 3 2 3" xfId="12121" xr:uid="{CE5DD778-4F50-4EE5-BAB0-DA9FD574AF6E}"/>
    <cellStyle name="Normal 9 3 3 3 3" xfId="5312" xr:uid="{00000000-0005-0000-0000-000011200000}"/>
    <cellStyle name="Normal 9 3 3 3 4" xfId="9975" xr:uid="{7001714E-EB0C-4D43-875C-B36C37A12E95}"/>
    <cellStyle name="Normal 9 3 3 4" xfId="1416" xr:uid="{00000000-0005-0000-0000-000012200000}"/>
    <cellStyle name="Normal 9 3 3 4 2" xfId="3646" xr:uid="{00000000-0005-0000-0000-000013200000}"/>
    <cellStyle name="Normal 9 3 3 4 2 2" xfId="7870" xr:uid="{00000000-0005-0000-0000-000014200000}"/>
    <cellStyle name="Normal 9 3 3 4 2 3" xfId="12534" xr:uid="{AE3194CA-E284-4C0F-877B-0BAB0C3C8B3F}"/>
    <cellStyle name="Normal 9 3 3 4 3" xfId="5725" xr:uid="{00000000-0005-0000-0000-000015200000}"/>
    <cellStyle name="Normal 9 3 3 4 4" xfId="10389" xr:uid="{8F9847A4-2B43-4DAB-B5FC-0CD06F0E3B53}"/>
    <cellStyle name="Normal 9 3 3 5" xfId="1829" xr:uid="{00000000-0005-0000-0000-000016200000}"/>
    <cellStyle name="Normal 9 3 3 5 2" xfId="4059" xr:uid="{00000000-0005-0000-0000-000017200000}"/>
    <cellStyle name="Normal 9 3 3 5 2 2" xfId="8283" xr:uid="{00000000-0005-0000-0000-000018200000}"/>
    <cellStyle name="Normal 9 3 3 5 2 3" xfId="12947" xr:uid="{FFDF48EE-F9FD-4393-A563-E9330E46C4D3}"/>
    <cellStyle name="Normal 9 3 3 5 3" xfId="6138" xr:uid="{00000000-0005-0000-0000-000019200000}"/>
    <cellStyle name="Normal 9 3 3 5 4" xfId="10802" xr:uid="{9CBF0126-8672-42FD-BD36-4459F49FA661}"/>
    <cellStyle name="Normal 9 3 3 6" xfId="2243" xr:uid="{00000000-0005-0000-0000-00001A200000}"/>
    <cellStyle name="Normal 9 3 3 6 2" xfId="4472" xr:uid="{00000000-0005-0000-0000-00001B200000}"/>
    <cellStyle name="Normal 9 3 3 6 2 2" xfId="8696" xr:uid="{00000000-0005-0000-0000-00001C200000}"/>
    <cellStyle name="Normal 9 3 3 6 2 3" xfId="13360" xr:uid="{B51460D8-147B-461D-BE36-F9D9400DE547}"/>
    <cellStyle name="Normal 9 3 3 6 3" xfId="6551" xr:uid="{00000000-0005-0000-0000-00001D200000}"/>
    <cellStyle name="Normal 9 3 3 6 4" xfId="11215" xr:uid="{E9766CC3-4F41-4017-8AD8-910CB99DD28E}"/>
    <cellStyle name="Normal 9 3 3 7" xfId="2679" xr:uid="{00000000-0005-0000-0000-00001E200000}"/>
    <cellStyle name="Normal 9 3 3 7 2" xfId="6964" xr:uid="{00000000-0005-0000-0000-00001F200000}"/>
    <cellStyle name="Normal 9 3 3 7 3" xfId="11628" xr:uid="{80CAB31B-A871-4693-A5C7-DD3D22CD05FA}"/>
    <cellStyle name="Normal 9 3 3 8" xfId="4899" xr:uid="{00000000-0005-0000-0000-000020200000}"/>
    <cellStyle name="Normal 9 3 3 8 2" xfId="9560" xr:uid="{EF1B52B6-CA9F-4479-932B-786737A81E6B}"/>
    <cellStyle name="Normal 9 3 3 9" xfId="9109" xr:uid="{8611CCA4-1439-459F-8DD8-59ED665CFA9A}"/>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3" xfId="12123" xr:uid="{6433C634-6165-457B-AB38-FD5E86225C22}"/>
    <cellStyle name="Normal 9 3 4 2 3" xfId="5314" xr:uid="{00000000-0005-0000-0000-000025200000}"/>
    <cellStyle name="Normal 9 3 4 2 4" xfId="9977" xr:uid="{233FFA21-46F3-4553-BCF0-52F2E42E39F0}"/>
    <cellStyle name="Normal 9 3 4 3" xfId="1418" xr:uid="{00000000-0005-0000-0000-000026200000}"/>
    <cellStyle name="Normal 9 3 4 3 2" xfId="3648" xr:uid="{00000000-0005-0000-0000-000027200000}"/>
    <cellStyle name="Normal 9 3 4 3 2 2" xfId="7872" xr:uid="{00000000-0005-0000-0000-000028200000}"/>
    <cellStyle name="Normal 9 3 4 3 2 3" xfId="12536" xr:uid="{67ABAD64-0C2E-4029-8003-7E7F000F8B78}"/>
    <cellStyle name="Normal 9 3 4 3 3" xfId="5727" xr:uid="{00000000-0005-0000-0000-000029200000}"/>
    <cellStyle name="Normal 9 3 4 3 4" xfId="10391" xr:uid="{1B4895F2-8E1E-4508-B9DA-A26A83B2CABE}"/>
    <cellStyle name="Normal 9 3 4 4" xfId="1831" xr:uid="{00000000-0005-0000-0000-00002A200000}"/>
    <cellStyle name="Normal 9 3 4 4 2" xfId="4061" xr:uid="{00000000-0005-0000-0000-00002B200000}"/>
    <cellStyle name="Normal 9 3 4 4 2 2" xfId="8285" xr:uid="{00000000-0005-0000-0000-00002C200000}"/>
    <cellStyle name="Normal 9 3 4 4 2 3" xfId="12949" xr:uid="{ECB4A3D7-E63B-42F1-8941-00ACD7E91642}"/>
    <cellStyle name="Normal 9 3 4 4 3" xfId="6140" xr:uid="{00000000-0005-0000-0000-00002D200000}"/>
    <cellStyle name="Normal 9 3 4 4 4" xfId="10804" xr:uid="{5F41D5CC-3498-44C1-95F0-02724E4C2BE4}"/>
    <cellStyle name="Normal 9 3 4 5" xfId="2245" xr:uid="{00000000-0005-0000-0000-00002E200000}"/>
    <cellStyle name="Normal 9 3 4 5 2" xfId="4474" xr:uid="{00000000-0005-0000-0000-00002F200000}"/>
    <cellStyle name="Normal 9 3 4 5 2 2" xfId="8698" xr:uid="{00000000-0005-0000-0000-000030200000}"/>
    <cellStyle name="Normal 9 3 4 5 2 3" xfId="13362" xr:uid="{26B5E019-630F-41C6-B75E-D95541346EFE}"/>
    <cellStyle name="Normal 9 3 4 5 3" xfId="6553" xr:uid="{00000000-0005-0000-0000-000031200000}"/>
    <cellStyle name="Normal 9 3 4 5 4" xfId="11217" xr:uid="{B11A6634-2083-47EB-8585-ED1CB5340E61}"/>
    <cellStyle name="Normal 9 3 4 6" xfId="2681" xr:uid="{00000000-0005-0000-0000-000032200000}"/>
    <cellStyle name="Normal 9 3 4 6 2" xfId="6966" xr:uid="{00000000-0005-0000-0000-000033200000}"/>
    <cellStyle name="Normal 9 3 4 6 3" xfId="11630" xr:uid="{C191A378-B394-46A1-87DC-429D9B513934}"/>
    <cellStyle name="Normal 9 3 4 7" xfId="4901" xr:uid="{00000000-0005-0000-0000-000034200000}"/>
    <cellStyle name="Normal 9 3 4 7 2" xfId="9562" xr:uid="{39F115A5-CC9E-4010-A21E-4A846105EE7D}"/>
    <cellStyle name="Normal 9 3 4 8" xfId="9111" xr:uid="{55433F84-B42B-4DF6-AF52-22ADE0F08D0E}"/>
    <cellStyle name="Normal 9 3 5" xfId="995" xr:uid="{00000000-0005-0000-0000-000035200000}"/>
    <cellStyle name="Normal 9 3 5 2" xfId="3228" xr:uid="{00000000-0005-0000-0000-000036200000}"/>
    <cellStyle name="Normal 9 3 5 2 2" xfId="7452" xr:uid="{00000000-0005-0000-0000-000037200000}"/>
    <cellStyle name="Normal 9 3 5 2 3" xfId="12116" xr:uid="{751475E1-4A7D-49F7-85E3-3E8985697BCA}"/>
    <cellStyle name="Normal 9 3 5 3" xfId="5307" xr:uid="{00000000-0005-0000-0000-000038200000}"/>
    <cellStyle name="Normal 9 3 5 4" xfId="9970" xr:uid="{A5D59200-A375-4EB9-9481-9B4594995B18}"/>
    <cellStyle name="Normal 9 3 6" xfId="1411" xr:uid="{00000000-0005-0000-0000-000039200000}"/>
    <cellStyle name="Normal 9 3 6 2" xfId="3641" xr:uid="{00000000-0005-0000-0000-00003A200000}"/>
    <cellStyle name="Normal 9 3 6 2 2" xfId="7865" xr:uid="{00000000-0005-0000-0000-00003B200000}"/>
    <cellStyle name="Normal 9 3 6 2 3" xfId="12529" xr:uid="{6ACD19C0-0B27-45E6-8DF0-DAB571A83EE1}"/>
    <cellStyle name="Normal 9 3 6 3" xfId="5720" xr:uid="{00000000-0005-0000-0000-00003C200000}"/>
    <cellStyle name="Normal 9 3 6 4" xfId="10384" xr:uid="{1AB3D9A6-EFDD-43C3-9B38-205723096944}"/>
    <cellStyle name="Normal 9 3 7" xfId="1824" xr:uid="{00000000-0005-0000-0000-00003D200000}"/>
    <cellStyle name="Normal 9 3 7 2" xfId="4054" xr:uid="{00000000-0005-0000-0000-00003E200000}"/>
    <cellStyle name="Normal 9 3 7 2 2" xfId="8278" xr:uid="{00000000-0005-0000-0000-00003F200000}"/>
    <cellStyle name="Normal 9 3 7 2 3" xfId="12942" xr:uid="{932DEDD0-71C0-4909-90EF-68A4D3BC73D5}"/>
    <cellStyle name="Normal 9 3 7 3" xfId="6133" xr:uid="{00000000-0005-0000-0000-000040200000}"/>
    <cellStyle name="Normal 9 3 7 4" xfId="10797" xr:uid="{4B7CB948-F725-4A4D-BAA6-D7ECE913E315}"/>
    <cellStyle name="Normal 9 3 8" xfId="2238" xr:uid="{00000000-0005-0000-0000-000041200000}"/>
    <cellStyle name="Normal 9 3 8 2" xfId="4467" xr:uid="{00000000-0005-0000-0000-000042200000}"/>
    <cellStyle name="Normal 9 3 8 2 2" xfId="8691" xr:uid="{00000000-0005-0000-0000-000043200000}"/>
    <cellStyle name="Normal 9 3 8 2 3" xfId="13355" xr:uid="{6A889DF0-B861-40A6-8678-EAA88120B9EB}"/>
    <cellStyle name="Normal 9 3 8 3" xfId="6546" xr:uid="{00000000-0005-0000-0000-000044200000}"/>
    <cellStyle name="Normal 9 3 8 4" xfId="11210" xr:uid="{F97C5F8F-A773-41D2-A086-C6FBD3212F8D}"/>
    <cellStyle name="Normal 9 3 9" xfId="2674" xr:uid="{00000000-0005-0000-0000-000045200000}"/>
    <cellStyle name="Normal 9 3 9 2" xfId="6959" xr:uid="{00000000-0005-0000-0000-000046200000}"/>
    <cellStyle name="Normal 9 3 9 3" xfId="11623" xr:uid="{78CD831D-E87D-4591-81C4-CFAE0CEC70BE}"/>
    <cellStyle name="Normal 9 4" xfId="535" xr:uid="{00000000-0005-0000-0000-000047200000}"/>
    <cellStyle name="Normal 9 4 2" xfId="1003" xr:uid="{00000000-0005-0000-0000-000048200000}"/>
    <cellStyle name="Normal 9 4 3" xfId="9563" xr:uid="{81406693-B3BB-4457-A176-27376B7073E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3" xfId="12125" xr:uid="{30A245BF-9721-4E7A-89DC-511F1BB68177}"/>
    <cellStyle name="Normal 9 5 2 2 3" xfId="5316" xr:uid="{00000000-0005-0000-0000-00004E200000}"/>
    <cellStyle name="Normal 9 5 2 2 4" xfId="9979" xr:uid="{415DAE44-FD68-4308-A3F0-040D4C82527F}"/>
    <cellStyle name="Normal 9 5 2 3" xfId="1420" xr:uid="{00000000-0005-0000-0000-00004F200000}"/>
    <cellStyle name="Normal 9 5 2 3 2" xfId="3650" xr:uid="{00000000-0005-0000-0000-000050200000}"/>
    <cellStyle name="Normal 9 5 2 3 2 2" xfId="7874" xr:uid="{00000000-0005-0000-0000-000051200000}"/>
    <cellStyle name="Normal 9 5 2 3 2 3" xfId="12538" xr:uid="{C1DEF261-DDAC-4C48-89B4-4B6226CB1D8D}"/>
    <cellStyle name="Normal 9 5 2 3 3" xfId="5729" xr:uid="{00000000-0005-0000-0000-000052200000}"/>
    <cellStyle name="Normal 9 5 2 3 4" xfId="10393" xr:uid="{34F48B4B-F7C7-4BA1-9907-4DD0F3E41E3E}"/>
    <cellStyle name="Normal 9 5 2 4" xfId="1833" xr:uid="{00000000-0005-0000-0000-000053200000}"/>
    <cellStyle name="Normal 9 5 2 4 2" xfId="4063" xr:uid="{00000000-0005-0000-0000-000054200000}"/>
    <cellStyle name="Normal 9 5 2 4 2 2" xfId="8287" xr:uid="{00000000-0005-0000-0000-000055200000}"/>
    <cellStyle name="Normal 9 5 2 4 2 3" xfId="12951" xr:uid="{25F68C3B-C7C1-4564-AC02-E624EACADC9C}"/>
    <cellStyle name="Normal 9 5 2 4 3" xfId="6142" xr:uid="{00000000-0005-0000-0000-000056200000}"/>
    <cellStyle name="Normal 9 5 2 4 4" xfId="10806" xr:uid="{25F55E24-356B-43B4-AFE2-9B58DBD9CD0F}"/>
    <cellStyle name="Normal 9 5 2 5" xfId="2247" xr:uid="{00000000-0005-0000-0000-000057200000}"/>
    <cellStyle name="Normal 9 5 2 5 2" xfId="4476" xr:uid="{00000000-0005-0000-0000-000058200000}"/>
    <cellStyle name="Normal 9 5 2 5 2 2" xfId="8700" xr:uid="{00000000-0005-0000-0000-000059200000}"/>
    <cellStyle name="Normal 9 5 2 5 2 3" xfId="13364" xr:uid="{CA8B0736-C4F3-45D8-B986-B3F9C1E7F8D8}"/>
    <cellStyle name="Normal 9 5 2 5 3" xfId="6555" xr:uid="{00000000-0005-0000-0000-00005A200000}"/>
    <cellStyle name="Normal 9 5 2 5 4" xfId="11219" xr:uid="{E07317FA-9005-4A9F-97A2-305A89DB26CC}"/>
    <cellStyle name="Normal 9 5 2 6" xfId="2683" xr:uid="{00000000-0005-0000-0000-00005B200000}"/>
    <cellStyle name="Normal 9 5 2 6 2" xfId="6968" xr:uid="{00000000-0005-0000-0000-00005C200000}"/>
    <cellStyle name="Normal 9 5 2 6 3" xfId="11632" xr:uid="{AA41B8C8-FF51-4AC8-8186-A160A62A2EFC}"/>
    <cellStyle name="Normal 9 5 2 7" xfId="4903" xr:uid="{00000000-0005-0000-0000-00005D200000}"/>
    <cellStyle name="Normal 9 5 2 7 2" xfId="9565" xr:uid="{C3193E13-A971-4782-9DED-B418DF135630}"/>
    <cellStyle name="Normal 9 5 2 8" xfId="9113" xr:uid="{3EC06027-7C9E-4390-8779-1DC88164C065}"/>
    <cellStyle name="Normal 9 5 3" xfId="1004" xr:uid="{00000000-0005-0000-0000-00005E200000}"/>
    <cellStyle name="Normal 9 5 3 2" xfId="3236" xr:uid="{00000000-0005-0000-0000-00005F200000}"/>
    <cellStyle name="Normal 9 5 3 2 2" xfId="7460" xr:uid="{00000000-0005-0000-0000-000060200000}"/>
    <cellStyle name="Normal 9 5 3 2 3" xfId="12124" xr:uid="{D65CAA45-2237-486B-BB5A-AA1955D880FC}"/>
    <cellStyle name="Normal 9 5 3 3" xfId="5315" xr:uid="{00000000-0005-0000-0000-000061200000}"/>
    <cellStyle name="Normal 9 5 3 4" xfId="9978" xr:uid="{70D8FBA9-2B73-4DB5-A688-A89D0FCC1685}"/>
    <cellStyle name="Normal 9 5 4" xfId="1419" xr:uid="{00000000-0005-0000-0000-000062200000}"/>
    <cellStyle name="Normal 9 5 4 2" xfId="3649" xr:uid="{00000000-0005-0000-0000-000063200000}"/>
    <cellStyle name="Normal 9 5 4 2 2" xfId="7873" xr:uid="{00000000-0005-0000-0000-000064200000}"/>
    <cellStyle name="Normal 9 5 4 2 3" xfId="12537" xr:uid="{F1D72B6D-7DA2-42C0-9D77-C458103FFE75}"/>
    <cellStyle name="Normal 9 5 4 3" xfId="5728" xr:uid="{00000000-0005-0000-0000-000065200000}"/>
    <cellStyle name="Normal 9 5 4 4" xfId="10392" xr:uid="{9B5585C8-7046-4425-B179-2EADFDFE39F1}"/>
    <cellStyle name="Normal 9 5 5" xfId="1832" xr:uid="{00000000-0005-0000-0000-000066200000}"/>
    <cellStyle name="Normal 9 5 5 2" xfId="4062" xr:uid="{00000000-0005-0000-0000-000067200000}"/>
    <cellStyle name="Normal 9 5 5 2 2" xfId="8286" xr:uid="{00000000-0005-0000-0000-000068200000}"/>
    <cellStyle name="Normal 9 5 5 2 3" xfId="12950" xr:uid="{76D6CB8B-2D80-4169-BA67-DE4939BB1800}"/>
    <cellStyle name="Normal 9 5 5 3" xfId="6141" xr:uid="{00000000-0005-0000-0000-000069200000}"/>
    <cellStyle name="Normal 9 5 5 4" xfId="10805" xr:uid="{3C5EB0C2-D14E-41C1-BFF0-02D89287B078}"/>
    <cellStyle name="Normal 9 5 6" xfId="2246" xr:uid="{00000000-0005-0000-0000-00006A200000}"/>
    <cellStyle name="Normal 9 5 6 2" xfId="4475" xr:uid="{00000000-0005-0000-0000-00006B200000}"/>
    <cellStyle name="Normal 9 5 6 2 2" xfId="8699" xr:uid="{00000000-0005-0000-0000-00006C200000}"/>
    <cellStyle name="Normal 9 5 6 2 3" xfId="13363" xr:uid="{4BAC835C-D3B2-4326-BA2D-67824B6EFBB1}"/>
    <cellStyle name="Normal 9 5 6 3" xfId="6554" xr:uid="{00000000-0005-0000-0000-00006D200000}"/>
    <cellStyle name="Normal 9 5 6 4" xfId="11218" xr:uid="{EC426A0C-86A0-43FF-880C-AFE9EDA2A480}"/>
    <cellStyle name="Normal 9 5 7" xfId="2682" xr:uid="{00000000-0005-0000-0000-00006E200000}"/>
    <cellStyle name="Normal 9 5 7 2" xfId="6967" xr:uid="{00000000-0005-0000-0000-00006F200000}"/>
    <cellStyle name="Normal 9 5 7 3" xfId="11631" xr:uid="{93DD5930-786E-451B-8BF5-BF507B1CDF6E}"/>
    <cellStyle name="Normal 9 5 8" xfId="4902" xr:uid="{00000000-0005-0000-0000-000070200000}"/>
    <cellStyle name="Normal 9 5 8 2" xfId="9564" xr:uid="{8B51C304-9B4B-4C9A-8505-5952C833EB7F}"/>
    <cellStyle name="Normal 9 5 9" xfId="9112" xr:uid="{2DD0C578-CB0D-4DAD-8F93-CD0F8892CB24}"/>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3" xfId="12126" xr:uid="{B6B22CFC-48B6-45DB-BD0C-0C0CF2A6B66D}"/>
    <cellStyle name="Normal 9 6 2 3" xfId="5317" xr:uid="{00000000-0005-0000-0000-000075200000}"/>
    <cellStyle name="Normal 9 6 2 4" xfId="9980" xr:uid="{A0DDA6CE-27A6-4219-AF9C-A8B6FCF95934}"/>
    <cellStyle name="Normal 9 6 3" xfId="1421" xr:uid="{00000000-0005-0000-0000-000076200000}"/>
    <cellStyle name="Normal 9 6 3 2" xfId="3651" xr:uid="{00000000-0005-0000-0000-000077200000}"/>
    <cellStyle name="Normal 9 6 3 2 2" xfId="7875" xr:uid="{00000000-0005-0000-0000-000078200000}"/>
    <cellStyle name="Normal 9 6 3 2 3" xfId="12539" xr:uid="{7D7C0B1E-F21D-41B7-B21C-12C7ED96B800}"/>
    <cellStyle name="Normal 9 6 3 3" xfId="5730" xr:uid="{00000000-0005-0000-0000-000079200000}"/>
    <cellStyle name="Normal 9 6 3 4" xfId="10394" xr:uid="{F6B4ED86-DDA2-400C-A363-29A2BADD07E4}"/>
    <cellStyle name="Normal 9 6 4" xfId="1834" xr:uid="{00000000-0005-0000-0000-00007A200000}"/>
    <cellStyle name="Normal 9 6 4 2" xfId="4064" xr:uid="{00000000-0005-0000-0000-00007B200000}"/>
    <cellStyle name="Normal 9 6 4 2 2" xfId="8288" xr:uid="{00000000-0005-0000-0000-00007C200000}"/>
    <cellStyle name="Normal 9 6 4 2 3" xfId="12952" xr:uid="{EF8C53EF-B353-4E02-ABE8-F1BCD0B89A1B}"/>
    <cellStyle name="Normal 9 6 4 3" xfId="6143" xr:uid="{00000000-0005-0000-0000-00007D200000}"/>
    <cellStyle name="Normal 9 6 4 4" xfId="10807" xr:uid="{F6DC0DEE-7699-405D-938C-141DDB9E24D6}"/>
    <cellStyle name="Normal 9 6 5" xfId="2248" xr:uid="{00000000-0005-0000-0000-00007E200000}"/>
    <cellStyle name="Normal 9 6 5 2" xfId="4477" xr:uid="{00000000-0005-0000-0000-00007F200000}"/>
    <cellStyle name="Normal 9 6 5 2 2" xfId="8701" xr:uid="{00000000-0005-0000-0000-000080200000}"/>
    <cellStyle name="Normal 9 6 5 2 3" xfId="13365" xr:uid="{D3A01992-7F83-4581-9B5D-DDAB17EDC912}"/>
    <cellStyle name="Normal 9 6 5 3" xfId="6556" xr:uid="{00000000-0005-0000-0000-000081200000}"/>
    <cellStyle name="Normal 9 6 5 4" xfId="11220" xr:uid="{744CA73F-6345-456E-B127-EF25EF80645E}"/>
    <cellStyle name="Normal 9 6 6" xfId="2684" xr:uid="{00000000-0005-0000-0000-000082200000}"/>
    <cellStyle name="Normal 9 6 6 2" xfId="6969" xr:uid="{00000000-0005-0000-0000-000083200000}"/>
    <cellStyle name="Normal 9 6 6 3" xfId="11633" xr:uid="{1CD6CD94-7F01-452E-81A3-2E0667DD2D7B}"/>
    <cellStyle name="Normal 9 6 7" xfId="4904" xr:uid="{00000000-0005-0000-0000-000084200000}"/>
    <cellStyle name="Normal 9 6 7 2" xfId="9566" xr:uid="{117FD5DC-AACA-44D5-B6C1-43E1597C8606}"/>
    <cellStyle name="Normal 9 6 8" xfId="9114" xr:uid="{50C73B4C-B809-49E1-99C1-F1C149D0A798}"/>
    <cellStyle name="Normal 9 7" xfId="978" xr:uid="{00000000-0005-0000-0000-000085200000}"/>
    <cellStyle name="Normal 9 8" xfId="9538" xr:uid="{D4F94C5E-35F9-4107-B053-18AEEECC3B27}"/>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3" xfId="11714" xr:uid="{BDF71B7C-3C24-4228-BCF3-98DBCD495C17}"/>
    <cellStyle name="Note 2 2 11" xfId="4905" xr:uid="{00000000-0005-0000-0000-000093200000}"/>
    <cellStyle name="Note 2 2 11 2" xfId="9567" xr:uid="{40BF9C1E-0F3E-4E45-A11D-226C0DD4A6FE}"/>
    <cellStyle name="Note 2 2 12" xfId="9115" xr:uid="{53EF0B7A-5CE1-405C-977D-2130AF1B3B4F}"/>
    <cellStyle name="Note 2 2 2" xfId="547" xr:uid="{00000000-0005-0000-0000-000094200000}"/>
    <cellStyle name="Note 2 2 2 10" xfId="4906" xr:uid="{00000000-0005-0000-0000-000095200000}"/>
    <cellStyle name="Note 2 2 2 10 2" xfId="9568" xr:uid="{BDF32B7C-9121-4B13-B31C-80D862390342}"/>
    <cellStyle name="Note 2 2 2 11" xfId="9116" xr:uid="{6974E0E9-C5E1-4F11-A0B0-24EEEF1DCFCA}"/>
    <cellStyle name="Note 2 2 2 2" xfId="548" xr:uid="{00000000-0005-0000-0000-000096200000}"/>
    <cellStyle name="Note 2 2 2 2 10" xfId="9117" xr:uid="{59D8DE4C-3EC7-4635-9630-4152A557B5E2}"/>
    <cellStyle name="Note 2 2 2 2 2" xfId="1009" xr:uid="{00000000-0005-0000-0000-000097200000}"/>
    <cellStyle name="Note 2 2 2 2 2 2" xfId="3241" xr:uid="{00000000-0005-0000-0000-000098200000}"/>
    <cellStyle name="Note 2 2 2 2 2 2 2" xfId="7465" xr:uid="{00000000-0005-0000-0000-000099200000}"/>
    <cellStyle name="Note 2 2 2 2 2 2 3" xfId="12129" xr:uid="{8EEC8420-59E1-46B6-9139-FC6CFA545DEE}"/>
    <cellStyle name="Note 2 2 2 2 2 3" xfId="5320" xr:uid="{00000000-0005-0000-0000-00009A200000}"/>
    <cellStyle name="Note 2 2 2 2 2 4" xfId="9983" xr:uid="{FAAE766F-FC00-4ABE-91D2-6C1EC671CCFC}"/>
    <cellStyle name="Note 2 2 2 2 3" xfId="1424" xr:uid="{00000000-0005-0000-0000-00009B200000}"/>
    <cellStyle name="Note 2 2 2 2 3 2" xfId="3654" xr:uid="{00000000-0005-0000-0000-00009C200000}"/>
    <cellStyle name="Note 2 2 2 2 3 2 2" xfId="7878" xr:uid="{00000000-0005-0000-0000-00009D200000}"/>
    <cellStyle name="Note 2 2 2 2 3 2 3" xfId="12542" xr:uid="{451900A9-C9B4-460E-85BD-E888DA4B52E1}"/>
    <cellStyle name="Note 2 2 2 2 3 3" xfId="5733" xr:uid="{00000000-0005-0000-0000-00009E200000}"/>
    <cellStyle name="Note 2 2 2 2 3 4" xfId="10397" xr:uid="{5C860EEA-EF0A-4A82-8C28-8B63DE50AEBA}"/>
    <cellStyle name="Note 2 2 2 2 4" xfId="1838" xr:uid="{00000000-0005-0000-0000-00009F200000}"/>
    <cellStyle name="Note 2 2 2 2 4 2" xfId="4067" xr:uid="{00000000-0005-0000-0000-0000A0200000}"/>
    <cellStyle name="Note 2 2 2 2 4 2 2" xfId="8291" xr:uid="{00000000-0005-0000-0000-0000A1200000}"/>
    <cellStyle name="Note 2 2 2 2 4 2 3" xfId="12955" xr:uid="{C9AA6D5A-64E4-4106-BC09-AAF9B1CBED6B}"/>
    <cellStyle name="Note 2 2 2 2 4 3" xfId="6146" xr:uid="{00000000-0005-0000-0000-0000A2200000}"/>
    <cellStyle name="Note 2 2 2 2 4 4" xfId="10810" xr:uid="{7EEA97F0-5FEA-4CDC-A1BF-8F1FB01C9DB5}"/>
    <cellStyle name="Note 2 2 2 2 5" xfId="2251" xr:uid="{00000000-0005-0000-0000-0000A3200000}"/>
    <cellStyle name="Note 2 2 2 2 5 2" xfId="4480" xr:uid="{00000000-0005-0000-0000-0000A4200000}"/>
    <cellStyle name="Note 2 2 2 2 5 2 2" xfId="8704" xr:uid="{00000000-0005-0000-0000-0000A5200000}"/>
    <cellStyle name="Note 2 2 2 2 5 2 3" xfId="13368" xr:uid="{93D1C059-308D-45CB-930E-B6FC2106CBDC}"/>
    <cellStyle name="Note 2 2 2 2 5 3" xfId="6559" xr:uid="{00000000-0005-0000-0000-0000A6200000}"/>
    <cellStyle name="Note 2 2 2 2 5 4" xfId="11223" xr:uid="{0EEC97F7-9F66-4B16-B42F-34A6288D3045}"/>
    <cellStyle name="Note 2 2 2 2 6" xfId="2687" xr:uid="{00000000-0005-0000-0000-0000A7200000}"/>
    <cellStyle name="Note 2 2 2 2 6 2" xfId="6972" xr:uid="{00000000-0005-0000-0000-0000A8200000}"/>
    <cellStyle name="Note 2 2 2 2 6 3" xfId="11636" xr:uid="{D46336DA-4EBB-41BE-9390-09BF69F9D6D6}"/>
    <cellStyle name="Note 2 2 2 2 7" xfId="2746" xr:uid="{00000000-0005-0000-0000-0000A9200000}"/>
    <cellStyle name="Note 2 2 2 2 8" xfId="2827" xr:uid="{00000000-0005-0000-0000-0000AA200000}"/>
    <cellStyle name="Note 2 2 2 2 8 2" xfId="7052" xr:uid="{00000000-0005-0000-0000-0000AB200000}"/>
    <cellStyle name="Note 2 2 2 2 8 3" xfId="11716" xr:uid="{A8BEFB34-C83B-4904-8587-852A7A1D1DA7}"/>
    <cellStyle name="Note 2 2 2 2 9" xfId="4907" xr:uid="{00000000-0005-0000-0000-0000AC200000}"/>
    <cellStyle name="Note 2 2 2 2 9 2" xfId="9569" xr:uid="{21989D4E-17D9-4B82-B91D-83914499AFA2}"/>
    <cellStyle name="Note 2 2 2 3" xfId="1008" xr:uid="{00000000-0005-0000-0000-0000AD200000}"/>
    <cellStyle name="Note 2 2 2 3 2" xfId="3240" xr:uid="{00000000-0005-0000-0000-0000AE200000}"/>
    <cellStyle name="Note 2 2 2 3 2 2" xfId="7464" xr:uid="{00000000-0005-0000-0000-0000AF200000}"/>
    <cellStyle name="Note 2 2 2 3 2 3" xfId="12128" xr:uid="{60ADA556-5F74-4210-BF7D-C6CA45680452}"/>
    <cellStyle name="Note 2 2 2 3 3" xfId="5319" xr:uid="{00000000-0005-0000-0000-0000B0200000}"/>
    <cellStyle name="Note 2 2 2 3 4" xfId="9982" xr:uid="{F1062D0D-1AD0-4DE5-8423-D4CD3779BF52}"/>
    <cellStyle name="Note 2 2 2 4" xfId="1423" xr:uid="{00000000-0005-0000-0000-0000B1200000}"/>
    <cellStyle name="Note 2 2 2 4 2" xfId="3653" xr:uid="{00000000-0005-0000-0000-0000B2200000}"/>
    <cellStyle name="Note 2 2 2 4 2 2" xfId="7877" xr:uid="{00000000-0005-0000-0000-0000B3200000}"/>
    <cellStyle name="Note 2 2 2 4 2 3" xfId="12541" xr:uid="{C2F60CC5-23B6-4985-9D29-F25E530F2147}"/>
    <cellStyle name="Note 2 2 2 4 3" xfId="5732" xr:uid="{00000000-0005-0000-0000-0000B4200000}"/>
    <cellStyle name="Note 2 2 2 4 4" xfId="10396" xr:uid="{9664F6D1-A852-47E1-9A44-EFED242E94C8}"/>
    <cellStyle name="Note 2 2 2 5" xfId="1837" xr:uid="{00000000-0005-0000-0000-0000B5200000}"/>
    <cellStyle name="Note 2 2 2 5 2" xfId="4066" xr:uid="{00000000-0005-0000-0000-0000B6200000}"/>
    <cellStyle name="Note 2 2 2 5 2 2" xfId="8290" xr:uid="{00000000-0005-0000-0000-0000B7200000}"/>
    <cellStyle name="Note 2 2 2 5 2 3" xfId="12954" xr:uid="{AC5EB83B-4651-4985-9BF0-184CCE426DD2}"/>
    <cellStyle name="Note 2 2 2 5 3" xfId="6145" xr:uid="{00000000-0005-0000-0000-0000B8200000}"/>
    <cellStyle name="Note 2 2 2 5 4" xfId="10809" xr:uid="{32975400-E2EF-44B9-B3B9-DFD69B89CFBF}"/>
    <cellStyle name="Note 2 2 2 6" xfId="2250" xr:uid="{00000000-0005-0000-0000-0000B9200000}"/>
    <cellStyle name="Note 2 2 2 6 2" xfId="4479" xr:uid="{00000000-0005-0000-0000-0000BA200000}"/>
    <cellStyle name="Note 2 2 2 6 2 2" xfId="8703" xr:uid="{00000000-0005-0000-0000-0000BB200000}"/>
    <cellStyle name="Note 2 2 2 6 2 3" xfId="13367" xr:uid="{0BA91F43-1FED-4FE2-A514-5DD0BF9F5DC1}"/>
    <cellStyle name="Note 2 2 2 6 3" xfId="6558" xr:uid="{00000000-0005-0000-0000-0000BC200000}"/>
    <cellStyle name="Note 2 2 2 6 4" xfId="11222" xr:uid="{AA7FFE74-2908-4DB2-B309-A3AE18B65B50}"/>
    <cellStyle name="Note 2 2 2 7" xfId="2686" xr:uid="{00000000-0005-0000-0000-0000BD200000}"/>
    <cellStyle name="Note 2 2 2 7 2" xfId="6971" xr:uid="{00000000-0005-0000-0000-0000BE200000}"/>
    <cellStyle name="Note 2 2 2 7 3" xfId="11635" xr:uid="{EB6360A1-D53D-4626-B544-BF5AC039F9E3}"/>
    <cellStyle name="Note 2 2 2 8" xfId="2745" xr:uid="{00000000-0005-0000-0000-0000BF200000}"/>
    <cellStyle name="Note 2 2 2 9" xfId="2826" xr:uid="{00000000-0005-0000-0000-0000C0200000}"/>
    <cellStyle name="Note 2 2 2 9 2" xfId="7051" xr:uid="{00000000-0005-0000-0000-0000C1200000}"/>
    <cellStyle name="Note 2 2 2 9 3" xfId="11715" xr:uid="{64F3204A-8EB1-4E7F-84BC-451FA002F12A}"/>
    <cellStyle name="Note 2 2 3" xfId="549" xr:uid="{00000000-0005-0000-0000-0000C2200000}"/>
    <cellStyle name="Note 2 2 3 10" xfId="9118" xr:uid="{EA85D3F4-48D1-4602-BA78-73F6FF181691}"/>
    <cellStyle name="Note 2 2 3 2" xfId="1010" xr:uid="{00000000-0005-0000-0000-0000C3200000}"/>
    <cellStyle name="Note 2 2 3 2 2" xfId="3242" xr:uid="{00000000-0005-0000-0000-0000C4200000}"/>
    <cellStyle name="Note 2 2 3 2 2 2" xfId="7466" xr:uid="{00000000-0005-0000-0000-0000C5200000}"/>
    <cellStyle name="Note 2 2 3 2 2 3" xfId="12130" xr:uid="{D2E16256-3119-42F1-906C-092E923120A5}"/>
    <cellStyle name="Note 2 2 3 2 3" xfId="5321" xr:uid="{00000000-0005-0000-0000-0000C6200000}"/>
    <cellStyle name="Note 2 2 3 2 4" xfId="9984" xr:uid="{FAFBA3DF-DE35-4C1B-9E4C-1D3D5FAFCA9A}"/>
    <cellStyle name="Note 2 2 3 3" xfId="1425" xr:uid="{00000000-0005-0000-0000-0000C7200000}"/>
    <cellStyle name="Note 2 2 3 3 2" xfId="3655" xr:uid="{00000000-0005-0000-0000-0000C8200000}"/>
    <cellStyle name="Note 2 2 3 3 2 2" xfId="7879" xr:uid="{00000000-0005-0000-0000-0000C9200000}"/>
    <cellStyle name="Note 2 2 3 3 2 3" xfId="12543" xr:uid="{DEDF0D83-B5E8-4BD6-99C0-85C1082380E7}"/>
    <cellStyle name="Note 2 2 3 3 3" xfId="5734" xr:uid="{00000000-0005-0000-0000-0000CA200000}"/>
    <cellStyle name="Note 2 2 3 3 4" xfId="10398" xr:uid="{60C56A00-ABDF-4CC2-9537-4135151D91E1}"/>
    <cellStyle name="Note 2 2 3 4" xfId="1839" xr:uid="{00000000-0005-0000-0000-0000CB200000}"/>
    <cellStyle name="Note 2 2 3 4 2" xfId="4068" xr:uid="{00000000-0005-0000-0000-0000CC200000}"/>
    <cellStyle name="Note 2 2 3 4 2 2" xfId="8292" xr:uid="{00000000-0005-0000-0000-0000CD200000}"/>
    <cellStyle name="Note 2 2 3 4 2 3" xfId="12956" xr:uid="{B81300DA-EFD8-49BD-8302-BAA3BFA338B6}"/>
    <cellStyle name="Note 2 2 3 4 3" xfId="6147" xr:uid="{00000000-0005-0000-0000-0000CE200000}"/>
    <cellStyle name="Note 2 2 3 4 4" xfId="10811" xr:uid="{350DDD1A-E5DE-4F7C-AC93-C1FD0063B9B2}"/>
    <cellStyle name="Note 2 2 3 5" xfId="2252" xr:uid="{00000000-0005-0000-0000-0000CF200000}"/>
    <cellStyle name="Note 2 2 3 5 2" xfId="4481" xr:uid="{00000000-0005-0000-0000-0000D0200000}"/>
    <cellStyle name="Note 2 2 3 5 2 2" xfId="8705" xr:uid="{00000000-0005-0000-0000-0000D1200000}"/>
    <cellStyle name="Note 2 2 3 5 2 3" xfId="13369" xr:uid="{59403AE1-F76D-4825-B064-5DEAEE47D186}"/>
    <cellStyle name="Note 2 2 3 5 3" xfId="6560" xr:uid="{00000000-0005-0000-0000-0000D2200000}"/>
    <cellStyle name="Note 2 2 3 5 4" xfId="11224" xr:uid="{2B156415-1473-4E1B-BC7B-81AF1DA16F19}"/>
    <cellStyle name="Note 2 2 3 6" xfId="2688" xr:uid="{00000000-0005-0000-0000-0000D3200000}"/>
    <cellStyle name="Note 2 2 3 6 2" xfId="6973" xr:uid="{00000000-0005-0000-0000-0000D4200000}"/>
    <cellStyle name="Note 2 2 3 6 3" xfId="11637" xr:uid="{D8B7C376-7E8F-4182-807B-8064E46DDB16}"/>
    <cellStyle name="Note 2 2 3 7" xfId="2747" xr:uid="{00000000-0005-0000-0000-0000D5200000}"/>
    <cellStyle name="Note 2 2 3 8" xfId="2828" xr:uid="{00000000-0005-0000-0000-0000D6200000}"/>
    <cellStyle name="Note 2 2 3 8 2" xfId="7053" xr:uid="{00000000-0005-0000-0000-0000D7200000}"/>
    <cellStyle name="Note 2 2 3 8 3" xfId="11717" xr:uid="{44595A1B-A515-43EF-ABDC-D39C2CD7B53D}"/>
    <cellStyle name="Note 2 2 3 9" xfId="4908" xr:uid="{00000000-0005-0000-0000-0000D8200000}"/>
    <cellStyle name="Note 2 2 3 9 2" xfId="9570" xr:uid="{7B182F03-BEA2-46E5-9B73-D0708AC0956E}"/>
    <cellStyle name="Note 2 2 4" xfId="1007" xr:uid="{00000000-0005-0000-0000-0000D9200000}"/>
    <cellStyle name="Note 2 2 4 2" xfId="3239" xr:uid="{00000000-0005-0000-0000-0000DA200000}"/>
    <cellStyle name="Note 2 2 4 2 2" xfId="7463" xr:uid="{00000000-0005-0000-0000-0000DB200000}"/>
    <cellStyle name="Note 2 2 4 2 3" xfId="12127" xr:uid="{AEA9239D-937A-4A5C-A1B6-27B9337A2799}"/>
    <cellStyle name="Note 2 2 4 3" xfId="5318" xr:uid="{00000000-0005-0000-0000-0000DC200000}"/>
    <cellStyle name="Note 2 2 4 4" xfId="9981" xr:uid="{EB17FBF4-EDEA-45F6-AF2B-ED8D58888A97}"/>
    <cellStyle name="Note 2 2 5" xfId="1422" xr:uid="{00000000-0005-0000-0000-0000DD200000}"/>
    <cellStyle name="Note 2 2 5 2" xfId="3652" xr:uid="{00000000-0005-0000-0000-0000DE200000}"/>
    <cellStyle name="Note 2 2 5 2 2" xfId="7876" xr:uid="{00000000-0005-0000-0000-0000DF200000}"/>
    <cellStyle name="Note 2 2 5 2 3" xfId="12540" xr:uid="{04250672-55A9-492A-8948-324679F97CFD}"/>
    <cellStyle name="Note 2 2 5 3" xfId="5731" xr:uid="{00000000-0005-0000-0000-0000E0200000}"/>
    <cellStyle name="Note 2 2 5 4" xfId="10395" xr:uid="{A25565AE-1314-46B9-8EC6-C412790846D1}"/>
    <cellStyle name="Note 2 2 6" xfId="1836" xr:uid="{00000000-0005-0000-0000-0000E1200000}"/>
    <cellStyle name="Note 2 2 6 2" xfId="4065" xr:uid="{00000000-0005-0000-0000-0000E2200000}"/>
    <cellStyle name="Note 2 2 6 2 2" xfId="8289" xr:uid="{00000000-0005-0000-0000-0000E3200000}"/>
    <cellStyle name="Note 2 2 6 2 3" xfId="12953" xr:uid="{46E3C880-9BC2-4EAF-BA01-46421B5F6626}"/>
    <cellStyle name="Note 2 2 6 3" xfId="6144" xr:uid="{00000000-0005-0000-0000-0000E4200000}"/>
    <cellStyle name="Note 2 2 6 4" xfId="10808" xr:uid="{A201DEC8-C8D5-4924-9235-D790523B44F4}"/>
    <cellStyle name="Note 2 2 7" xfId="2249" xr:uid="{00000000-0005-0000-0000-0000E5200000}"/>
    <cellStyle name="Note 2 2 7 2" xfId="4478" xr:uid="{00000000-0005-0000-0000-0000E6200000}"/>
    <cellStyle name="Note 2 2 7 2 2" xfId="8702" xr:uid="{00000000-0005-0000-0000-0000E7200000}"/>
    <cellStyle name="Note 2 2 7 2 3" xfId="13366" xr:uid="{BCFAEA3E-B7AA-4779-B99B-A914AEA1645E}"/>
    <cellStyle name="Note 2 2 7 3" xfId="6557" xr:uid="{00000000-0005-0000-0000-0000E8200000}"/>
    <cellStyle name="Note 2 2 7 4" xfId="11221" xr:uid="{C895413C-7DC3-4C6F-BB8D-D2D60FB0CA3F}"/>
    <cellStyle name="Note 2 2 8" xfId="2685" xr:uid="{00000000-0005-0000-0000-0000E9200000}"/>
    <cellStyle name="Note 2 2 8 2" xfId="6970" xr:uid="{00000000-0005-0000-0000-0000EA200000}"/>
    <cellStyle name="Note 2 2 8 3" xfId="11634" xr:uid="{40F57E28-DD77-443B-BC0C-F559FF30CC07}"/>
    <cellStyle name="Note 2 2 9" xfId="2744" xr:uid="{00000000-0005-0000-0000-0000EB200000}"/>
    <cellStyle name="Note 2 3" xfId="550" xr:uid="{00000000-0005-0000-0000-0000EC200000}"/>
    <cellStyle name="Note 2 3 10" xfId="4909" xr:uid="{00000000-0005-0000-0000-0000ED200000}"/>
    <cellStyle name="Note 2 3 10 2" xfId="9571" xr:uid="{A9B56A92-A0B8-4919-9A9F-8B0CFEE5D76B}"/>
    <cellStyle name="Note 2 3 11" xfId="9119" xr:uid="{438CF828-8CFB-47C8-9766-80D1AEDF2334}"/>
    <cellStyle name="Note 2 3 2" xfId="551" xr:uid="{00000000-0005-0000-0000-0000EE200000}"/>
    <cellStyle name="Note 2 3 2 10" xfId="9120" xr:uid="{E2542822-6768-4C86-A878-B944B720BE66}"/>
    <cellStyle name="Note 2 3 2 2" xfId="1012" xr:uid="{00000000-0005-0000-0000-0000EF200000}"/>
    <cellStyle name="Note 2 3 2 2 2" xfId="3244" xr:uid="{00000000-0005-0000-0000-0000F0200000}"/>
    <cellStyle name="Note 2 3 2 2 2 2" xfId="7468" xr:uid="{00000000-0005-0000-0000-0000F1200000}"/>
    <cellStyle name="Note 2 3 2 2 2 3" xfId="12132" xr:uid="{86073F8D-8310-42DA-A1D5-B809882AC06C}"/>
    <cellStyle name="Note 2 3 2 2 3" xfId="5323" xr:uid="{00000000-0005-0000-0000-0000F2200000}"/>
    <cellStyle name="Note 2 3 2 2 4" xfId="9986" xr:uid="{94980E2F-9EA6-47AB-AB2A-25244122FA9D}"/>
    <cellStyle name="Note 2 3 2 3" xfId="1427" xr:uid="{00000000-0005-0000-0000-0000F3200000}"/>
    <cellStyle name="Note 2 3 2 3 2" xfId="3657" xr:uid="{00000000-0005-0000-0000-0000F4200000}"/>
    <cellStyle name="Note 2 3 2 3 2 2" xfId="7881" xr:uid="{00000000-0005-0000-0000-0000F5200000}"/>
    <cellStyle name="Note 2 3 2 3 2 3" xfId="12545" xr:uid="{01E78486-5DA9-4329-BFC3-1AB9B0C45860}"/>
    <cellStyle name="Note 2 3 2 3 3" xfId="5736" xr:uid="{00000000-0005-0000-0000-0000F6200000}"/>
    <cellStyle name="Note 2 3 2 3 4" xfId="10400" xr:uid="{87F2DAC2-1E46-48D6-B668-6C6C1850B7B2}"/>
    <cellStyle name="Note 2 3 2 4" xfId="1841" xr:uid="{00000000-0005-0000-0000-0000F7200000}"/>
    <cellStyle name="Note 2 3 2 4 2" xfId="4070" xr:uid="{00000000-0005-0000-0000-0000F8200000}"/>
    <cellStyle name="Note 2 3 2 4 2 2" xfId="8294" xr:uid="{00000000-0005-0000-0000-0000F9200000}"/>
    <cellStyle name="Note 2 3 2 4 2 3" xfId="12958" xr:uid="{B15C9747-CB91-4AA1-9D95-8CEC06BC97F3}"/>
    <cellStyle name="Note 2 3 2 4 3" xfId="6149" xr:uid="{00000000-0005-0000-0000-0000FA200000}"/>
    <cellStyle name="Note 2 3 2 4 4" xfId="10813" xr:uid="{211CAF8D-563C-4AEE-8B21-347E43A4F5D7}"/>
    <cellStyle name="Note 2 3 2 5" xfId="2254" xr:uid="{00000000-0005-0000-0000-0000FB200000}"/>
    <cellStyle name="Note 2 3 2 5 2" xfId="4483" xr:uid="{00000000-0005-0000-0000-0000FC200000}"/>
    <cellStyle name="Note 2 3 2 5 2 2" xfId="8707" xr:uid="{00000000-0005-0000-0000-0000FD200000}"/>
    <cellStyle name="Note 2 3 2 5 2 3" xfId="13371" xr:uid="{EB3ACFA4-3521-4BB1-9389-DE069988FCBF}"/>
    <cellStyle name="Note 2 3 2 5 3" xfId="6562" xr:uid="{00000000-0005-0000-0000-0000FE200000}"/>
    <cellStyle name="Note 2 3 2 5 4" xfId="11226" xr:uid="{E3F5143C-CBEC-41DB-B3A6-3186CDB8FBD8}"/>
    <cellStyle name="Note 2 3 2 6" xfId="2690" xr:uid="{00000000-0005-0000-0000-0000FF200000}"/>
    <cellStyle name="Note 2 3 2 6 2" xfId="6975" xr:uid="{00000000-0005-0000-0000-000000210000}"/>
    <cellStyle name="Note 2 3 2 6 3" xfId="11639" xr:uid="{47F15146-7655-40E2-8221-6CB39CCEB412}"/>
    <cellStyle name="Note 2 3 2 7" xfId="2749" xr:uid="{00000000-0005-0000-0000-000001210000}"/>
    <cellStyle name="Note 2 3 2 8" xfId="2830" xr:uid="{00000000-0005-0000-0000-000002210000}"/>
    <cellStyle name="Note 2 3 2 8 2" xfId="7055" xr:uid="{00000000-0005-0000-0000-000003210000}"/>
    <cellStyle name="Note 2 3 2 8 3" xfId="11719" xr:uid="{99C9337D-0649-4F83-93FD-C3ECAFB556B8}"/>
    <cellStyle name="Note 2 3 2 9" xfId="4910" xr:uid="{00000000-0005-0000-0000-000004210000}"/>
    <cellStyle name="Note 2 3 2 9 2" xfId="9572" xr:uid="{849763D3-98DC-4C7F-9691-2E8792A0126C}"/>
    <cellStyle name="Note 2 3 3" xfId="1011" xr:uid="{00000000-0005-0000-0000-000005210000}"/>
    <cellStyle name="Note 2 3 3 2" xfId="3243" xr:uid="{00000000-0005-0000-0000-000006210000}"/>
    <cellStyle name="Note 2 3 3 2 2" xfId="7467" xr:uid="{00000000-0005-0000-0000-000007210000}"/>
    <cellStyle name="Note 2 3 3 2 3" xfId="12131" xr:uid="{A46FC31C-E7DE-4008-A451-C2A799EF2836}"/>
    <cellStyle name="Note 2 3 3 3" xfId="5322" xr:uid="{00000000-0005-0000-0000-000008210000}"/>
    <cellStyle name="Note 2 3 3 4" xfId="9985" xr:uid="{4C94431D-236A-4A56-9192-7162FCFEA833}"/>
    <cellStyle name="Note 2 3 4" xfId="1426" xr:uid="{00000000-0005-0000-0000-000009210000}"/>
    <cellStyle name="Note 2 3 4 2" xfId="3656" xr:uid="{00000000-0005-0000-0000-00000A210000}"/>
    <cellStyle name="Note 2 3 4 2 2" xfId="7880" xr:uid="{00000000-0005-0000-0000-00000B210000}"/>
    <cellStyle name="Note 2 3 4 2 3" xfId="12544" xr:uid="{47CCF524-0C11-43EE-B103-79A8A87ED802}"/>
    <cellStyle name="Note 2 3 4 3" xfId="5735" xr:uid="{00000000-0005-0000-0000-00000C210000}"/>
    <cellStyle name="Note 2 3 4 4" xfId="10399" xr:uid="{662D5CF7-3E13-41EC-91F7-703BE7A3F874}"/>
    <cellStyle name="Note 2 3 5" xfId="1840" xr:uid="{00000000-0005-0000-0000-00000D210000}"/>
    <cellStyle name="Note 2 3 5 2" xfId="4069" xr:uid="{00000000-0005-0000-0000-00000E210000}"/>
    <cellStyle name="Note 2 3 5 2 2" xfId="8293" xr:uid="{00000000-0005-0000-0000-00000F210000}"/>
    <cellStyle name="Note 2 3 5 2 3" xfId="12957" xr:uid="{80F9BBA7-7C63-4276-9FAE-B5A9BB4359BE}"/>
    <cellStyle name="Note 2 3 5 3" xfId="6148" xr:uid="{00000000-0005-0000-0000-000010210000}"/>
    <cellStyle name="Note 2 3 5 4" xfId="10812" xr:uid="{93B1132D-C17D-4A32-9031-E515C5C206E4}"/>
    <cellStyle name="Note 2 3 6" xfId="2253" xr:uid="{00000000-0005-0000-0000-000011210000}"/>
    <cellStyle name="Note 2 3 6 2" xfId="4482" xr:uid="{00000000-0005-0000-0000-000012210000}"/>
    <cellStyle name="Note 2 3 6 2 2" xfId="8706" xr:uid="{00000000-0005-0000-0000-000013210000}"/>
    <cellStyle name="Note 2 3 6 2 3" xfId="13370" xr:uid="{4A656388-8BA8-473A-8494-0D660826C343}"/>
    <cellStyle name="Note 2 3 6 3" xfId="6561" xr:uid="{00000000-0005-0000-0000-000014210000}"/>
    <cellStyle name="Note 2 3 6 4" xfId="11225" xr:uid="{399BFC00-B097-4B31-A98C-E7B131461BDC}"/>
    <cellStyle name="Note 2 3 7" xfId="2689" xr:uid="{00000000-0005-0000-0000-000015210000}"/>
    <cellStyle name="Note 2 3 7 2" xfId="6974" xr:uid="{00000000-0005-0000-0000-000016210000}"/>
    <cellStyle name="Note 2 3 7 3" xfId="11638" xr:uid="{9A73BC34-EC02-438F-BBDA-C47587556C41}"/>
    <cellStyle name="Note 2 3 8" xfId="2748" xr:uid="{00000000-0005-0000-0000-000017210000}"/>
    <cellStyle name="Note 2 3 9" xfId="2829" xr:uid="{00000000-0005-0000-0000-000018210000}"/>
    <cellStyle name="Note 2 3 9 2" xfId="7054" xr:uid="{00000000-0005-0000-0000-000019210000}"/>
    <cellStyle name="Note 2 3 9 3" xfId="11718" xr:uid="{9DD42295-E4E8-443F-BDF4-450EBC41E902}"/>
    <cellStyle name="Note 2 4" xfId="552" xr:uid="{00000000-0005-0000-0000-00001A210000}"/>
    <cellStyle name="Note 2 4 10" xfId="9121" xr:uid="{CC12BDC5-3D73-4243-8C51-3F26D40C564E}"/>
    <cellStyle name="Note 2 4 2" xfId="1013" xr:uid="{00000000-0005-0000-0000-00001B210000}"/>
    <cellStyle name="Note 2 4 2 2" xfId="3245" xr:uid="{00000000-0005-0000-0000-00001C210000}"/>
    <cellStyle name="Note 2 4 2 2 2" xfId="7469" xr:uid="{00000000-0005-0000-0000-00001D210000}"/>
    <cellStyle name="Note 2 4 2 2 3" xfId="12133" xr:uid="{0A3F20C3-115D-4C8F-AEEB-5D61CF687B52}"/>
    <cellStyle name="Note 2 4 2 3" xfId="5324" xr:uid="{00000000-0005-0000-0000-00001E210000}"/>
    <cellStyle name="Note 2 4 2 4" xfId="9987" xr:uid="{D66B45C5-EBCC-4C56-BBE1-DF3E581BEA8F}"/>
    <cellStyle name="Note 2 4 3" xfId="1428" xr:uid="{00000000-0005-0000-0000-00001F210000}"/>
    <cellStyle name="Note 2 4 3 2" xfId="3658" xr:uid="{00000000-0005-0000-0000-000020210000}"/>
    <cellStyle name="Note 2 4 3 2 2" xfId="7882" xr:uid="{00000000-0005-0000-0000-000021210000}"/>
    <cellStyle name="Note 2 4 3 2 3" xfId="12546" xr:uid="{7C174C20-93F0-4414-9F42-3546609FDE2A}"/>
    <cellStyle name="Note 2 4 3 3" xfId="5737" xr:uid="{00000000-0005-0000-0000-000022210000}"/>
    <cellStyle name="Note 2 4 3 4" xfId="10401" xr:uid="{1803F390-0F1F-4F34-8917-481EF4890200}"/>
    <cellStyle name="Note 2 4 4" xfId="1842" xr:uid="{00000000-0005-0000-0000-000023210000}"/>
    <cellStyle name="Note 2 4 4 2" xfId="4071" xr:uid="{00000000-0005-0000-0000-000024210000}"/>
    <cellStyle name="Note 2 4 4 2 2" xfId="8295" xr:uid="{00000000-0005-0000-0000-000025210000}"/>
    <cellStyle name="Note 2 4 4 2 3" xfId="12959" xr:uid="{DA53A15E-0197-414F-9449-E63751E22FA8}"/>
    <cellStyle name="Note 2 4 4 3" xfId="6150" xr:uid="{00000000-0005-0000-0000-000026210000}"/>
    <cellStyle name="Note 2 4 4 4" xfId="10814" xr:uid="{B32FC75B-EB88-4B2D-B63D-5A782D65A97D}"/>
    <cellStyle name="Note 2 4 5" xfId="2255" xr:uid="{00000000-0005-0000-0000-000027210000}"/>
    <cellStyle name="Note 2 4 5 2" xfId="4484" xr:uid="{00000000-0005-0000-0000-000028210000}"/>
    <cellStyle name="Note 2 4 5 2 2" xfId="8708" xr:uid="{00000000-0005-0000-0000-000029210000}"/>
    <cellStyle name="Note 2 4 5 2 3" xfId="13372" xr:uid="{A1D8831C-76D5-4923-941B-6FA500CB0DB5}"/>
    <cellStyle name="Note 2 4 5 3" xfId="6563" xr:uid="{00000000-0005-0000-0000-00002A210000}"/>
    <cellStyle name="Note 2 4 5 4" xfId="11227" xr:uid="{56C9214E-8E45-41B4-8736-218F550A41C5}"/>
    <cellStyle name="Note 2 4 6" xfId="2691" xr:uid="{00000000-0005-0000-0000-00002B210000}"/>
    <cellStyle name="Note 2 4 6 2" xfId="6976" xr:uid="{00000000-0005-0000-0000-00002C210000}"/>
    <cellStyle name="Note 2 4 6 3" xfId="11640" xr:uid="{84D0A31D-B0B7-46D1-9C05-1C0E67DB6A5E}"/>
    <cellStyle name="Note 2 4 7" xfId="2750" xr:uid="{00000000-0005-0000-0000-00002D210000}"/>
    <cellStyle name="Note 2 4 8" xfId="2831" xr:uid="{00000000-0005-0000-0000-00002E210000}"/>
    <cellStyle name="Note 2 4 8 2" xfId="7056" xr:uid="{00000000-0005-0000-0000-00002F210000}"/>
    <cellStyle name="Note 2 4 8 3" xfId="11720" xr:uid="{A27B7CA8-542D-42D7-A386-D52B25242124}"/>
    <cellStyle name="Note 2 4 9" xfId="4911" xr:uid="{00000000-0005-0000-0000-000030210000}"/>
    <cellStyle name="Note 2 4 9 2" xfId="9573" xr:uid="{ED17628F-A9DA-44F6-AE8E-6BB0F011A8CA}"/>
    <cellStyle name="Note 2 5" xfId="553" xr:uid="{00000000-0005-0000-0000-000031210000}"/>
    <cellStyle name="Note 2 5 10" xfId="9122" xr:uid="{E6DF53FB-AB82-4FE1-B28B-D328F3017314}"/>
    <cellStyle name="Note 2 5 2" xfId="1014" xr:uid="{00000000-0005-0000-0000-000032210000}"/>
    <cellStyle name="Note 2 5 2 2" xfId="3246" xr:uid="{00000000-0005-0000-0000-000033210000}"/>
    <cellStyle name="Note 2 5 2 2 2" xfId="7470" xr:uid="{00000000-0005-0000-0000-000034210000}"/>
    <cellStyle name="Note 2 5 2 2 3" xfId="12134" xr:uid="{2D205FA7-8B27-4246-8A39-6AE72DDF20A6}"/>
    <cellStyle name="Note 2 5 2 3" xfId="5325" xr:uid="{00000000-0005-0000-0000-000035210000}"/>
    <cellStyle name="Note 2 5 2 4" xfId="9988" xr:uid="{8B794E35-50B5-405D-911B-EE1FD5E2A08F}"/>
    <cellStyle name="Note 2 5 3" xfId="1429" xr:uid="{00000000-0005-0000-0000-000036210000}"/>
    <cellStyle name="Note 2 5 3 2" xfId="3659" xr:uid="{00000000-0005-0000-0000-000037210000}"/>
    <cellStyle name="Note 2 5 3 2 2" xfId="7883" xr:uid="{00000000-0005-0000-0000-000038210000}"/>
    <cellStyle name="Note 2 5 3 2 3" xfId="12547" xr:uid="{E0D16EBA-8FE0-44CD-BCB1-F70867684C0B}"/>
    <cellStyle name="Note 2 5 3 3" xfId="5738" xr:uid="{00000000-0005-0000-0000-000039210000}"/>
    <cellStyle name="Note 2 5 3 4" xfId="10402" xr:uid="{F31B0725-7F27-4CFD-8B1E-F113463155CA}"/>
    <cellStyle name="Note 2 5 4" xfId="1843" xr:uid="{00000000-0005-0000-0000-00003A210000}"/>
    <cellStyle name="Note 2 5 4 2" xfId="4072" xr:uid="{00000000-0005-0000-0000-00003B210000}"/>
    <cellStyle name="Note 2 5 4 2 2" xfId="8296" xr:uid="{00000000-0005-0000-0000-00003C210000}"/>
    <cellStyle name="Note 2 5 4 2 3" xfId="12960" xr:uid="{57CE9DE9-837F-486B-B3BC-9AF089AFD4C2}"/>
    <cellStyle name="Note 2 5 4 3" xfId="6151" xr:uid="{00000000-0005-0000-0000-00003D210000}"/>
    <cellStyle name="Note 2 5 4 4" xfId="10815" xr:uid="{21E5B7B0-878D-4011-83A6-61731ABD2678}"/>
    <cellStyle name="Note 2 5 5" xfId="2256" xr:uid="{00000000-0005-0000-0000-00003E210000}"/>
    <cellStyle name="Note 2 5 5 2" xfId="4485" xr:uid="{00000000-0005-0000-0000-00003F210000}"/>
    <cellStyle name="Note 2 5 5 2 2" xfId="8709" xr:uid="{00000000-0005-0000-0000-000040210000}"/>
    <cellStyle name="Note 2 5 5 2 3" xfId="13373" xr:uid="{09894F42-04C3-426A-B7C5-D4F48F63707C}"/>
    <cellStyle name="Note 2 5 5 3" xfId="6564" xr:uid="{00000000-0005-0000-0000-000041210000}"/>
    <cellStyle name="Note 2 5 5 4" xfId="11228" xr:uid="{AC47C786-E5FF-4F1B-BE09-0315A3336295}"/>
    <cellStyle name="Note 2 5 6" xfId="2692" xr:uid="{00000000-0005-0000-0000-000042210000}"/>
    <cellStyle name="Note 2 5 6 2" xfId="6977" xr:uid="{00000000-0005-0000-0000-000043210000}"/>
    <cellStyle name="Note 2 5 6 3" xfId="11641" xr:uid="{C405967E-0ADF-435B-967B-DB6983B8FD21}"/>
    <cellStyle name="Note 2 5 7" xfId="2751" xr:uid="{00000000-0005-0000-0000-000044210000}"/>
    <cellStyle name="Note 2 5 8" xfId="2832" xr:uid="{00000000-0005-0000-0000-000045210000}"/>
    <cellStyle name="Note 2 5 8 2" xfId="7057" xr:uid="{00000000-0005-0000-0000-000046210000}"/>
    <cellStyle name="Note 2 5 8 3" xfId="11721" xr:uid="{5960AD39-1A34-4A5B-B18E-5CD45BEE3641}"/>
    <cellStyle name="Note 2 5 9" xfId="4912" xr:uid="{00000000-0005-0000-0000-000047210000}"/>
    <cellStyle name="Note 2 5 9 2" xfId="9574" xr:uid="{73BEC78D-7DE4-430C-BA7C-2CF1722DB09F}"/>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3" xfId="11722" xr:uid="{6709EB45-C6DB-458B-B54D-C788C8A34C29}"/>
    <cellStyle name="Note 3 2 11" xfId="4913" xr:uid="{00000000-0005-0000-0000-00004C210000}"/>
    <cellStyle name="Note 3 2 11 2" xfId="9575" xr:uid="{C1AB0A72-591A-4191-A61A-D716E88A5739}"/>
    <cellStyle name="Note 3 2 12" xfId="9123" xr:uid="{AAD8EB83-B2BC-4EF1-A20F-A3276920AED6}"/>
    <cellStyle name="Note 3 2 2" xfId="556" xr:uid="{00000000-0005-0000-0000-00004D210000}"/>
    <cellStyle name="Note 3 2 2 10" xfId="4914" xr:uid="{00000000-0005-0000-0000-00004E210000}"/>
    <cellStyle name="Note 3 2 2 10 2" xfId="9576" xr:uid="{D93CF70B-A5BD-4F3B-B24E-3BA3E255A99B}"/>
    <cellStyle name="Note 3 2 2 11" xfId="9124" xr:uid="{027CF10D-19E6-4120-93CA-012F1E38E35B}"/>
    <cellStyle name="Note 3 2 2 2" xfId="557" xr:uid="{00000000-0005-0000-0000-00004F210000}"/>
    <cellStyle name="Note 3 2 2 2 10" xfId="9125" xr:uid="{2CEBB6E0-07A5-49C8-9B4B-7AA9EC5A0F01}"/>
    <cellStyle name="Note 3 2 2 2 2" xfId="1017" xr:uid="{00000000-0005-0000-0000-000050210000}"/>
    <cellStyle name="Note 3 2 2 2 2 2" xfId="3249" xr:uid="{00000000-0005-0000-0000-000051210000}"/>
    <cellStyle name="Note 3 2 2 2 2 2 2" xfId="7473" xr:uid="{00000000-0005-0000-0000-000052210000}"/>
    <cellStyle name="Note 3 2 2 2 2 2 3" xfId="12137" xr:uid="{8AFA6D52-9A90-4221-9EED-85556BA2E001}"/>
    <cellStyle name="Note 3 2 2 2 2 3" xfId="5328" xr:uid="{00000000-0005-0000-0000-000053210000}"/>
    <cellStyle name="Note 3 2 2 2 2 4" xfId="9991" xr:uid="{D6B5B655-9B69-40B8-B748-C68C6E6719AF}"/>
    <cellStyle name="Note 3 2 2 2 3" xfId="1432" xr:uid="{00000000-0005-0000-0000-000054210000}"/>
    <cellStyle name="Note 3 2 2 2 3 2" xfId="3662" xr:uid="{00000000-0005-0000-0000-000055210000}"/>
    <cellStyle name="Note 3 2 2 2 3 2 2" xfId="7886" xr:uid="{00000000-0005-0000-0000-000056210000}"/>
    <cellStyle name="Note 3 2 2 2 3 2 3" xfId="12550" xr:uid="{82AA61E6-B98A-46F0-803D-48F5AF82C42A}"/>
    <cellStyle name="Note 3 2 2 2 3 3" xfId="5741" xr:uid="{00000000-0005-0000-0000-000057210000}"/>
    <cellStyle name="Note 3 2 2 2 3 4" xfId="10405" xr:uid="{D4833D11-BC20-4720-B01A-9553602B5D25}"/>
    <cellStyle name="Note 3 2 2 2 4" xfId="1846" xr:uid="{00000000-0005-0000-0000-000058210000}"/>
    <cellStyle name="Note 3 2 2 2 4 2" xfId="4075" xr:uid="{00000000-0005-0000-0000-000059210000}"/>
    <cellStyle name="Note 3 2 2 2 4 2 2" xfId="8299" xr:uid="{00000000-0005-0000-0000-00005A210000}"/>
    <cellStyle name="Note 3 2 2 2 4 2 3" xfId="12963" xr:uid="{EDA4FF82-A39D-4C4C-B13F-32B5A06889D3}"/>
    <cellStyle name="Note 3 2 2 2 4 3" xfId="6154" xr:uid="{00000000-0005-0000-0000-00005B210000}"/>
    <cellStyle name="Note 3 2 2 2 4 4" xfId="10818" xr:uid="{20EB2280-B22C-412E-ADED-3CD1799E3A1A}"/>
    <cellStyle name="Note 3 2 2 2 5" xfId="2259" xr:uid="{00000000-0005-0000-0000-00005C210000}"/>
    <cellStyle name="Note 3 2 2 2 5 2" xfId="4488" xr:uid="{00000000-0005-0000-0000-00005D210000}"/>
    <cellStyle name="Note 3 2 2 2 5 2 2" xfId="8712" xr:uid="{00000000-0005-0000-0000-00005E210000}"/>
    <cellStyle name="Note 3 2 2 2 5 2 3" xfId="13376" xr:uid="{20030C3E-7E7B-40C9-B36B-F0089821166E}"/>
    <cellStyle name="Note 3 2 2 2 5 3" xfId="6567" xr:uid="{00000000-0005-0000-0000-00005F210000}"/>
    <cellStyle name="Note 3 2 2 2 5 4" xfId="11231" xr:uid="{2778E8BC-0606-4A8F-BDB9-41362596BF72}"/>
    <cellStyle name="Note 3 2 2 2 6" xfId="2695" xr:uid="{00000000-0005-0000-0000-000060210000}"/>
    <cellStyle name="Note 3 2 2 2 6 2" xfId="6980" xr:uid="{00000000-0005-0000-0000-000061210000}"/>
    <cellStyle name="Note 3 2 2 2 6 3" xfId="11644" xr:uid="{91BACECE-BAA3-4AA6-80FE-CD501EA52EA9}"/>
    <cellStyle name="Note 3 2 2 2 7" xfId="2754" xr:uid="{00000000-0005-0000-0000-000062210000}"/>
    <cellStyle name="Note 3 2 2 2 8" xfId="2835" xr:uid="{00000000-0005-0000-0000-000063210000}"/>
    <cellStyle name="Note 3 2 2 2 8 2" xfId="7060" xr:uid="{00000000-0005-0000-0000-000064210000}"/>
    <cellStyle name="Note 3 2 2 2 8 3" xfId="11724" xr:uid="{D0E25F92-C9E5-4893-982B-A1E0BEBED7F1}"/>
    <cellStyle name="Note 3 2 2 2 9" xfId="4915" xr:uid="{00000000-0005-0000-0000-000065210000}"/>
    <cellStyle name="Note 3 2 2 2 9 2" xfId="9577" xr:uid="{0884A77B-B53D-4360-BF4D-C0FA8651C3F2}"/>
    <cellStyle name="Note 3 2 2 3" xfId="1016" xr:uid="{00000000-0005-0000-0000-000066210000}"/>
    <cellStyle name="Note 3 2 2 3 2" xfId="3248" xr:uid="{00000000-0005-0000-0000-000067210000}"/>
    <cellStyle name="Note 3 2 2 3 2 2" xfId="7472" xr:uid="{00000000-0005-0000-0000-000068210000}"/>
    <cellStyle name="Note 3 2 2 3 2 3" xfId="12136" xr:uid="{31D0AB2C-150D-4136-9B18-91A6B9DB1B04}"/>
    <cellStyle name="Note 3 2 2 3 3" xfId="5327" xr:uid="{00000000-0005-0000-0000-000069210000}"/>
    <cellStyle name="Note 3 2 2 3 4" xfId="9990" xr:uid="{EC7F52A9-5210-4008-91A9-02331151FD7D}"/>
    <cellStyle name="Note 3 2 2 4" xfId="1431" xr:uid="{00000000-0005-0000-0000-00006A210000}"/>
    <cellStyle name="Note 3 2 2 4 2" xfId="3661" xr:uid="{00000000-0005-0000-0000-00006B210000}"/>
    <cellStyle name="Note 3 2 2 4 2 2" xfId="7885" xr:uid="{00000000-0005-0000-0000-00006C210000}"/>
    <cellStyle name="Note 3 2 2 4 2 3" xfId="12549" xr:uid="{C3B4C342-3C50-4524-BF6D-EAE8189F9AB1}"/>
    <cellStyle name="Note 3 2 2 4 3" xfId="5740" xr:uid="{00000000-0005-0000-0000-00006D210000}"/>
    <cellStyle name="Note 3 2 2 4 4" xfId="10404" xr:uid="{6D2B2549-5BF1-47B4-ACC6-1D3239E57F2C}"/>
    <cellStyle name="Note 3 2 2 5" xfId="1845" xr:uid="{00000000-0005-0000-0000-00006E210000}"/>
    <cellStyle name="Note 3 2 2 5 2" xfId="4074" xr:uid="{00000000-0005-0000-0000-00006F210000}"/>
    <cellStyle name="Note 3 2 2 5 2 2" xfId="8298" xr:uid="{00000000-0005-0000-0000-000070210000}"/>
    <cellStyle name="Note 3 2 2 5 2 3" xfId="12962" xr:uid="{1F9A0C4A-6007-4B7D-A88A-7F4BA11163F1}"/>
    <cellStyle name="Note 3 2 2 5 3" xfId="6153" xr:uid="{00000000-0005-0000-0000-000071210000}"/>
    <cellStyle name="Note 3 2 2 5 4" xfId="10817" xr:uid="{FF4773A4-A1C8-454E-A3E1-4A5AEA0FBB85}"/>
    <cellStyle name="Note 3 2 2 6" xfId="2258" xr:uid="{00000000-0005-0000-0000-000072210000}"/>
    <cellStyle name="Note 3 2 2 6 2" xfId="4487" xr:uid="{00000000-0005-0000-0000-000073210000}"/>
    <cellStyle name="Note 3 2 2 6 2 2" xfId="8711" xr:uid="{00000000-0005-0000-0000-000074210000}"/>
    <cellStyle name="Note 3 2 2 6 2 3" xfId="13375" xr:uid="{CFFB266A-2DD2-45AF-86E4-5630794B6753}"/>
    <cellStyle name="Note 3 2 2 6 3" xfId="6566" xr:uid="{00000000-0005-0000-0000-000075210000}"/>
    <cellStyle name="Note 3 2 2 6 4" xfId="11230" xr:uid="{76755C4B-CDF3-433A-AAD9-0E1EF9EB6D30}"/>
    <cellStyle name="Note 3 2 2 7" xfId="2694" xr:uid="{00000000-0005-0000-0000-000076210000}"/>
    <cellStyle name="Note 3 2 2 7 2" xfId="6979" xr:uid="{00000000-0005-0000-0000-000077210000}"/>
    <cellStyle name="Note 3 2 2 7 3" xfId="11643" xr:uid="{EC5C41FD-5CFC-41F1-AF2D-362DD0AAC33E}"/>
    <cellStyle name="Note 3 2 2 8" xfId="2753" xr:uid="{00000000-0005-0000-0000-000078210000}"/>
    <cellStyle name="Note 3 2 2 9" xfId="2834" xr:uid="{00000000-0005-0000-0000-000079210000}"/>
    <cellStyle name="Note 3 2 2 9 2" xfId="7059" xr:uid="{00000000-0005-0000-0000-00007A210000}"/>
    <cellStyle name="Note 3 2 2 9 3" xfId="11723" xr:uid="{AABFEB62-A976-49CA-B9A0-E27B8B4243A4}"/>
    <cellStyle name="Note 3 2 3" xfId="558" xr:uid="{00000000-0005-0000-0000-00007B210000}"/>
    <cellStyle name="Note 3 2 3 10" xfId="9126" xr:uid="{6170927A-B824-4C5B-8543-1292ADA58A47}"/>
    <cellStyle name="Note 3 2 3 2" xfId="1018" xr:uid="{00000000-0005-0000-0000-00007C210000}"/>
    <cellStyle name="Note 3 2 3 2 2" xfId="3250" xr:uid="{00000000-0005-0000-0000-00007D210000}"/>
    <cellStyle name="Note 3 2 3 2 2 2" xfId="7474" xr:uid="{00000000-0005-0000-0000-00007E210000}"/>
    <cellStyle name="Note 3 2 3 2 2 3" xfId="12138" xr:uid="{8B2CADE8-91D5-4CAB-BBAD-CA54D96F7A4A}"/>
    <cellStyle name="Note 3 2 3 2 3" xfId="5329" xr:uid="{00000000-0005-0000-0000-00007F210000}"/>
    <cellStyle name="Note 3 2 3 2 4" xfId="9992" xr:uid="{1F301234-096F-44FC-808E-5B2790805C1F}"/>
    <cellStyle name="Note 3 2 3 3" xfId="1433" xr:uid="{00000000-0005-0000-0000-000080210000}"/>
    <cellStyle name="Note 3 2 3 3 2" xfId="3663" xr:uid="{00000000-0005-0000-0000-000081210000}"/>
    <cellStyle name="Note 3 2 3 3 2 2" xfId="7887" xr:uid="{00000000-0005-0000-0000-000082210000}"/>
    <cellStyle name="Note 3 2 3 3 2 3" xfId="12551" xr:uid="{225A2226-E9AE-4101-AE54-0E641FD15276}"/>
    <cellStyle name="Note 3 2 3 3 3" xfId="5742" xr:uid="{00000000-0005-0000-0000-000083210000}"/>
    <cellStyle name="Note 3 2 3 3 4" xfId="10406" xr:uid="{A2761143-6FDF-4D9A-85C7-6EC79D13946F}"/>
    <cellStyle name="Note 3 2 3 4" xfId="1847" xr:uid="{00000000-0005-0000-0000-000084210000}"/>
    <cellStyle name="Note 3 2 3 4 2" xfId="4076" xr:uid="{00000000-0005-0000-0000-000085210000}"/>
    <cellStyle name="Note 3 2 3 4 2 2" xfId="8300" xr:uid="{00000000-0005-0000-0000-000086210000}"/>
    <cellStyle name="Note 3 2 3 4 2 3" xfId="12964" xr:uid="{F357A4AD-AAB9-4B52-8122-BC33694C7A34}"/>
    <cellStyle name="Note 3 2 3 4 3" xfId="6155" xr:uid="{00000000-0005-0000-0000-000087210000}"/>
    <cellStyle name="Note 3 2 3 4 4" xfId="10819" xr:uid="{7B0648C6-7224-464F-94F1-80119A0C89A4}"/>
    <cellStyle name="Note 3 2 3 5" xfId="2260" xr:uid="{00000000-0005-0000-0000-000088210000}"/>
    <cellStyle name="Note 3 2 3 5 2" xfId="4489" xr:uid="{00000000-0005-0000-0000-000089210000}"/>
    <cellStyle name="Note 3 2 3 5 2 2" xfId="8713" xr:uid="{00000000-0005-0000-0000-00008A210000}"/>
    <cellStyle name="Note 3 2 3 5 2 3" xfId="13377" xr:uid="{0C1401B5-DE9C-40DC-9901-881DB8F95CBF}"/>
    <cellStyle name="Note 3 2 3 5 3" xfId="6568" xr:uid="{00000000-0005-0000-0000-00008B210000}"/>
    <cellStyle name="Note 3 2 3 5 4" xfId="11232" xr:uid="{F11310DB-2450-462F-868C-9D068D424A2F}"/>
    <cellStyle name="Note 3 2 3 6" xfId="2696" xr:uid="{00000000-0005-0000-0000-00008C210000}"/>
    <cellStyle name="Note 3 2 3 6 2" xfId="6981" xr:uid="{00000000-0005-0000-0000-00008D210000}"/>
    <cellStyle name="Note 3 2 3 6 3" xfId="11645" xr:uid="{3979F0D7-5CB5-4F2C-BE79-C0AA68DF698F}"/>
    <cellStyle name="Note 3 2 3 7" xfId="2755" xr:uid="{00000000-0005-0000-0000-00008E210000}"/>
    <cellStyle name="Note 3 2 3 8" xfId="2836" xr:uid="{00000000-0005-0000-0000-00008F210000}"/>
    <cellStyle name="Note 3 2 3 8 2" xfId="7061" xr:uid="{00000000-0005-0000-0000-000090210000}"/>
    <cellStyle name="Note 3 2 3 8 3" xfId="11725" xr:uid="{E3A292EE-2096-42BE-A5DA-FFA8C3DAFDFA}"/>
    <cellStyle name="Note 3 2 3 9" xfId="4916" xr:uid="{00000000-0005-0000-0000-000091210000}"/>
    <cellStyle name="Note 3 2 3 9 2" xfId="9578" xr:uid="{BB26A053-B2D6-4687-B7BE-61292F3BBEA7}"/>
    <cellStyle name="Note 3 2 4" xfId="1015" xr:uid="{00000000-0005-0000-0000-000092210000}"/>
    <cellStyle name="Note 3 2 4 2" xfId="3247" xr:uid="{00000000-0005-0000-0000-000093210000}"/>
    <cellStyle name="Note 3 2 4 2 2" xfId="7471" xr:uid="{00000000-0005-0000-0000-000094210000}"/>
    <cellStyle name="Note 3 2 4 2 3" xfId="12135" xr:uid="{CA752378-D567-45E6-89FA-3AAF49CDA731}"/>
    <cellStyle name="Note 3 2 4 3" xfId="5326" xr:uid="{00000000-0005-0000-0000-000095210000}"/>
    <cellStyle name="Note 3 2 4 4" xfId="9989" xr:uid="{0A823A36-65A7-41EE-98F5-08E8A8CB126F}"/>
    <cellStyle name="Note 3 2 5" xfId="1430" xr:uid="{00000000-0005-0000-0000-000096210000}"/>
    <cellStyle name="Note 3 2 5 2" xfId="3660" xr:uid="{00000000-0005-0000-0000-000097210000}"/>
    <cellStyle name="Note 3 2 5 2 2" xfId="7884" xr:uid="{00000000-0005-0000-0000-000098210000}"/>
    <cellStyle name="Note 3 2 5 2 3" xfId="12548" xr:uid="{2A194BFF-2856-4B20-B814-B7352678AF1E}"/>
    <cellStyle name="Note 3 2 5 3" xfId="5739" xr:uid="{00000000-0005-0000-0000-000099210000}"/>
    <cellStyle name="Note 3 2 5 4" xfId="10403" xr:uid="{9D2099AC-32F8-4E84-BADD-7ED82733011A}"/>
    <cellStyle name="Note 3 2 6" xfId="1844" xr:uid="{00000000-0005-0000-0000-00009A210000}"/>
    <cellStyle name="Note 3 2 6 2" xfId="4073" xr:uid="{00000000-0005-0000-0000-00009B210000}"/>
    <cellStyle name="Note 3 2 6 2 2" xfId="8297" xr:uid="{00000000-0005-0000-0000-00009C210000}"/>
    <cellStyle name="Note 3 2 6 2 3" xfId="12961" xr:uid="{4DF697D4-F01C-441D-A3E1-D8A89070ECF7}"/>
    <cellStyle name="Note 3 2 6 3" xfId="6152" xr:uid="{00000000-0005-0000-0000-00009D210000}"/>
    <cellStyle name="Note 3 2 6 4" xfId="10816" xr:uid="{3466B96A-BC47-4119-930B-B00741E66930}"/>
    <cellStyle name="Note 3 2 7" xfId="2257" xr:uid="{00000000-0005-0000-0000-00009E210000}"/>
    <cellStyle name="Note 3 2 7 2" xfId="4486" xr:uid="{00000000-0005-0000-0000-00009F210000}"/>
    <cellStyle name="Note 3 2 7 2 2" xfId="8710" xr:uid="{00000000-0005-0000-0000-0000A0210000}"/>
    <cellStyle name="Note 3 2 7 2 3" xfId="13374" xr:uid="{5933E4C9-EF13-4D1E-B5DC-69052E025545}"/>
    <cellStyle name="Note 3 2 7 3" xfId="6565" xr:uid="{00000000-0005-0000-0000-0000A1210000}"/>
    <cellStyle name="Note 3 2 7 4" xfId="11229" xr:uid="{7FB77E38-64F5-4D95-B89E-B583B1067942}"/>
    <cellStyle name="Note 3 2 8" xfId="2693" xr:uid="{00000000-0005-0000-0000-0000A2210000}"/>
    <cellStyle name="Note 3 2 8 2" xfId="6978" xr:uid="{00000000-0005-0000-0000-0000A3210000}"/>
    <cellStyle name="Note 3 2 8 3" xfId="11642" xr:uid="{C35FC6B4-C2E2-46D1-AFB1-EA9C810A1907}"/>
    <cellStyle name="Note 3 2 9" xfId="2752" xr:uid="{00000000-0005-0000-0000-0000A4210000}"/>
    <cellStyle name="Note 3 3" xfId="559" xr:uid="{00000000-0005-0000-0000-0000A5210000}"/>
    <cellStyle name="Note 3 3 10" xfId="4917" xr:uid="{00000000-0005-0000-0000-0000A6210000}"/>
    <cellStyle name="Note 3 3 10 2" xfId="9579" xr:uid="{66E8550E-0BF9-42CF-A70C-6D5301326981}"/>
    <cellStyle name="Note 3 3 11" xfId="9127" xr:uid="{756F53A4-B439-4866-B1CD-EFA6802F1C6F}"/>
    <cellStyle name="Note 3 3 2" xfId="560" xr:uid="{00000000-0005-0000-0000-0000A7210000}"/>
    <cellStyle name="Note 3 3 2 10" xfId="9128" xr:uid="{C49C7548-3E1B-4930-B3FF-E811F71CB42E}"/>
    <cellStyle name="Note 3 3 2 2" xfId="1020" xr:uid="{00000000-0005-0000-0000-0000A8210000}"/>
    <cellStyle name="Note 3 3 2 2 2" xfId="3252" xr:uid="{00000000-0005-0000-0000-0000A9210000}"/>
    <cellStyle name="Note 3 3 2 2 2 2" xfId="7476" xr:uid="{00000000-0005-0000-0000-0000AA210000}"/>
    <cellStyle name="Note 3 3 2 2 2 3" xfId="12140" xr:uid="{2D3E674D-9496-4254-BCCE-92009F18AE48}"/>
    <cellStyle name="Note 3 3 2 2 3" xfId="5331" xr:uid="{00000000-0005-0000-0000-0000AB210000}"/>
    <cellStyle name="Note 3 3 2 2 4" xfId="9994" xr:uid="{6F224629-D927-4E71-AFA4-3EE7C43955FA}"/>
    <cellStyle name="Note 3 3 2 3" xfId="1435" xr:uid="{00000000-0005-0000-0000-0000AC210000}"/>
    <cellStyle name="Note 3 3 2 3 2" xfId="3665" xr:uid="{00000000-0005-0000-0000-0000AD210000}"/>
    <cellStyle name="Note 3 3 2 3 2 2" xfId="7889" xr:uid="{00000000-0005-0000-0000-0000AE210000}"/>
    <cellStyle name="Note 3 3 2 3 2 3" xfId="12553" xr:uid="{32D9DB38-0C50-484F-A752-F3FEF466ED7B}"/>
    <cellStyle name="Note 3 3 2 3 3" xfId="5744" xr:uid="{00000000-0005-0000-0000-0000AF210000}"/>
    <cellStyle name="Note 3 3 2 3 4" xfId="10408" xr:uid="{FE24D428-DB7B-45C1-BDB3-A90545D49637}"/>
    <cellStyle name="Note 3 3 2 4" xfId="1849" xr:uid="{00000000-0005-0000-0000-0000B0210000}"/>
    <cellStyle name="Note 3 3 2 4 2" xfId="4078" xr:uid="{00000000-0005-0000-0000-0000B1210000}"/>
    <cellStyle name="Note 3 3 2 4 2 2" xfId="8302" xr:uid="{00000000-0005-0000-0000-0000B2210000}"/>
    <cellStyle name="Note 3 3 2 4 2 3" xfId="12966" xr:uid="{A217F1C1-083E-4826-9628-6F8AC243049D}"/>
    <cellStyle name="Note 3 3 2 4 3" xfId="6157" xr:uid="{00000000-0005-0000-0000-0000B3210000}"/>
    <cellStyle name="Note 3 3 2 4 4" xfId="10821" xr:uid="{D84FC351-6E94-4849-82E4-1940DFA185B6}"/>
    <cellStyle name="Note 3 3 2 5" xfId="2262" xr:uid="{00000000-0005-0000-0000-0000B4210000}"/>
    <cellStyle name="Note 3 3 2 5 2" xfId="4491" xr:uid="{00000000-0005-0000-0000-0000B5210000}"/>
    <cellStyle name="Note 3 3 2 5 2 2" xfId="8715" xr:uid="{00000000-0005-0000-0000-0000B6210000}"/>
    <cellStyle name="Note 3 3 2 5 2 3" xfId="13379" xr:uid="{F92E8DDB-97AB-47E7-8FCB-3614F8C18453}"/>
    <cellStyle name="Note 3 3 2 5 3" xfId="6570" xr:uid="{00000000-0005-0000-0000-0000B7210000}"/>
    <cellStyle name="Note 3 3 2 5 4" xfId="11234" xr:uid="{439A3F03-7EE4-4BBB-9FB2-3EBBD06ABA39}"/>
    <cellStyle name="Note 3 3 2 6" xfId="2698" xr:uid="{00000000-0005-0000-0000-0000B8210000}"/>
    <cellStyle name="Note 3 3 2 6 2" xfId="6983" xr:uid="{00000000-0005-0000-0000-0000B9210000}"/>
    <cellStyle name="Note 3 3 2 6 3" xfId="11647" xr:uid="{D673C9AE-D81A-4275-8692-C06E1BA29EB4}"/>
    <cellStyle name="Note 3 3 2 7" xfId="2757" xr:uid="{00000000-0005-0000-0000-0000BA210000}"/>
    <cellStyle name="Note 3 3 2 8" xfId="2838" xr:uid="{00000000-0005-0000-0000-0000BB210000}"/>
    <cellStyle name="Note 3 3 2 8 2" xfId="7063" xr:uid="{00000000-0005-0000-0000-0000BC210000}"/>
    <cellStyle name="Note 3 3 2 8 3" xfId="11727" xr:uid="{34FFE9B4-1F39-419E-BDEE-E74381410F22}"/>
    <cellStyle name="Note 3 3 2 9" xfId="4918" xr:uid="{00000000-0005-0000-0000-0000BD210000}"/>
    <cellStyle name="Note 3 3 2 9 2" xfId="9580" xr:uid="{1002EA98-1340-47AD-9D24-9865AAA8E7D9}"/>
    <cellStyle name="Note 3 3 3" xfId="1019" xr:uid="{00000000-0005-0000-0000-0000BE210000}"/>
    <cellStyle name="Note 3 3 3 2" xfId="3251" xr:uid="{00000000-0005-0000-0000-0000BF210000}"/>
    <cellStyle name="Note 3 3 3 2 2" xfId="7475" xr:uid="{00000000-0005-0000-0000-0000C0210000}"/>
    <cellStyle name="Note 3 3 3 2 3" xfId="12139" xr:uid="{69AC7FDB-40B9-4245-8657-B2A5DF0CF88B}"/>
    <cellStyle name="Note 3 3 3 3" xfId="5330" xr:uid="{00000000-0005-0000-0000-0000C1210000}"/>
    <cellStyle name="Note 3 3 3 4" xfId="9993" xr:uid="{CCD4239B-97B0-48F4-8604-FF6BABDBA20F}"/>
    <cellStyle name="Note 3 3 4" xfId="1434" xr:uid="{00000000-0005-0000-0000-0000C2210000}"/>
    <cellStyle name="Note 3 3 4 2" xfId="3664" xr:uid="{00000000-0005-0000-0000-0000C3210000}"/>
    <cellStyle name="Note 3 3 4 2 2" xfId="7888" xr:uid="{00000000-0005-0000-0000-0000C4210000}"/>
    <cellStyle name="Note 3 3 4 2 3" xfId="12552" xr:uid="{0E650F3E-DF5F-46C1-A27B-7C8FDE6EDA92}"/>
    <cellStyle name="Note 3 3 4 3" xfId="5743" xr:uid="{00000000-0005-0000-0000-0000C5210000}"/>
    <cellStyle name="Note 3 3 4 4" xfId="10407" xr:uid="{BFD43936-9B71-48BE-97CF-834117E26E96}"/>
    <cellStyle name="Note 3 3 5" xfId="1848" xr:uid="{00000000-0005-0000-0000-0000C6210000}"/>
    <cellStyle name="Note 3 3 5 2" xfId="4077" xr:uid="{00000000-0005-0000-0000-0000C7210000}"/>
    <cellStyle name="Note 3 3 5 2 2" xfId="8301" xr:uid="{00000000-0005-0000-0000-0000C8210000}"/>
    <cellStyle name="Note 3 3 5 2 3" xfId="12965" xr:uid="{67A73E50-27D5-44E0-A281-FD07E84C05E4}"/>
    <cellStyle name="Note 3 3 5 3" xfId="6156" xr:uid="{00000000-0005-0000-0000-0000C9210000}"/>
    <cellStyle name="Note 3 3 5 4" xfId="10820" xr:uid="{5996ED6E-83D4-4DEE-BF6B-0B0508ED8A2C}"/>
    <cellStyle name="Note 3 3 6" xfId="2261" xr:uid="{00000000-0005-0000-0000-0000CA210000}"/>
    <cellStyle name="Note 3 3 6 2" xfId="4490" xr:uid="{00000000-0005-0000-0000-0000CB210000}"/>
    <cellStyle name="Note 3 3 6 2 2" xfId="8714" xr:uid="{00000000-0005-0000-0000-0000CC210000}"/>
    <cellStyle name="Note 3 3 6 2 3" xfId="13378" xr:uid="{98FBF6AD-671F-4EE2-A4AF-62121D9DC4B8}"/>
    <cellStyle name="Note 3 3 6 3" xfId="6569" xr:uid="{00000000-0005-0000-0000-0000CD210000}"/>
    <cellStyle name="Note 3 3 6 4" xfId="11233" xr:uid="{FE447221-2362-4930-8611-3B3DD744F36F}"/>
    <cellStyle name="Note 3 3 7" xfId="2697" xr:uid="{00000000-0005-0000-0000-0000CE210000}"/>
    <cellStyle name="Note 3 3 7 2" xfId="6982" xr:uid="{00000000-0005-0000-0000-0000CF210000}"/>
    <cellStyle name="Note 3 3 7 3" xfId="11646" xr:uid="{E6BEC603-1A7E-40F3-ADFB-165FB7F181FE}"/>
    <cellStyle name="Note 3 3 8" xfId="2756" xr:uid="{00000000-0005-0000-0000-0000D0210000}"/>
    <cellStyle name="Note 3 3 9" xfId="2837" xr:uid="{00000000-0005-0000-0000-0000D1210000}"/>
    <cellStyle name="Note 3 3 9 2" xfId="7062" xr:uid="{00000000-0005-0000-0000-0000D2210000}"/>
    <cellStyle name="Note 3 3 9 3" xfId="11726" xr:uid="{D5E5682B-848B-456C-98CA-91B1BCE0BC36}"/>
    <cellStyle name="Note 3 4" xfId="561" xr:uid="{00000000-0005-0000-0000-0000D3210000}"/>
    <cellStyle name="Note 3 4 10" xfId="9129" xr:uid="{070FC223-4694-4845-888D-A439C7099D85}"/>
    <cellStyle name="Note 3 4 2" xfId="1021" xr:uid="{00000000-0005-0000-0000-0000D4210000}"/>
    <cellStyle name="Note 3 4 2 2" xfId="3253" xr:uid="{00000000-0005-0000-0000-0000D5210000}"/>
    <cellStyle name="Note 3 4 2 2 2" xfId="7477" xr:uid="{00000000-0005-0000-0000-0000D6210000}"/>
    <cellStyle name="Note 3 4 2 2 3" xfId="12141" xr:uid="{0D07C5AF-ACE8-4278-A4E7-DCDE4EF15B4B}"/>
    <cellStyle name="Note 3 4 2 3" xfId="5332" xr:uid="{00000000-0005-0000-0000-0000D7210000}"/>
    <cellStyle name="Note 3 4 2 4" xfId="9995" xr:uid="{D81031B5-094A-4A86-A2ED-0033D1186655}"/>
    <cellStyle name="Note 3 4 3" xfId="1436" xr:uid="{00000000-0005-0000-0000-0000D8210000}"/>
    <cellStyle name="Note 3 4 3 2" xfId="3666" xr:uid="{00000000-0005-0000-0000-0000D9210000}"/>
    <cellStyle name="Note 3 4 3 2 2" xfId="7890" xr:uid="{00000000-0005-0000-0000-0000DA210000}"/>
    <cellStyle name="Note 3 4 3 2 3" xfId="12554" xr:uid="{B0A3FD01-56BB-48D2-8D36-64D22BF35508}"/>
    <cellStyle name="Note 3 4 3 3" xfId="5745" xr:uid="{00000000-0005-0000-0000-0000DB210000}"/>
    <cellStyle name="Note 3 4 3 4" xfId="10409" xr:uid="{A243D0C1-0684-440F-9DB8-1A312C084863}"/>
    <cellStyle name="Note 3 4 4" xfId="1850" xr:uid="{00000000-0005-0000-0000-0000DC210000}"/>
    <cellStyle name="Note 3 4 4 2" xfId="4079" xr:uid="{00000000-0005-0000-0000-0000DD210000}"/>
    <cellStyle name="Note 3 4 4 2 2" xfId="8303" xr:uid="{00000000-0005-0000-0000-0000DE210000}"/>
    <cellStyle name="Note 3 4 4 2 3" xfId="12967" xr:uid="{0303A386-D7B2-4D89-814B-8A57BF891A4B}"/>
    <cellStyle name="Note 3 4 4 3" xfId="6158" xr:uid="{00000000-0005-0000-0000-0000DF210000}"/>
    <cellStyle name="Note 3 4 4 4" xfId="10822" xr:uid="{CF5AA135-0624-48E2-B304-4D58E5D3766D}"/>
    <cellStyle name="Note 3 4 5" xfId="2263" xr:uid="{00000000-0005-0000-0000-0000E0210000}"/>
    <cellStyle name="Note 3 4 5 2" xfId="4492" xr:uid="{00000000-0005-0000-0000-0000E1210000}"/>
    <cellStyle name="Note 3 4 5 2 2" xfId="8716" xr:uid="{00000000-0005-0000-0000-0000E2210000}"/>
    <cellStyle name="Note 3 4 5 2 3" xfId="13380" xr:uid="{3F333C6F-BF6F-4416-8C30-8AF435F45E73}"/>
    <cellStyle name="Note 3 4 5 3" xfId="6571" xr:uid="{00000000-0005-0000-0000-0000E3210000}"/>
    <cellStyle name="Note 3 4 5 4" xfId="11235" xr:uid="{8AC3253B-9847-4B1F-83D5-4F6F5E42A7AD}"/>
    <cellStyle name="Note 3 4 6" xfId="2699" xr:uid="{00000000-0005-0000-0000-0000E4210000}"/>
    <cellStyle name="Note 3 4 6 2" xfId="6984" xr:uid="{00000000-0005-0000-0000-0000E5210000}"/>
    <cellStyle name="Note 3 4 6 3" xfId="11648" xr:uid="{AFB477A5-855D-494D-BA1B-8A3373DE83C3}"/>
    <cellStyle name="Note 3 4 7" xfId="2758" xr:uid="{00000000-0005-0000-0000-0000E6210000}"/>
    <cellStyle name="Note 3 4 8" xfId="2839" xr:uid="{00000000-0005-0000-0000-0000E7210000}"/>
    <cellStyle name="Note 3 4 8 2" xfId="7064" xr:uid="{00000000-0005-0000-0000-0000E8210000}"/>
    <cellStyle name="Note 3 4 8 3" xfId="11728" xr:uid="{6A11BB40-A4E1-48AD-A5CD-412D824CA643}"/>
    <cellStyle name="Note 3 4 9" xfId="4919" xr:uid="{00000000-0005-0000-0000-0000E9210000}"/>
    <cellStyle name="Note 3 4 9 2" xfId="9581" xr:uid="{1FF44F75-7F42-475B-930C-FBA9093F527B}"/>
    <cellStyle name="Note 3 5" xfId="562" xr:uid="{00000000-0005-0000-0000-0000EA210000}"/>
    <cellStyle name="Note 3 5 10" xfId="9130" xr:uid="{75AFFF81-7194-4159-8FBF-71899BAC981D}"/>
    <cellStyle name="Note 3 5 2" xfId="1022" xr:uid="{00000000-0005-0000-0000-0000EB210000}"/>
    <cellStyle name="Note 3 5 2 2" xfId="3254" xr:uid="{00000000-0005-0000-0000-0000EC210000}"/>
    <cellStyle name="Note 3 5 2 2 2" xfId="7478" xr:uid="{00000000-0005-0000-0000-0000ED210000}"/>
    <cellStyle name="Note 3 5 2 2 3" xfId="12142" xr:uid="{6F743420-C084-4322-8329-5D503A134B8D}"/>
    <cellStyle name="Note 3 5 2 3" xfId="5333" xr:uid="{00000000-0005-0000-0000-0000EE210000}"/>
    <cellStyle name="Note 3 5 2 4" xfId="9996" xr:uid="{2641391C-F2A3-4E4B-A9BB-C0AF164DAEC1}"/>
    <cellStyle name="Note 3 5 3" xfId="1437" xr:uid="{00000000-0005-0000-0000-0000EF210000}"/>
    <cellStyle name="Note 3 5 3 2" xfId="3667" xr:uid="{00000000-0005-0000-0000-0000F0210000}"/>
    <cellStyle name="Note 3 5 3 2 2" xfId="7891" xr:uid="{00000000-0005-0000-0000-0000F1210000}"/>
    <cellStyle name="Note 3 5 3 2 3" xfId="12555" xr:uid="{6DE5F3EA-35D6-4991-9706-4898107CCBC3}"/>
    <cellStyle name="Note 3 5 3 3" xfId="5746" xr:uid="{00000000-0005-0000-0000-0000F2210000}"/>
    <cellStyle name="Note 3 5 3 4" xfId="10410" xr:uid="{07C8259A-235A-4433-90A6-D2683842EF05}"/>
    <cellStyle name="Note 3 5 4" xfId="1851" xr:uid="{00000000-0005-0000-0000-0000F3210000}"/>
    <cellStyle name="Note 3 5 4 2" xfId="4080" xr:uid="{00000000-0005-0000-0000-0000F4210000}"/>
    <cellStyle name="Note 3 5 4 2 2" xfId="8304" xr:uid="{00000000-0005-0000-0000-0000F5210000}"/>
    <cellStyle name="Note 3 5 4 2 3" xfId="12968" xr:uid="{EDB9A552-4908-4C32-AC3D-DE4478084951}"/>
    <cellStyle name="Note 3 5 4 3" xfId="6159" xr:uid="{00000000-0005-0000-0000-0000F6210000}"/>
    <cellStyle name="Note 3 5 4 4" xfId="10823" xr:uid="{9B06ACA7-93E9-4A80-8853-F108E8F0BAA5}"/>
    <cellStyle name="Note 3 5 5" xfId="2264" xr:uid="{00000000-0005-0000-0000-0000F7210000}"/>
    <cellStyle name="Note 3 5 5 2" xfId="4493" xr:uid="{00000000-0005-0000-0000-0000F8210000}"/>
    <cellStyle name="Note 3 5 5 2 2" xfId="8717" xr:uid="{00000000-0005-0000-0000-0000F9210000}"/>
    <cellStyle name="Note 3 5 5 2 3" xfId="13381" xr:uid="{B4284DF2-5212-46CC-84C3-3634DFA30190}"/>
    <cellStyle name="Note 3 5 5 3" xfId="6572" xr:uid="{00000000-0005-0000-0000-0000FA210000}"/>
    <cellStyle name="Note 3 5 5 4" xfId="11236" xr:uid="{DEFEC7C1-6FD3-407E-818C-808E60818707}"/>
    <cellStyle name="Note 3 5 6" xfId="2700" xr:uid="{00000000-0005-0000-0000-0000FB210000}"/>
    <cellStyle name="Note 3 5 6 2" xfId="6985" xr:uid="{00000000-0005-0000-0000-0000FC210000}"/>
    <cellStyle name="Note 3 5 6 3" xfId="11649" xr:uid="{DCD651F2-B89A-4A12-8E65-F643790CC934}"/>
    <cellStyle name="Note 3 5 7" xfId="2759" xr:uid="{00000000-0005-0000-0000-0000FD210000}"/>
    <cellStyle name="Note 3 5 8" xfId="2840" xr:uid="{00000000-0005-0000-0000-0000FE210000}"/>
    <cellStyle name="Note 3 5 8 2" xfId="7065" xr:uid="{00000000-0005-0000-0000-0000FF210000}"/>
    <cellStyle name="Note 3 5 8 3" xfId="11729" xr:uid="{B223B416-8538-4884-A492-D8751A1E6431}"/>
    <cellStyle name="Note 3 5 9" xfId="4920" xr:uid="{00000000-0005-0000-0000-000000220000}"/>
    <cellStyle name="Note 3 5 9 2" xfId="9582" xr:uid="{7724153C-AC0A-4762-A441-79D960A4904B}"/>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8" t="s">
        <v>585</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row>
    <row r="2" spans="1:38" ht="13.5"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0" t="s">
        <v>1395</v>
      </c>
      <c r="E7" s="1850"/>
      <c r="F7" s="1850"/>
      <c r="G7" s="1850"/>
      <c r="H7" s="1850"/>
      <c r="I7" s="1850"/>
      <c r="J7" s="1850"/>
      <c r="K7" s="1850"/>
      <c r="L7" s="1850"/>
      <c r="M7" s="1850"/>
      <c r="N7" s="1850"/>
      <c r="O7" s="1850"/>
      <c r="P7" s="1850"/>
      <c r="Q7" s="1850"/>
      <c r="R7" s="1850"/>
      <c r="S7" s="1850"/>
      <c r="T7" s="1850"/>
      <c r="U7" s="1850"/>
      <c r="V7" s="1850"/>
      <c r="W7" s="1850"/>
      <c r="X7" s="1850"/>
      <c r="Y7" s="1850"/>
      <c r="Z7" s="1850"/>
      <c r="AA7" s="1850"/>
      <c r="AB7" s="1850"/>
      <c r="AC7" s="1850"/>
      <c r="AD7" s="1850"/>
      <c r="AE7" s="1850"/>
      <c r="AF7" s="1850"/>
      <c r="AG7" s="1850"/>
      <c r="AH7" s="1850"/>
      <c r="AI7" s="1850"/>
      <c r="AJ7" s="1850"/>
      <c r="AK7" s="1850"/>
      <c r="AL7" s="747"/>
    </row>
    <row r="8" spans="1:38">
      <c r="A8" s="328"/>
      <c r="B8" s="326"/>
      <c r="C8" s="327"/>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747"/>
    </row>
    <row r="9" spans="1:38">
      <c r="A9" s="328"/>
      <c r="B9" s="326"/>
      <c r="C9" s="327"/>
      <c r="D9" s="1850"/>
      <c r="E9" s="1850"/>
      <c r="F9" s="1850"/>
      <c r="G9" s="1850"/>
      <c r="H9" s="1850"/>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0" t="s">
        <v>1402</v>
      </c>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747"/>
    </row>
    <row r="12" spans="1:38">
      <c r="A12" s="328"/>
      <c r="B12" s="326"/>
      <c r="C12" s="327"/>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747"/>
    </row>
    <row r="13" spans="1:38" s="718" customFormat="1">
      <c r="A13" s="328"/>
      <c r="B13" s="326"/>
      <c r="C13" s="327"/>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747"/>
    </row>
    <row r="14" spans="1:38" s="718" customFormat="1" ht="13.15" customHeight="1">
      <c r="A14" s="328"/>
      <c r="B14" s="326"/>
      <c r="C14" s="327"/>
      <c r="E14" s="1852" t="s">
        <v>2185</v>
      </c>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747"/>
    </row>
    <row r="15" spans="1:38" s="718" customFormat="1" ht="13.15" customHeight="1">
      <c r="A15" s="328"/>
      <c r="B15" s="326"/>
      <c r="C15" s="327"/>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747"/>
    </row>
    <row r="16" spans="1:38" s="718" customFormat="1">
      <c r="A16" s="328"/>
      <c r="B16" s="326"/>
      <c r="C16" s="327"/>
      <c r="D16" s="747"/>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2" t="s">
        <v>1531</v>
      </c>
      <c r="E18" s="1852"/>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326"/>
    </row>
    <row r="19" spans="1:38">
      <c r="A19" s="328"/>
      <c r="B19" s="326"/>
      <c r="C19" s="327"/>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326"/>
    </row>
    <row r="20" spans="1:38" s="718" customFormat="1">
      <c r="A20" s="328"/>
      <c r="B20" s="326"/>
      <c r="C20" s="327"/>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326"/>
    </row>
    <row r="21" spans="1:38" s="718" customFormat="1" ht="13.15" customHeight="1">
      <c r="A21" s="328"/>
      <c r="B21" s="326"/>
      <c r="C21" s="327"/>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326"/>
    </row>
    <row r="22" spans="1:38" s="718" customFormat="1">
      <c r="A22" s="328"/>
      <c r="B22" s="326"/>
      <c r="C22" s="327"/>
      <c r="D22" s="1852"/>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326"/>
    </row>
    <row r="23" spans="1:38" s="718" customFormat="1">
      <c r="A23" s="328"/>
      <c r="B23" s="326"/>
      <c r="C23" s="327"/>
      <c r="D23" s="1852"/>
      <c r="E23" s="1852"/>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326"/>
    </row>
    <row r="24" spans="1:38">
      <c r="A24" s="328"/>
      <c r="B24" s="326"/>
      <c r="C24" s="327"/>
      <c r="D24" s="1852"/>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326"/>
    </row>
    <row r="25" spans="1:38" s="718" customFormat="1">
      <c r="A25" s="328"/>
      <c r="B25" s="326"/>
      <c r="C25" s="327"/>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326"/>
    </row>
    <row r="26" spans="1:38" s="718" customFormat="1">
      <c r="A26" s="328"/>
      <c r="B26" s="326"/>
      <c r="C26" s="327"/>
      <c r="D26" s="1852"/>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326"/>
    </row>
    <row r="27" spans="1:38" s="718" customFormat="1" ht="11.85" customHeight="1">
      <c r="A27" s="328"/>
      <c r="B27" s="326"/>
      <c r="C27" s="327"/>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326"/>
    </row>
    <row r="28" spans="1:38" s="718" customFormat="1" ht="13.15" customHeight="1">
      <c r="A28" s="328"/>
      <c r="B28" s="326"/>
      <c r="C28" s="327"/>
      <c r="E28" s="1852" t="s">
        <v>2186</v>
      </c>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326"/>
    </row>
    <row r="29" spans="1:38" s="718" customFormat="1" ht="13.15" customHeight="1">
      <c r="A29" s="328"/>
      <c r="B29" s="326"/>
      <c r="C29" s="327"/>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326"/>
    </row>
    <row r="30" spans="1:38" s="718" customFormat="1">
      <c r="A30" s="328"/>
      <c r="B30" s="326"/>
      <c r="C30" s="327"/>
      <c r="D30" s="747"/>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3" t="s">
        <v>1403</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8" customFormat="1">
      <c r="A33" s="328"/>
      <c r="B33" s="326"/>
      <c r="C33" s="327"/>
      <c r="D33" s="747"/>
      <c r="E33" s="1859" t="s">
        <v>1462</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6"/>
    </row>
    <row r="34" spans="1:38">
      <c r="A34" s="149"/>
      <c r="C34" s="5"/>
    </row>
    <row r="35" spans="1:38">
      <c r="A35" s="149"/>
      <c r="D35" s="1851" t="s">
        <v>1390</v>
      </c>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row>
    <row r="36" spans="1:38">
      <c r="A36" s="149"/>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row>
    <row r="37" spans="1:38">
      <c r="A37" s="149"/>
      <c r="D37" s="250"/>
      <c r="E37" s="1858" t="s">
        <v>1098</v>
      </c>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row>
    <row r="38" spans="1:38">
      <c r="A38" s="149"/>
      <c r="D38" s="250"/>
      <c r="E38" s="1858" t="s">
        <v>1401</v>
      </c>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2" customFormat="1" ht="13.15" customHeight="1">
      <c r="A42" s="149"/>
      <c r="B42"/>
      <c r="C42" s="5"/>
      <c r="D42" s="149"/>
      <c r="E42" s="149" t="s">
        <v>692</v>
      </c>
      <c r="F42" s="1852" t="s">
        <v>1364</v>
      </c>
    </row>
    <row r="43" spans="1:38" s="1852"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3" t="s">
        <v>1484</v>
      </c>
      <c r="G45" s="1863"/>
      <c r="H45" s="1863"/>
      <c r="I45" s="1863"/>
      <c r="J45" s="1863"/>
      <c r="K45" s="1863"/>
      <c r="L45" s="1863"/>
      <c r="M45" s="1863"/>
      <c r="N45" s="1863"/>
      <c r="O45" s="1863"/>
      <c r="P45" s="1863"/>
      <c r="Q45" s="1863"/>
      <c r="R45" s="1863"/>
      <c r="S45" s="1863"/>
      <c r="T45" s="1863"/>
      <c r="U45" s="1863"/>
      <c r="V45" s="1863"/>
      <c r="W45" s="1863"/>
      <c r="X45" s="1863"/>
      <c r="Y45" s="1863"/>
      <c r="Z45" s="1863"/>
      <c r="AA45" s="1863"/>
      <c r="AB45" s="1863"/>
      <c r="AC45" s="1863"/>
      <c r="AD45" s="1863"/>
      <c r="AE45" s="1863"/>
      <c r="AF45" s="1863"/>
      <c r="AG45" s="1863"/>
      <c r="AH45" s="1863"/>
      <c r="AI45" s="1863"/>
      <c r="AJ45" s="1863"/>
      <c r="AK45" s="1863"/>
      <c r="AL45" s="1863"/>
    </row>
    <row r="46" spans="1:38" s="771" customFormat="1">
      <c r="A46" s="149"/>
      <c r="B46" s="718"/>
      <c r="C46" s="5"/>
      <c r="D46" s="149"/>
      <c r="E46" s="149"/>
      <c r="F46" s="1863"/>
      <c r="G46" s="1863"/>
      <c r="H46" s="1863"/>
      <c r="I46" s="1863"/>
      <c r="J46" s="1863"/>
      <c r="K46" s="1863"/>
      <c r="L46" s="1863"/>
      <c r="M46" s="1863"/>
      <c r="N46" s="1863"/>
      <c r="O46" s="1863"/>
      <c r="P46" s="1863"/>
      <c r="Q46" s="1863"/>
      <c r="R46" s="1863"/>
      <c r="S46" s="1863"/>
      <c r="T46" s="1863"/>
      <c r="U46" s="1863"/>
      <c r="V46" s="1863"/>
      <c r="W46" s="1863"/>
      <c r="X46" s="1863"/>
      <c r="Y46" s="1863"/>
      <c r="Z46" s="1863"/>
      <c r="AA46" s="1863"/>
      <c r="AB46" s="1863"/>
      <c r="AC46" s="1863"/>
      <c r="AD46" s="1863"/>
      <c r="AE46" s="1863"/>
      <c r="AF46" s="1863"/>
      <c r="AG46" s="1863"/>
      <c r="AH46" s="1863"/>
      <c r="AI46" s="1863"/>
      <c r="AJ46" s="1863"/>
      <c r="AK46" s="1863"/>
      <c r="AL46" s="1863"/>
    </row>
    <row r="47" spans="1:38" s="771" customFormat="1" ht="13.15" customHeight="1">
      <c r="A47" s="149"/>
      <c r="B47" s="718"/>
      <c r="C47" s="5"/>
      <c r="D47" s="149"/>
      <c r="E47" s="149"/>
      <c r="F47" s="1863"/>
      <c r="G47" s="1863"/>
      <c r="H47" s="1863"/>
      <c r="I47" s="1863"/>
      <c r="J47" s="1863"/>
      <c r="K47" s="1863"/>
      <c r="L47" s="1863"/>
      <c r="M47" s="1863"/>
      <c r="N47" s="1863"/>
      <c r="O47" s="1863"/>
      <c r="P47" s="1863"/>
      <c r="Q47" s="1863"/>
      <c r="R47" s="1863"/>
      <c r="S47" s="1863"/>
      <c r="T47" s="1863"/>
      <c r="U47" s="1863"/>
      <c r="V47" s="1863"/>
      <c r="W47" s="1863"/>
      <c r="X47" s="1863"/>
      <c r="Y47" s="1863"/>
      <c r="Z47" s="1863"/>
      <c r="AA47" s="1863"/>
      <c r="AB47" s="1863"/>
      <c r="AC47" s="1863"/>
      <c r="AD47" s="1863"/>
      <c r="AE47" s="1863"/>
      <c r="AF47" s="1863"/>
      <c r="AG47" s="1863"/>
      <c r="AH47" s="1863"/>
      <c r="AI47" s="1863"/>
      <c r="AJ47" s="1863"/>
      <c r="AK47" s="1863"/>
      <c r="AL47" s="1863"/>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2" t="s">
        <v>1485</v>
      </c>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row>
    <row r="51" spans="1:38">
      <c r="A51" s="149"/>
      <c r="C51" s="5"/>
      <c r="D51" s="149"/>
      <c r="E51" s="149"/>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row>
    <row r="52" spans="1:38">
      <c r="A52" s="149"/>
      <c r="C52" s="5"/>
      <c r="D52" s="149"/>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4" t="s">
        <v>1404</v>
      </c>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4" t="s">
        <v>612</v>
      </c>
      <c r="H58" s="1854"/>
      <c r="I58" s="1854"/>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62" t="s">
        <v>1486</v>
      </c>
      <c r="H59" s="1862"/>
      <c r="I59" s="1862"/>
      <c r="J59" s="1862"/>
      <c r="K59" s="1862"/>
      <c r="L59" s="1862"/>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row>
    <row r="60" spans="1:38" s="2" customFormat="1">
      <c r="A60" s="328"/>
      <c r="B60" s="326"/>
      <c r="C60" s="327"/>
      <c r="D60" s="327"/>
      <c r="E60" s="328"/>
      <c r="F60" s="332"/>
      <c r="G60" s="1862"/>
      <c r="H60" s="1862"/>
      <c r="I60" s="1862"/>
      <c r="J60" s="1862"/>
      <c r="K60" s="1862"/>
      <c r="L60" s="1862"/>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2" t="s">
        <v>1366</v>
      </c>
      <c r="H66" s="1852"/>
      <c r="I66" s="1852"/>
      <c r="J66" s="1852"/>
      <c r="K66" s="1852"/>
      <c r="L66" s="1852"/>
      <c r="M66" s="1852"/>
      <c r="N66" s="1852"/>
      <c r="O66" s="1852"/>
      <c r="P66" s="1852"/>
      <c r="Q66" s="1852"/>
      <c r="R66" s="1852"/>
      <c r="S66" s="1852"/>
      <c r="T66" s="1852"/>
      <c r="U66" s="1852"/>
      <c r="V66" s="1852"/>
      <c r="W66" s="1852"/>
      <c r="X66" s="1852"/>
      <c r="Y66" s="1852"/>
      <c r="Z66" s="1852"/>
      <c r="AA66" s="1852"/>
      <c r="AB66" s="1852"/>
      <c r="AC66" s="1852"/>
      <c r="AD66" s="1852"/>
      <c r="AE66" s="1852"/>
      <c r="AF66" s="1852"/>
      <c r="AG66" s="1852"/>
      <c r="AH66" s="1852"/>
      <c r="AI66" s="1852"/>
      <c r="AJ66" s="1852"/>
      <c r="AK66" s="1852"/>
    </row>
    <row r="67" spans="1:37">
      <c r="A67" s="149"/>
      <c r="C67" s="5"/>
      <c r="D67" s="149"/>
      <c r="E67" s="149"/>
      <c r="F67" s="9"/>
      <c r="G67" s="1852"/>
      <c r="H67" s="1852"/>
      <c r="I67" s="1852"/>
      <c r="J67" s="1852"/>
      <c r="K67" s="1852"/>
      <c r="L67" s="1852"/>
      <c r="M67" s="1852"/>
      <c r="N67" s="1852"/>
      <c r="O67" s="1852"/>
      <c r="P67" s="1852"/>
      <c r="Q67" s="1852"/>
      <c r="R67" s="1852"/>
      <c r="S67" s="1852"/>
      <c r="T67" s="1852"/>
      <c r="U67" s="1852"/>
      <c r="V67" s="1852"/>
      <c r="W67" s="1852"/>
      <c r="X67" s="1852"/>
      <c r="Y67" s="1852"/>
      <c r="Z67" s="1852"/>
      <c r="AA67" s="1852"/>
      <c r="AB67" s="1852"/>
      <c r="AC67" s="1852"/>
      <c r="AD67" s="1852"/>
      <c r="AE67" s="1852"/>
      <c r="AF67" s="1852"/>
      <c r="AG67" s="1852"/>
      <c r="AH67" s="1852"/>
      <c r="AI67" s="1852"/>
      <c r="AJ67" s="1852"/>
      <c r="AK67" s="1852"/>
    </row>
    <row r="68" spans="1:37">
      <c r="A68" s="149"/>
      <c r="C68" s="5"/>
      <c r="D68" s="149"/>
      <c r="E68" s="149"/>
      <c r="F68" s="9"/>
      <c r="G68" s="1852"/>
      <c r="H68" s="1852"/>
      <c r="I68" s="1852"/>
      <c r="J68" s="1852"/>
      <c r="K68" s="1852"/>
      <c r="L68" s="1852"/>
      <c r="M68" s="1852"/>
      <c r="N68" s="1852"/>
      <c r="O68" s="1852"/>
      <c r="P68" s="1852"/>
      <c r="Q68" s="1852"/>
      <c r="R68" s="1852"/>
      <c r="S68" s="1852"/>
      <c r="T68" s="1852"/>
      <c r="U68" s="1852"/>
      <c r="V68" s="1852"/>
      <c r="W68" s="1852"/>
      <c r="X68" s="1852"/>
      <c r="Y68" s="1852"/>
      <c r="Z68" s="1852"/>
      <c r="AA68" s="1852"/>
      <c r="AB68" s="1852"/>
      <c r="AC68" s="1852"/>
      <c r="AD68" s="1852"/>
      <c r="AE68" s="1852"/>
      <c r="AF68" s="1852"/>
      <c r="AG68" s="1852"/>
      <c r="AH68" s="1852"/>
      <c r="AI68" s="1852"/>
      <c r="AJ68" s="1852"/>
      <c r="AK68" s="1852"/>
    </row>
    <row r="69" spans="1:37" ht="13.15" customHeight="1">
      <c r="A69" s="149"/>
      <c r="C69" s="5"/>
      <c r="D69" s="149"/>
      <c r="E69" s="149"/>
      <c r="F69" s="9" t="s">
        <v>544</v>
      </c>
      <c r="G69" s="1852" t="s">
        <v>1367</v>
      </c>
      <c r="H69" s="1852"/>
      <c r="I69" s="1852"/>
      <c r="J69" s="1852"/>
      <c r="K69" s="1852"/>
      <c r="L69" s="1852"/>
      <c r="M69" s="1852"/>
      <c r="N69" s="1852"/>
      <c r="O69" s="1852"/>
      <c r="P69" s="1852"/>
      <c r="Q69" s="1852"/>
      <c r="R69" s="1852"/>
      <c r="S69" s="1852"/>
      <c r="T69" s="1852"/>
      <c r="U69" s="1852"/>
      <c r="V69" s="1852"/>
      <c r="W69" s="1852"/>
      <c r="X69" s="1852"/>
      <c r="Y69" s="1852"/>
      <c r="Z69" s="1852"/>
      <c r="AA69" s="1852"/>
      <c r="AB69" s="1852"/>
      <c r="AC69" s="1852"/>
      <c r="AD69" s="1852"/>
      <c r="AE69" s="1852"/>
      <c r="AF69" s="1852"/>
      <c r="AG69" s="1852"/>
      <c r="AH69" s="1852"/>
      <c r="AI69" s="1852"/>
      <c r="AJ69" s="1852"/>
      <c r="AK69" s="1852"/>
    </row>
    <row r="70" spans="1:37">
      <c r="A70" s="149"/>
      <c r="C70" s="5"/>
      <c r="D70" s="149"/>
      <c r="E70" s="149"/>
      <c r="F70" s="380"/>
      <c r="G70" s="1852"/>
      <c r="H70" s="1852"/>
      <c r="I70" s="1852"/>
      <c r="J70" s="1852"/>
      <c r="K70" s="1852"/>
      <c r="L70" s="1852"/>
      <c r="M70" s="1852"/>
      <c r="N70" s="1852"/>
      <c r="O70" s="1852"/>
      <c r="P70" s="1852"/>
      <c r="Q70" s="1852"/>
      <c r="R70" s="1852"/>
      <c r="S70" s="1852"/>
      <c r="T70" s="1852"/>
      <c r="U70" s="1852"/>
      <c r="V70" s="1852"/>
      <c r="W70" s="1852"/>
      <c r="X70" s="1852"/>
      <c r="Y70" s="1852"/>
      <c r="Z70" s="1852"/>
      <c r="AA70" s="1852"/>
      <c r="AB70" s="1852"/>
      <c r="AC70" s="1852"/>
      <c r="AD70" s="1852"/>
      <c r="AE70" s="1852"/>
      <c r="AF70" s="1852"/>
      <c r="AG70" s="1852"/>
      <c r="AH70" s="1852"/>
      <c r="AI70" s="1852"/>
      <c r="AJ70" s="1852"/>
      <c r="AK70" s="1852"/>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2" t="s">
        <v>1368</v>
      </c>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row>
    <row r="73" spans="1:37">
      <c r="A73" s="149"/>
      <c r="C73" s="5"/>
      <c r="D73" s="149"/>
      <c r="E73" s="149"/>
      <c r="F73" s="249"/>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row>
    <row r="74" spans="1:37">
      <c r="A74" s="149"/>
      <c r="C74" s="5"/>
      <c r="D74" s="149"/>
      <c r="E74" s="149"/>
      <c r="F74" s="249" t="s">
        <v>544</v>
      </c>
      <c r="G74" s="1852" t="s">
        <v>1369</v>
      </c>
      <c r="H74" s="1852"/>
      <c r="I74" s="1852"/>
      <c r="J74" s="1852"/>
      <c r="K74" s="1852"/>
      <c r="L74" s="1852"/>
      <c r="M74" s="1852"/>
      <c r="N74" s="1852"/>
      <c r="O74" s="1852"/>
      <c r="P74" s="1852"/>
      <c r="Q74" s="1852"/>
      <c r="R74" s="1852"/>
      <c r="S74" s="1852"/>
      <c r="T74" s="1852"/>
      <c r="U74" s="1852"/>
      <c r="V74" s="1852"/>
      <c r="W74" s="1852"/>
      <c r="X74" s="1852"/>
      <c r="Y74" s="1852"/>
      <c r="Z74" s="1852"/>
      <c r="AA74" s="1852"/>
      <c r="AB74" s="1852"/>
      <c r="AC74" s="1852"/>
      <c r="AD74" s="1852"/>
      <c r="AE74" s="1852"/>
      <c r="AF74" s="1852"/>
      <c r="AG74" s="1852"/>
      <c r="AH74" s="1852"/>
      <c r="AI74" s="1852"/>
      <c r="AJ74" s="1852"/>
      <c r="AK74" s="1852"/>
    </row>
    <row r="75" spans="1:37">
      <c r="A75" s="149"/>
      <c r="C75" s="5"/>
      <c r="D75" s="149"/>
      <c r="E75" s="149"/>
      <c r="F75" s="249"/>
      <c r="G75" s="1852"/>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52"/>
      <c r="AI75" s="1852"/>
      <c r="AJ75" s="1852"/>
      <c r="AK75" s="1852"/>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2" t="s">
        <v>1370</v>
      </c>
      <c r="H82" s="1852"/>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1852"/>
      <c r="AI82" s="1852"/>
      <c r="AJ82" s="1852"/>
      <c r="AK82" s="1852"/>
    </row>
    <row r="83" spans="1:37">
      <c r="A83" s="149"/>
      <c r="C83" s="5"/>
      <c r="D83" s="149"/>
      <c r="E83" s="149"/>
      <c r="F83" s="149"/>
      <c r="G83" s="1852"/>
      <c r="H83" s="1852"/>
      <c r="I83" s="1852"/>
      <c r="J83" s="1852"/>
      <c r="K83" s="1852"/>
      <c r="L83" s="1852"/>
      <c r="M83" s="1852"/>
      <c r="N83" s="1852"/>
      <c r="O83" s="1852"/>
      <c r="P83" s="1852"/>
      <c r="Q83" s="1852"/>
      <c r="R83" s="1852"/>
      <c r="S83" s="1852"/>
      <c r="T83" s="1852"/>
      <c r="U83" s="1852"/>
      <c r="V83" s="1852"/>
      <c r="W83" s="1852"/>
      <c r="X83" s="1852"/>
      <c r="Y83" s="1852"/>
      <c r="Z83" s="1852"/>
      <c r="AA83" s="1852"/>
      <c r="AB83" s="1852"/>
      <c r="AC83" s="1852"/>
      <c r="AD83" s="1852"/>
      <c r="AE83" s="1852"/>
      <c r="AF83" s="1852"/>
      <c r="AG83" s="1852"/>
      <c r="AH83" s="1852"/>
      <c r="AI83" s="1852"/>
      <c r="AJ83" s="1852"/>
      <c r="AK83" s="1852"/>
    </row>
    <row r="84" spans="1:37" s="718" customFormat="1">
      <c r="A84" s="149"/>
      <c r="C84" s="5"/>
      <c r="D84" s="149"/>
      <c r="E84" s="149"/>
      <c r="F84" s="149"/>
      <c r="G84" s="1852"/>
      <c r="H84" s="1852"/>
      <c r="I84" s="1852"/>
      <c r="J84" s="1852"/>
      <c r="K84" s="1852"/>
      <c r="L84" s="1852"/>
      <c r="M84" s="1852"/>
      <c r="N84" s="1852"/>
      <c r="O84" s="1852"/>
      <c r="P84" s="1852"/>
      <c r="Q84" s="1852"/>
      <c r="R84" s="1852"/>
      <c r="S84" s="1852"/>
      <c r="T84" s="1852"/>
      <c r="U84" s="1852"/>
      <c r="V84" s="1852"/>
      <c r="W84" s="1852"/>
      <c r="X84" s="1852"/>
      <c r="Y84" s="1852"/>
      <c r="Z84" s="1852"/>
      <c r="AA84" s="1852"/>
      <c r="AB84" s="1852"/>
      <c r="AC84" s="1852"/>
      <c r="AD84" s="1852"/>
      <c r="AE84" s="1852"/>
      <c r="AF84" s="1852"/>
      <c r="AG84" s="1852"/>
      <c r="AH84" s="1852"/>
      <c r="AI84" s="1852"/>
      <c r="AJ84" s="1852"/>
      <c r="AK84" s="1852"/>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2" t="s">
        <v>1371</v>
      </c>
      <c r="H86" s="1852"/>
      <c r="I86" s="1852"/>
      <c r="J86" s="1852"/>
      <c r="K86" s="1852"/>
      <c r="L86" s="1852"/>
      <c r="M86" s="1852"/>
      <c r="N86" s="1852"/>
      <c r="O86" s="1852"/>
      <c r="P86" s="1852"/>
      <c r="Q86" s="1852"/>
      <c r="R86" s="1852"/>
      <c r="S86" s="1852"/>
      <c r="T86" s="1852"/>
      <c r="U86" s="1852"/>
      <c r="V86" s="1852"/>
      <c r="W86" s="1852"/>
      <c r="X86" s="1852"/>
      <c r="Y86" s="1852"/>
      <c r="Z86" s="1852"/>
      <c r="AA86" s="1852"/>
      <c r="AB86" s="1852"/>
      <c r="AC86" s="1852"/>
      <c r="AD86" s="1852"/>
      <c r="AE86" s="1852"/>
      <c r="AF86" s="1852"/>
      <c r="AG86" s="1852"/>
      <c r="AH86" s="1852"/>
      <c r="AI86" s="1852"/>
      <c r="AJ86" s="1852"/>
      <c r="AK86" s="1852"/>
    </row>
    <row r="87" spans="1:37">
      <c r="A87" s="149"/>
      <c r="C87" s="5"/>
      <c r="D87" s="149"/>
      <c r="E87" s="149"/>
      <c r="F87" s="149"/>
      <c r="G87" s="1852"/>
      <c r="H87" s="1852"/>
      <c r="I87" s="1852"/>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2"/>
      <c r="AI87" s="1852"/>
      <c r="AJ87" s="1852"/>
      <c r="AK87" s="1852"/>
    </row>
    <row r="88" spans="1:37">
      <c r="A88" s="149"/>
      <c r="C88" s="5"/>
      <c r="D88" s="149"/>
      <c r="E88" s="149"/>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2"/>
      <c r="AI88" s="1852"/>
      <c r="AJ88" s="1852"/>
      <c r="AK88" s="1852"/>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1372</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8"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2" t="s">
        <v>1373</v>
      </c>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2"/>
      <c r="AK94" s="1852"/>
    </row>
    <row r="95" spans="1:37">
      <c r="A95" s="149"/>
      <c r="C95" s="5"/>
      <c r="D95" s="149"/>
      <c r="E95" s="149"/>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2"/>
      <c r="AK95" s="1852"/>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2" t="s">
        <v>1374</v>
      </c>
      <c r="H97" s="1852"/>
      <c r="I97" s="1852"/>
      <c r="J97" s="1852"/>
      <c r="K97" s="1852"/>
      <c r="L97" s="1852"/>
      <c r="M97" s="1852"/>
      <c r="N97" s="1852"/>
      <c r="O97" s="1852"/>
      <c r="P97" s="1852"/>
      <c r="Q97" s="1852"/>
      <c r="R97" s="1852"/>
      <c r="S97" s="1852"/>
      <c r="T97" s="1852"/>
      <c r="U97" s="1852"/>
      <c r="V97" s="1852"/>
      <c r="W97" s="1852"/>
      <c r="X97" s="1852"/>
      <c r="Y97" s="1852"/>
      <c r="Z97" s="1852"/>
      <c r="AA97" s="1852"/>
      <c r="AB97" s="1852"/>
      <c r="AC97" s="1852"/>
      <c r="AD97" s="1852"/>
      <c r="AE97" s="1852"/>
      <c r="AF97" s="1852"/>
      <c r="AG97" s="1852"/>
      <c r="AH97" s="1852"/>
      <c r="AI97" s="1852"/>
      <c r="AJ97" s="1852"/>
      <c r="AK97" s="1852"/>
    </row>
    <row r="98" spans="1:38">
      <c r="A98" s="149"/>
      <c r="C98" s="183"/>
      <c r="D98" s="182"/>
      <c r="E98" s="182"/>
      <c r="F98" s="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2"/>
      <c r="AH98" s="1852"/>
      <c r="AI98" s="1852"/>
      <c r="AJ98" s="1852"/>
      <c r="AK98" s="1852"/>
      <c r="AL98" s="2"/>
    </row>
    <row r="99" spans="1:38">
      <c r="A99" s="149"/>
      <c r="C99" s="183"/>
      <c r="D99" s="182"/>
      <c r="E99" s="182"/>
      <c r="F99" s="2"/>
      <c r="G99" s="1852"/>
      <c r="H99" s="1852"/>
      <c r="I99" s="1852"/>
      <c r="J99" s="1852"/>
      <c r="K99" s="1852"/>
      <c r="L99" s="1852"/>
      <c r="M99" s="1852"/>
      <c r="N99" s="1852"/>
      <c r="O99" s="1852"/>
      <c r="P99" s="1852"/>
      <c r="Q99" s="1852"/>
      <c r="R99" s="1852"/>
      <c r="S99" s="1852"/>
      <c r="T99" s="1852"/>
      <c r="U99" s="1852"/>
      <c r="V99" s="1852"/>
      <c r="W99" s="1852"/>
      <c r="X99" s="1852"/>
      <c r="Y99" s="1852"/>
      <c r="Z99" s="1852"/>
      <c r="AA99" s="1852"/>
      <c r="AB99" s="1852"/>
      <c r="AC99" s="1852"/>
      <c r="AD99" s="1852"/>
      <c r="AE99" s="1852"/>
      <c r="AF99" s="1852"/>
      <c r="AG99" s="1852"/>
      <c r="AH99" s="1852"/>
      <c r="AI99" s="1852"/>
      <c r="AJ99" s="1852"/>
      <c r="AK99" s="1852"/>
      <c r="AL99" s="2"/>
    </row>
    <row r="100" spans="1:38">
      <c r="A100" s="149"/>
      <c r="C100" s="2"/>
      <c r="D100" s="492"/>
      <c r="E100" s="1861" t="s">
        <v>1375</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2" t="s">
        <v>1376</v>
      </c>
      <c r="H207" s="1852"/>
      <c r="I207" s="1852"/>
      <c r="J207" s="1852"/>
      <c r="K207" s="1852"/>
      <c r="L207" s="1852"/>
      <c r="M207" s="1852"/>
      <c r="N207" s="1852"/>
      <c r="O207" s="1852"/>
      <c r="P207" s="1852"/>
      <c r="Q207" s="1852"/>
      <c r="R207" s="1852"/>
      <c r="S207" s="1852"/>
      <c r="T207" s="1852"/>
      <c r="U207" s="1852"/>
      <c r="V207" s="1852"/>
      <c r="W207" s="1852"/>
      <c r="X207" s="1852"/>
      <c r="Y207" s="1852"/>
      <c r="Z207" s="1852"/>
      <c r="AA207" s="1852"/>
      <c r="AB207" s="1852"/>
      <c r="AC207" s="1852"/>
      <c r="AD207" s="1852"/>
      <c r="AE207" s="1852"/>
      <c r="AF207" s="1852"/>
      <c r="AG207" s="1852"/>
      <c r="AH207" s="1852"/>
      <c r="AI207" s="1852"/>
      <c r="AJ207" s="1852"/>
      <c r="AK207" s="1852"/>
    </row>
    <row r="208" spans="2:37">
      <c r="B208" s="149"/>
      <c r="C208" s="149"/>
      <c r="D208" s="5"/>
      <c r="G208" s="1852"/>
      <c r="H208" s="1852"/>
      <c r="I208" s="1852"/>
      <c r="J208" s="1852"/>
      <c r="K208" s="1852"/>
      <c r="L208" s="1852"/>
      <c r="M208" s="1852"/>
      <c r="N208" s="1852"/>
      <c r="O208" s="1852"/>
      <c r="P208" s="1852"/>
      <c r="Q208" s="1852"/>
      <c r="R208" s="1852"/>
      <c r="S208" s="1852"/>
      <c r="T208" s="1852"/>
      <c r="U208" s="1852"/>
      <c r="V208" s="1852"/>
      <c r="W208" s="1852"/>
      <c r="X208" s="1852"/>
      <c r="Y208" s="1852"/>
      <c r="Z208" s="1852"/>
      <c r="AA208" s="1852"/>
      <c r="AB208" s="1852"/>
      <c r="AC208" s="1852"/>
      <c r="AD208" s="1852"/>
      <c r="AE208" s="1852"/>
      <c r="AF208" s="1852"/>
      <c r="AG208" s="1852"/>
      <c r="AH208" s="1852"/>
      <c r="AI208" s="1852"/>
      <c r="AJ208" s="1852"/>
      <c r="AK208" s="1852"/>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2" t="s">
        <v>1351</v>
      </c>
      <c r="G338" s="1852"/>
      <c r="H338" s="1852"/>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1852"/>
    </row>
    <row r="339" spans="2:37">
      <c r="B339" s="5"/>
      <c r="E339" s="149"/>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1852"/>
    </row>
    <row r="340" spans="2:37">
      <c r="B340" s="5"/>
      <c r="E340" s="149"/>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1852"/>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4" t="s">
        <v>1458</v>
      </c>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1854"/>
    </row>
    <row r="344" spans="2:37" s="718" customFormat="1">
      <c r="B344" s="5"/>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1854"/>
    </row>
    <row r="345" spans="2:37" s="718" customFormat="1">
      <c r="B345" s="5"/>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1854"/>
    </row>
    <row r="346" spans="2:37" s="718" customFormat="1">
      <c r="B346" s="5"/>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1854"/>
    </row>
    <row r="347" spans="2:37" s="718" customFormat="1">
      <c r="B347" s="5"/>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1854"/>
    </row>
    <row r="348" spans="2:37" s="718" customFormat="1">
      <c r="B348" s="5"/>
      <c r="E348" s="6" t="s">
        <v>117</v>
      </c>
      <c r="F348" s="1852" t="s">
        <v>1460</v>
      </c>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1852"/>
    </row>
    <row r="349" spans="2:37" s="718" customFormat="1">
      <c r="B349" s="5"/>
      <c r="E349" s="6"/>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1852"/>
    </row>
    <row r="350" spans="2:37" s="718" customFormat="1">
      <c r="B350" s="5"/>
      <c r="E350" s="6"/>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row>
    <row r="351" spans="2:37" s="718" customFormat="1">
      <c r="B351" s="5"/>
      <c r="E351" s="6"/>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row>
    <row r="352" spans="2:37" s="718" customFormat="1">
      <c r="B352" s="5"/>
      <c r="E352" s="6" t="s">
        <v>118</v>
      </c>
      <c r="F352" s="1852" t="s">
        <v>1459</v>
      </c>
      <c r="G352" s="1852"/>
      <c r="H352" s="1852"/>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1852"/>
    </row>
    <row r="353" spans="1:38" s="718" customFormat="1">
      <c r="B353" s="5"/>
      <c r="F353" s="1852"/>
      <c r="G353" s="1852"/>
      <c r="H353" s="1852"/>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1852"/>
    </row>
    <row r="354" spans="1:38" s="718" customFormat="1">
      <c r="B354" s="5"/>
      <c r="F354" s="1852"/>
      <c r="G354" s="1852"/>
      <c r="H354" s="1852"/>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1852"/>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5" t="s">
        <v>1449</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1500</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3" t="s">
        <v>1511</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8"/>
    </row>
    <row r="389" spans="1:38" s="718" customFormat="1">
      <c r="A389" s="678"/>
      <c r="B389" s="183"/>
      <c r="C389" s="678"/>
      <c r="D389" s="678"/>
      <c r="E389" s="679"/>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8"/>
    </row>
    <row r="390" spans="1:38" s="718" customFormat="1">
      <c r="A390" s="678"/>
      <c r="B390" s="183"/>
      <c r="C390" s="678"/>
      <c r="D390" s="678"/>
      <c r="E390" s="679"/>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7" sqref="E7"/>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71" t="s">
        <v>1892</v>
      </c>
      <c r="B1" s="3271"/>
      <c r="C1" s="3271"/>
      <c r="D1" s="3271"/>
      <c r="E1" s="3271"/>
      <c r="F1" s="3271"/>
      <c r="G1" s="3271"/>
      <c r="H1" s="3271"/>
      <c r="I1" s="3271"/>
    </row>
    <row r="2" spans="1:11" ht="15">
      <c r="A2" s="1338"/>
      <c r="B2" s="1338"/>
      <c r="E2" s="1339"/>
      <c r="I2" s="1341"/>
      <c r="K2" s="1342"/>
    </row>
    <row r="3" spans="1:11">
      <c r="A3" s="1343" t="s">
        <v>1599</v>
      </c>
      <c r="B3" s="1343"/>
      <c r="C3" s="1336" t="s">
        <v>2197</v>
      </c>
      <c r="E3" s="1844">
        <f>ROUND(Application!AM564+'Basis &amp; Credits'!AB77,0)</f>
        <v>50643984</v>
      </c>
      <c r="F3" s="1344"/>
      <c r="K3" s="1415"/>
    </row>
    <row r="4" spans="1:11" s="1345" customFormat="1" ht="15" customHeight="1">
      <c r="C4" s="1345" t="s">
        <v>1893</v>
      </c>
      <c r="E4" s="1421">
        <f>Application!AD1037</f>
        <v>0.3</v>
      </c>
      <c r="F4" s="1346"/>
      <c r="H4" s="1347"/>
      <c r="K4" s="1634"/>
    </row>
    <row r="5" spans="1:11" s="1348" customFormat="1" ht="15" customHeight="1">
      <c r="A5" s="3272"/>
      <c r="B5" s="3272"/>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35450788.799999997</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0</v>
      </c>
      <c r="G12" s="1363">
        <v>1</v>
      </c>
      <c r="H12" s="1364"/>
      <c r="I12" s="1365">
        <f>E12*G12</f>
        <v>0</v>
      </c>
      <c r="J12" s="1356"/>
    </row>
    <row r="13" spans="1:11" ht="15">
      <c r="A13" s="1338"/>
      <c r="B13" s="1338"/>
      <c r="C13" s="1356" t="s">
        <v>1902</v>
      </c>
      <c r="D13" s="1356"/>
      <c r="E13" s="1416">
        <f>Application!BX635+Application!BX644+Application!DC658</f>
        <v>70</v>
      </c>
      <c r="G13" s="1363">
        <v>1.25</v>
      </c>
      <c r="H13" s="1364"/>
      <c r="I13" s="1365">
        <f>E13*G13</f>
        <v>87.5</v>
      </c>
      <c r="J13" s="1356"/>
    </row>
    <row r="14" spans="1:11" ht="15">
      <c r="A14" s="1338"/>
      <c r="B14" s="1338"/>
      <c r="C14" s="1356" t="s">
        <v>1903</v>
      </c>
      <c r="D14" s="1356"/>
      <c r="E14" s="1416">
        <f>Application!CC635+Application!CC644+Application!DH658</f>
        <v>70</v>
      </c>
      <c r="G14" s="1363">
        <f>1.5+0.25*0</f>
        <v>1.5</v>
      </c>
      <c r="H14" s="1364"/>
      <c r="I14" s="1365">
        <f>IF(E14/E16&lt;=30%,E14*G14,TRUNC(0.3*E16)*G14+(E14-TRUNC(0.3*E16))*G13)</f>
        <v>99.5</v>
      </c>
      <c r="J14" s="1356"/>
    </row>
    <row r="15" spans="1:11" ht="15">
      <c r="A15" s="1338"/>
      <c r="B15" s="1338"/>
      <c r="C15" s="1356" t="s">
        <v>1904</v>
      </c>
      <c r="D15" s="1356"/>
      <c r="E15" s="1417">
        <f>Application!CH635+Application!CM635+Application!CH644+Application!CM644+Application!DM658+Application!DR658</f>
        <v>20</v>
      </c>
      <c r="G15" s="1363">
        <f>1.75+0.25*0</f>
        <v>1.75</v>
      </c>
      <c r="H15" s="1364"/>
      <c r="I15" s="1366">
        <f>IF(E15/E16&lt;=10%,E15*G15,TRUNC(0.1*E16)*G15+(E15-TRUNC(0.1*E16))*G13)</f>
        <v>33</v>
      </c>
      <c r="J15" s="1356"/>
    </row>
    <row r="16" spans="1:11" ht="15">
      <c r="A16" s="1338"/>
      <c r="B16" s="1338"/>
      <c r="E16" s="1339">
        <f>SUM(E11:E15)</f>
        <v>160</v>
      </c>
      <c r="G16" s="1339"/>
      <c r="I16" s="1420">
        <f>SUM(I11:I15)</f>
        <v>220</v>
      </c>
    </row>
    <row r="17" spans="1:9" ht="15">
      <c r="A17" s="1338"/>
      <c r="B17" s="1338"/>
      <c r="E17" s="1339"/>
      <c r="I17" s="1367"/>
    </row>
    <row r="18" spans="1:9" ht="15">
      <c r="A18" s="1343" t="s">
        <v>1604</v>
      </c>
      <c r="B18" s="1343"/>
      <c r="C18" s="1368" t="s">
        <v>1905</v>
      </c>
      <c r="D18" s="1340"/>
      <c r="E18" s="1369">
        <f>E7/I16</f>
        <v>161139.94909090907</v>
      </c>
      <c r="F18" s="1370"/>
      <c r="G18" s="1371"/>
      <c r="H18" s="1372"/>
      <c r="I18" s="1367"/>
    </row>
    <row r="21" spans="1:9" ht="14.25" customHeight="1">
      <c r="A21" s="3273" t="s">
        <v>2196</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72" sqref="AB72"/>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30" t="s">
        <v>1533</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05" t="str">
        <f xml:space="preserve"> IF(T25=100%,'Sources and Basis Breakdown'!G2,'Sources and Basis Breakdown'!F2)</f>
        <v>30% PVC for New Const/
Rehabilitation
NON-DDA/
NON-QCT Building(s)</v>
      </c>
      <c r="U7" s="3305"/>
      <c r="V7" s="3305"/>
      <c r="W7" s="3305"/>
      <c r="X7" s="3305"/>
      <c r="Y7" s="3305" t="str">
        <f>IF(T25=100%," ",'Sources and Basis Breakdown'!G2)</f>
        <v xml:space="preserve"> </v>
      </c>
      <c r="Z7" s="3305"/>
      <c r="AA7" s="3305"/>
      <c r="AB7" s="3305"/>
      <c r="AC7" s="3305"/>
      <c r="AD7" s="3305" t="str">
        <f xml:space="preserve"> IF(T25=100%, 'Sources and Basis Breakdown'!J2,'Sources and Basis Breakdown'!I2)</f>
        <v>30% PVC for Acquisition
NON-DDA/
NON-QCT Building(s)</v>
      </c>
      <c r="AE7" s="3305"/>
      <c r="AF7" s="3305"/>
      <c r="AG7" s="3305"/>
      <c r="AH7" s="3305"/>
      <c r="AI7" s="3305" t="str">
        <f>IF(T25=100%," ",'Sources and Basis Breakdown'!J2)</f>
        <v xml:space="preserve"> </v>
      </c>
      <c r="AJ7" s="3305"/>
      <c r="AK7" s="3305"/>
      <c r="AL7" s="3305"/>
      <c r="AM7" s="3305"/>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5"/>
      <c r="U8" s="3305"/>
      <c r="V8" s="3305"/>
      <c r="W8" s="3305"/>
      <c r="X8" s="3305"/>
      <c r="Y8" s="3305"/>
      <c r="Z8" s="3305"/>
      <c r="AA8" s="3305"/>
      <c r="AB8" s="3305"/>
      <c r="AC8" s="3305"/>
      <c r="AD8" s="3305"/>
      <c r="AE8" s="3305"/>
      <c r="AF8" s="3305"/>
      <c r="AG8" s="3305"/>
      <c r="AH8" s="3305"/>
      <c r="AI8" s="3305"/>
      <c r="AJ8" s="3305"/>
      <c r="AK8" s="3305"/>
      <c r="AL8" s="3305"/>
      <c r="AM8" s="3305"/>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5"/>
      <c r="U9" s="3305"/>
      <c r="V9" s="3305"/>
      <c r="W9" s="3305"/>
      <c r="X9" s="3305"/>
      <c r="Y9" s="3305"/>
      <c r="Z9" s="3305"/>
      <c r="AA9" s="3305"/>
      <c r="AB9" s="3305"/>
      <c r="AC9" s="3305"/>
      <c r="AD9" s="3305"/>
      <c r="AE9" s="3305"/>
      <c r="AF9" s="3305"/>
      <c r="AG9" s="3305"/>
      <c r="AH9" s="3305"/>
      <c r="AI9" s="3305"/>
      <c r="AJ9" s="3305"/>
      <c r="AK9" s="3305"/>
      <c r="AL9" s="3305"/>
      <c r="AM9" s="3305"/>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87" t="s">
        <v>395</v>
      </c>
      <c r="C11" s="3288"/>
      <c r="D11" s="3288"/>
      <c r="E11" s="3288"/>
      <c r="F11" s="3288"/>
      <c r="G11" s="3288"/>
      <c r="H11" s="3288"/>
      <c r="I11" s="3288"/>
      <c r="J11" s="3288"/>
      <c r="K11" s="3288"/>
      <c r="L11" s="3288"/>
      <c r="M11" s="3288"/>
      <c r="N11" s="3288"/>
      <c r="O11" s="3288"/>
      <c r="P11" s="3288"/>
      <c r="Q11" s="3288"/>
      <c r="R11" s="3288"/>
      <c r="S11" s="3289"/>
      <c r="T11" s="3332">
        <f>IF('Sources and Basis Breakdown'!F107=0,'Sources and Basis Breakdown'!E107,'Sources and Basis Breakdown'!F107)</f>
        <v>62028004</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36" t="s">
        <v>532</v>
      </c>
      <c r="C12" s="3337"/>
      <c r="D12" s="3337"/>
      <c r="E12" s="3337"/>
      <c r="F12" s="3337"/>
      <c r="G12" s="3337"/>
      <c r="H12" s="3337"/>
      <c r="I12" s="3337"/>
      <c r="J12" s="3337"/>
      <c r="K12" s="3337"/>
      <c r="L12" s="3337"/>
      <c r="M12" s="3337"/>
      <c r="N12" s="3337"/>
      <c r="O12" s="3337"/>
      <c r="P12" s="3337"/>
      <c r="Q12" s="3337"/>
      <c r="R12" s="3337"/>
      <c r="S12" s="3338"/>
      <c r="T12" s="3325"/>
      <c r="U12" s="3326"/>
      <c r="V12" s="3326"/>
      <c r="W12" s="3326"/>
      <c r="X12" s="3327"/>
      <c r="Y12" s="3325"/>
      <c r="Z12" s="3326"/>
      <c r="AA12" s="3326"/>
      <c r="AB12" s="3326"/>
      <c r="AC12" s="3327"/>
      <c r="AD12" s="3325"/>
      <c r="AE12" s="3326"/>
      <c r="AF12" s="3326"/>
      <c r="AG12" s="3326"/>
      <c r="AH12" s="3327"/>
      <c r="AI12" s="3325"/>
      <c r="AJ12" s="3326"/>
      <c r="AK12" s="3326"/>
      <c r="AL12" s="3326"/>
      <c r="AM12" s="332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39" t="s">
        <v>533</v>
      </c>
      <c r="D13" s="3339"/>
      <c r="E13" s="3339"/>
      <c r="F13" s="3339"/>
      <c r="G13" s="3339"/>
      <c r="H13" s="3339"/>
      <c r="I13" s="3339"/>
      <c r="J13" s="3339"/>
      <c r="K13" s="3339"/>
      <c r="L13" s="3339"/>
      <c r="M13" s="3339"/>
      <c r="N13" s="3339"/>
      <c r="O13" s="3339"/>
      <c r="P13" s="3339"/>
      <c r="Q13" s="3339"/>
      <c r="R13" s="3339"/>
      <c r="S13" s="3340"/>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39" t="s">
        <v>534</v>
      </c>
      <c r="D14" s="3339"/>
      <c r="E14" s="3339"/>
      <c r="F14" s="3339"/>
      <c r="G14" s="3339"/>
      <c r="H14" s="3339"/>
      <c r="I14" s="3339"/>
      <c r="J14" s="3339"/>
      <c r="K14" s="3339"/>
      <c r="L14" s="3339"/>
      <c r="M14" s="3339"/>
      <c r="N14" s="3339"/>
      <c r="O14" s="3339"/>
      <c r="P14" s="3339"/>
      <c r="Q14" s="3339"/>
      <c r="R14" s="3339"/>
      <c r="S14" s="3340"/>
      <c r="T14" s="3314"/>
      <c r="U14" s="3315"/>
      <c r="V14" s="3315"/>
      <c r="W14" s="3315"/>
      <c r="X14" s="3315"/>
      <c r="Y14" s="3314"/>
      <c r="Z14" s="3315"/>
      <c r="AA14" s="3315"/>
      <c r="AB14" s="3315"/>
      <c r="AC14" s="3315"/>
      <c r="AD14" s="3315"/>
      <c r="AE14" s="3315"/>
      <c r="AF14" s="3315"/>
      <c r="AG14" s="3315"/>
      <c r="AH14" s="3315"/>
      <c r="AI14" s="3315"/>
      <c r="AJ14" s="3315"/>
      <c r="AK14" s="3315"/>
      <c r="AL14" s="3315"/>
      <c r="AM14" s="3315"/>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39" t="s">
        <v>535</v>
      </c>
      <c r="D15" s="3339"/>
      <c r="E15" s="3339"/>
      <c r="F15" s="3339"/>
      <c r="G15" s="3339"/>
      <c r="H15" s="3339"/>
      <c r="I15" s="3339"/>
      <c r="J15" s="3339"/>
      <c r="K15" s="3339"/>
      <c r="L15" s="3339"/>
      <c r="M15" s="3339"/>
      <c r="N15" s="3339"/>
      <c r="O15" s="3339"/>
      <c r="P15" s="3339"/>
      <c r="Q15" s="3339"/>
      <c r="R15" s="3339"/>
      <c r="S15" s="3340"/>
      <c r="T15" s="3314"/>
      <c r="U15" s="3315"/>
      <c r="V15" s="3315"/>
      <c r="W15" s="3315"/>
      <c r="X15" s="3315"/>
      <c r="Y15" s="3314"/>
      <c r="Z15" s="3315"/>
      <c r="AA15" s="3315"/>
      <c r="AB15" s="3315"/>
      <c r="AC15" s="3315"/>
      <c r="AD15" s="3315"/>
      <c r="AE15" s="3315"/>
      <c r="AF15" s="3315"/>
      <c r="AG15" s="3315"/>
      <c r="AH15" s="3315"/>
      <c r="AI15" s="3315"/>
      <c r="AJ15" s="3315"/>
      <c r="AK15" s="3315"/>
      <c r="AL15" s="3315"/>
      <c r="AM15" s="3315"/>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39" t="s">
        <v>868</v>
      </c>
      <c r="D16" s="3339"/>
      <c r="E16" s="3339"/>
      <c r="F16" s="3339"/>
      <c r="G16" s="3339"/>
      <c r="H16" s="3339"/>
      <c r="I16" s="3339"/>
      <c r="J16" s="3339"/>
      <c r="K16" s="3339"/>
      <c r="L16" s="3339"/>
      <c r="M16" s="3339"/>
      <c r="N16" s="3339"/>
      <c r="O16" s="3339"/>
      <c r="P16" s="3339"/>
      <c r="Q16" s="3339"/>
      <c r="R16" s="3339"/>
      <c r="S16" s="3340"/>
      <c r="T16" s="3314"/>
      <c r="U16" s="3315"/>
      <c r="V16" s="3315"/>
      <c r="W16" s="3315"/>
      <c r="X16" s="3315"/>
      <c r="Y16" s="3314"/>
      <c r="Z16" s="3315"/>
      <c r="AA16" s="3315"/>
      <c r="AB16" s="3315"/>
      <c r="AC16" s="3315"/>
      <c r="AD16" s="3315"/>
      <c r="AE16" s="3315"/>
      <c r="AF16" s="3315"/>
      <c r="AG16" s="3315"/>
      <c r="AH16" s="3315"/>
      <c r="AI16" s="3315"/>
      <c r="AJ16" s="3315"/>
      <c r="AK16" s="3315"/>
      <c r="AL16" s="3315"/>
      <c r="AM16" s="3315"/>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39" t="s">
        <v>536</v>
      </c>
      <c r="D17" s="3339"/>
      <c r="E17" s="3339"/>
      <c r="F17" s="3339"/>
      <c r="G17" s="3339"/>
      <c r="H17" s="3339"/>
      <c r="I17" s="3339"/>
      <c r="J17" s="3339"/>
      <c r="K17" s="3339"/>
      <c r="L17" s="3339"/>
      <c r="M17" s="3339"/>
      <c r="N17" s="3339"/>
      <c r="O17" s="3339"/>
      <c r="P17" s="3339"/>
      <c r="Q17" s="3339"/>
      <c r="R17" s="3339"/>
      <c r="S17" s="3340"/>
      <c r="T17" s="3314"/>
      <c r="U17" s="3315"/>
      <c r="V17" s="3315"/>
      <c r="W17" s="3315"/>
      <c r="X17" s="3315"/>
      <c r="Y17" s="3314"/>
      <c r="Z17" s="3315"/>
      <c r="AA17" s="3315"/>
      <c r="AB17" s="3315"/>
      <c r="AC17" s="3315"/>
      <c r="AD17" s="3315"/>
      <c r="AE17" s="3315"/>
      <c r="AF17" s="3315"/>
      <c r="AG17" s="3315"/>
      <c r="AH17" s="3315"/>
      <c r="AI17" s="3315"/>
      <c r="AJ17" s="3315"/>
      <c r="AK17" s="3315"/>
      <c r="AL17" s="3315"/>
      <c r="AM17" s="3315"/>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34" t="s">
        <v>1043</v>
      </c>
      <c r="D18" s="3334"/>
      <c r="E18" s="3334"/>
      <c r="F18" s="3334"/>
      <c r="G18" s="3334"/>
      <c r="H18" s="3334"/>
      <c r="I18" s="3334"/>
      <c r="J18" s="3334"/>
      <c r="K18" s="3334"/>
      <c r="L18" s="3334"/>
      <c r="M18" s="3334"/>
      <c r="N18" s="3334"/>
      <c r="O18" s="3334"/>
      <c r="P18" s="3334"/>
      <c r="Q18" s="3334"/>
      <c r="R18" s="3334"/>
      <c r="S18" s="3335"/>
      <c r="T18" s="3314"/>
      <c r="U18" s="3315"/>
      <c r="V18" s="3315"/>
      <c r="W18" s="3315"/>
      <c r="X18" s="3315"/>
      <c r="Y18" s="3314"/>
      <c r="Z18" s="3315"/>
      <c r="AA18" s="3315"/>
      <c r="AB18" s="3315"/>
      <c r="AC18" s="3315"/>
      <c r="AD18" s="3315"/>
      <c r="AE18" s="3315"/>
      <c r="AF18" s="3315"/>
      <c r="AG18" s="3315"/>
      <c r="AH18" s="3315"/>
      <c r="AI18" s="3315"/>
      <c r="AJ18" s="3315"/>
      <c r="AK18" s="3315"/>
      <c r="AL18" s="3315"/>
      <c r="AM18" s="3315"/>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34" t="s">
        <v>1043</v>
      </c>
      <c r="D19" s="3334"/>
      <c r="E19" s="3334"/>
      <c r="F19" s="3334"/>
      <c r="G19" s="3334"/>
      <c r="H19" s="3334"/>
      <c r="I19" s="3334"/>
      <c r="J19" s="3334"/>
      <c r="K19" s="3334"/>
      <c r="L19" s="3334"/>
      <c r="M19" s="3334"/>
      <c r="N19" s="3334"/>
      <c r="O19" s="3334"/>
      <c r="P19" s="3334"/>
      <c r="Q19" s="3334"/>
      <c r="R19" s="3334"/>
      <c r="S19" s="3335"/>
      <c r="T19" s="3314"/>
      <c r="U19" s="3315"/>
      <c r="V19" s="3315"/>
      <c r="W19" s="3315"/>
      <c r="X19" s="3315"/>
      <c r="Y19" s="3314"/>
      <c r="Z19" s="3315"/>
      <c r="AA19" s="3315"/>
      <c r="AB19" s="3315"/>
      <c r="AC19" s="3315"/>
      <c r="AD19" s="3315"/>
      <c r="AE19" s="3315"/>
      <c r="AF19" s="3315"/>
      <c r="AG19" s="3315"/>
      <c r="AH19" s="3315"/>
      <c r="AI19" s="3315"/>
      <c r="AJ19" s="3315"/>
      <c r="AK19" s="3315"/>
      <c r="AL19" s="3315"/>
      <c r="AM19" s="3315"/>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87" t="s">
        <v>537</v>
      </c>
      <c r="C20" s="3288"/>
      <c r="D20" s="3288"/>
      <c r="E20" s="3288"/>
      <c r="F20" s="3288"/>
      <c r="G20" s="3288"/>
      <c r="H20" s="3288"/>
      <c r="I20" s="3288"/>
      <c r="J20" s="3288"/>
      <c r="K20" s="3288"/>
      <c r="L20" s="3288"/>
      <c r="M20" s="3288"/>
      <c r="N20" s="3288"/>
      <c r="O20" s="3288"/>
      <c r="P20" s="3288"/>
      <c r="Q20" s="3288"/>
      <c r="R20" s="3288"/>
      <c r="S20" s="3289"/>
      <c r="T20" s="3304">
        <f>SUM(T13:X19)</f>
        <v>0</v>
      </c>
      <c r="U20" s="3307"/>
      <c r="V20" s="3307"/>
      <c r="W20" s="3307"/>
      <c r="X20" s="3307"/>
      <c r="Y20" s="3304">
        <f>SUM(Y13:AC19)</f>
        <v>0</v>
      </c>
      <c r="Z20" s="3307"/>
      <c r="AA20" s="3307"/>
      <c r="AB20" s="3307"/>
      <c r="AC20" s="3307"/>
      <c r="AD20" s="3302">
        <f>SUM(AD13:AH19)</f>
        <v>0</v>
      </c>
      <c r="AE20" s="3303"/>
      <c r="AF20" s="3303"/>
      <c r="AG20" s="3303"/>
      <c r="AH20" s="3304"/>
      <c r="AI20" s="3302">
        <f>SUM(AI13:AM19)</f>
        <v>0</v>
      </c>
      <c r="AJ20" s="3303"/>
      <c r="AK20" s="3303"/>
      <c r="AL20" s="3303"/>
      <c r="AM20" s="330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87" t="s">
        <v>1505</v>
      </c>
      <c r="C21" s="3288"/>
      <c r="D21" s="3288"/>
      <c r="E21" s="3288"/>
      <c r="F21" s="3288"/>
      <c r="G21" s="3288"/>
      <c r="H21" s="3288"/>
      <c r="I21" s="3288"/>
      <c r="J21" s="3288"/>
      <c r="K21" s="3288"/>
      <c r="L21" s="3288"/>
      <c r="M21" s="3288"/>
      <c r="N21" s="3288"/>
      <c r="O21" s="3288"/>
      <c r="P21" s="3288"/>
      <c r="Q21" s="3288"/>
      <c r="R21" s="3288"/>
      <c r="S21" s="3289"/>
      <c r="T21" s="3314"/>
      <c r="U21" s="3315"/>
      <c r="V21" s="3315"/>
      <c r="W21" s="3315"/>
      <c r="X21" s="3315"/>
      <c r="Y21" s="3314"/>
      <c r="Z21" s="3315"/>
      <c r="AA21" s="3315"/>
      <c r="AB21" s="3315"/>
      <c r="AC21" s="3315"/>
      <c r="AD21" s="3325"/>
      <c r="AE21" s="3326"/>
      <c r="AF21" s="3326"/>
      <c r="AG21" s="3326"/>
      <c r="AH21" s="3327"/>
      <c r="AI21" s="3325"/>
      <c r="AJ21" s="3326"/>
      <c r="AK21" s="3326"/>
      <c r="AL21" s="3326"/>
      <c r="AM21" s="332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87" t="s">
        <v>538</v>
      </c>
      <c r="C22" s="3288"/>
      <c r="D22" s="3288"/>
      <c r="E22" s="3288"/>
      <c r="F22" s="3288"/>
      <c r="G22" s="3288"/>
      <c r="H22" s="3288"/>
      <c r="I22" s="3288"/>
      <c r="J22" s="3288"/>
      <c r="K22" s="3288"/>
      <c r="L22" s="3288"/>
      <c r="M22" s="3288"/>
      <c r="N22" s="3288"/>
      <c r="O22" s="3288"/>
      <c r="P22" s="3288"/>
      <c r="Q22" s="3288"/>
      <c r="R22" s="3288"/>
      <c r="S22" s="3289"/>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43" t="s">
        <v>539</v>
      </c>
      <c r="C23" s="3344"/>
      <c r="D23" s="3344"/>
      <c r="E23" s="3344"/>
      <c r="F23" s="3344"/>
      <c r="G23" s="3344"/>
      <c r="H23" s="3344"/>
      <c r="I23" s="3344"/>
      <c r="J23" s="3344"/>
      <c r="K23" s="3344"/>
      <c r="L23" s="3344"/>
      <c r="M23" s="3344"/>
      <c r="N23" s="3344"/>
      <c r="O23" s="3344"/>
      <c r="P23" s="3344"/>
      <c r="Q23" s="3344"/>
      <c r="R23" s="3344"/>
      <c r="S23" s="3345"/>
      <c r="T23" s="3304">
        <f>T11+T22</f>
        <v>62028004</v>
      </c>
      <c r="U23" s="3307"/>
      <c r="V23" s="3307"/>
      <c r="W23" s="3307"/>
      <c r="X23" s="3307"/>
      <c r="Y23" s="3304">
        <f>Y11+Y22</f>
        <v>0</v>
      </c>
      <c r="Z23" s="3307"/>
      <c r="AA23" s="3307"/>
      <c r="AB23" s="3307"/>
      <c r="AC23" s="3307"/>
      <c r="AD23" s="3304">
        <f>AD11+AD22</f>
        <v>0</v>
      </c>
      <c r="AE23" s="3307"/>
      <c r="AF23" s="3307"/>
      <c r="AG23" s="3307"/>
      <c r="AH23" s="3307"/>
      <c r="AI23" s="3304">
        <f>AI11+AI22</f>
        <v>0</v>
      </c>
      <c r="AJ23" s="3307"/>
      <c r="AK23" s="3307"/>
      <c r="AL23" s="3307"/>
      <c r="AM23" s="3307"/>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87" t="s">
        <v>1044</v>
      </c>
      <c r="C24" s="3288"/>
      <c r="D24" s="3288"/>
      <c r="E24" s="3288"/>
      <c r="F24" s="3288"/>
      <c r="G24" s="3288"/>
      <c r="H24" s="3288"/>
      <c r="I24" s="3288"/>
      <c r="J24" s="3288"/>
      <c r="K24" s="3288"/>
      <c r="L24" s="3288"/>
      <c r="M24" s="3288"/>
      <c r="N24" s="3288"/>
      <c r="O24" s="3288"/>
      <c r="P24" s="3288"/>
      <c r="Q24" s="3288"/>
      <c r="R24" s="3288"/>
      <c r="S24" s="3289"/>
      <c r="T24" s="3302">
        <f>Application!AJ1032</f>
        <v>103300444</v>
      </c>
      <c r="U24" s="3303"/>
      <c r="V24" s="3303"/>
      <c r="W24" s="3303"/>
      <c r="X24" s="3303"/>
      <c r="Y24" s="3303"/>
      <c r="Z24" s="3303"/>
      <c r="AA24" s="3303"/>
      <c r="AB24" s="3303"/>
      <c r="AC24" s="3303"/>
      <c r="AD24" s="3303"/>
      <c r="AE24" s="3303"/>
      <c r="AF24" s="3303"/>
      <c r="AG24" s="3303"/>
      <c r="AH24" s="3303"/>
      <c r="AI24" s="3303"/>
      <c r="AJ24" s="3303"/>
      <c r="AK24" s="3303"/>
      <c r="AL24" s="3303"/>
      <c r="AM24" s="330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46" t="s">
        <v>1506</v>
      </c>
      <c r="C25" s="3347"/>
      <c r="D25" s="3347"/>
      <c r="E25" s="3347"/>
      <c r="F25" s="3347"/>
      <c r="G25" s="3347"/>
      <c r="H25" s="3347"/>
      <c r="I25" s="3347"/>
      <c r="J25" s="3347"/>
      <c r="K25" s="3347"/>
      <c r="L25" s="3347"/>
      <c r="M25" s="3347"/>
      <c r="N25" s="3347"/>
      <c r="O25" s="3347"/>
      <c r="P25" s="3347"/>
      <c r="Q25" s="3347"/>
      <c r="R25" s="3347"/>
      <c r="S25" s="3348"/>
      <c r="T25" s="3320">
        <f>IF(OR(Application!T195="yes",Application!T194="yes"),1.3,1)</f>
        <v>1</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87" t="s">
        <v>540</v>
      </c>
      <c r="C26" s="3288"/>
      <c r="D26" s="3288"/>
      <c r="E26" s="3288"/>
      <c r="F26" s="3288"/>
      <c r="G26" s="3288"/>
      <c r="H26" s="3288"/>
      <c r="I26" s="3288"/>
      <c r="J26" s="3288"/>
      <c r="K26" s="3288"/>
      <c r="L26" s="3288"/>
      <c r="M26" s="3288"/>
      <c r="N26" s="3288"/>
      <c r="O26" s="3288"/>
      <c r="P26" s="3288"/>
      <c r="Q26" s="3288"/>
      <c r="R26" s="3288"/>
      <c r="S26" s="3289"/>
      <c r="T26" s="3323">
        <f>T23*T25</f>
        <v>62028004</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49" t="s">
        <v>449</v>
      </c>
      <c r="C27" s="3350"/>
      <c r="D27" s="3350"/>
      <c r="E27" s="3350"/>
      <c r="F27" s="3350"/>
      <c r="G27" s="3350"/>
      <c r="H27" s="3350"/>
      <c r="I27" s="3350"/>
      <c r="J27" s="3350"/>
      <c r="K27" s="3350"/>
      <c r="L27" s="3350"/>
      <c r="M27" s="3350"/>
      <c r="N27" s="3350"/>
      <c r="O27" s="3350"/>
      <c r="P27" s="3350"/>
      <c r="Q27" s="3350"/>
      <c r="R27" s="3350"/>
      <c r="S27" s="3351"/>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7" t="s">
        <v>541</v>
      </c>
      <c r="C28" s="3288"/>
      <c r="D28" s="3288"/>
      <c r="E28" s="3288"/>
      <c r="F28" s="3288"/>
      <c r="G28" s="3288"/>
      <c r="H28" s="3288"/>
      <c r="I28" s="3288"/>
      <c r="J28" s="3288"/>
      <c r="K28" s="3288"/>
      <c r="L28" s="3288"/>
      <c r="M28" s="3288"/>
      <c r="N28" s="3288"/>
      <c r="O28" s="3288"/>
      <c r="P28" s="3288"/>
      <c r="Q28" s="3288"/>
      <c r="R28" s="3288"/>
      <c r="S28" s="3289"/>
      <c r="T28" s="3316">
        <f>IF(ISERROR((T26*T27)),0,(T26*T27))</f>
        <v>62028004</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87" t="s">
        <v>558</v>
      </c>
      <c r="C29" s="3288"/>
      <c r="D29" s="3288"/>
      <c r="E29" s="3288"/>
      <c r="F29" s="3288"/>
      <c r="G29" s="3288"/>
      <c r="H29" s="3288"/>
      <c r="I29" s="3288"/>
      <c r="J29" s="3288"/>
      <c r="K29" s="3288"/>
      <c r="L29" s="3288"/>
      <c r="M29" s="3288"/>
      <c r="N29" s="3288"/>
      <c r="O29" s="3288"/>
      <c r="P29" s="3288"/>
      <c r="Q29" s="3288"/>
      <c r="R29" s="3288"/>
      <c r="S29" s="3289"/>
      <c r="T29" s="3302">
        <f>T28+Y28+AD28+AI28</f>
        <v>62028004</v>
      </c>
      <c r="U29" s="3303"/>
      <c r="V29" s="3303"/>
      <c r="W29" s="3303"/>
      <c r="X29" s="3303"/>
      <c r="Y29" s="3303"/>
      <c r="Z29" s="3303"/>
      <c r="AA29" s="3303"/>
      <c r="AB29" s="3303"/>
      <c r="AC29" s="3303"/>
      <c r="AD29" s="3303"/>
      <c r="AE29" s="3303"/>
      <c r="AF29" s="3303"/>
      <c r="AG29" s="3303"/>
      <c r="AH29" s="3303"/>
      <c r="AI29" s="3303"/>
      <c r="AJ29" s="3303"/>
      <c r="AK29" s="3303"/>
      <c r="AL29" s="3303"/>
      <c r="AM29" s="330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09" t="s">
        <v>1508</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09" t="s">
        <v>1507</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5" t="s">
        <v>1350</v>
      </c>
      <c r="Z35" s="3305"/>
      <c r="AA35" s="3305"/>
      <c r="AB35" s="3305"/>
      <c r="AC35" s="3305"/>
      <c r="AD35" s="3306" t="s">
        <v>382</v>
      </c>
      <c r="AE35" s="3306"/>
      <c r="AF35" s="3306"/>
      <c r="AG35" s="3306"/>
      <c r="AH35" s="330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5"/>
      <c r="Z36" s="3305"/>
      <c r="AA36" s="3305"/>
      <c r="AB36" s="3305"/>
      <c r="AC36" s="3305"/>
      <c r="AD36" s="3306"/>
      <c r="AE36" s="3306"/>
      <c r="AF36" s="3306"/>
      <c r="AG36" s="3306"/>
      <c r="AH36" s="330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5"/>
      <c r="Z37" s="3305"/>
      <c r="AA37" s="3305"/>
      <c r="AB37" s="3305"/>
      <c r="AC37" s="3305"/>
      <c r="AD37" s="3306"/>
      <c r="AE37" s="3306"/>
      <c r="AF37" s="3306"/>
      <c r="AG37" s="3306"/>
      <c r="AH37" s="330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7" t="s">
        <v>541</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307">
        <f>IF(T24&gt;=(T23+Y23+AD23+AI23),T28+Y28,0)</f>
        <v>62028004</v>
      </c>
      <c r="Z38" s="3307"/>
      <c r="AA38" s="3307"/>
      <c r="AB38" s="3307"/>
      <c r="AC38" s="3307"/>
      <c r="AD38" s="3307">
        <f>IF(T24&gt;=(T23+Y23+AD23+AI23),AD28+AI28,0)</f>
        <v>0</v>
      </c>
      <c r="AE38" s="3307"/>
      <c r="AF38" s="3307"/>
      <c r="AG38" s="3307"/>
      <c r="AH38" s="3307"/>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87" t="s">
        <v>2195</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08">
        <v>0.04</v>
      </c>
      <c r="Z39" s="3308"/>
      <c r="AA39" s="3308"/>
      <c r="AB39" s="3308"/>
      <c r="AC39" s="3308"/>
      <c r="AD39" s="3308">
        <v>0.04</v>
      </c>
      <c r="AE39" s="3308"/>
      <c r="AF39" s="3308"/>
      <c r="AG39" s="3308"/>
      <c r="AH39" s="330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7" t="s">
        <v>679</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307">
        <f>ROUND(Y38*Y39,0)</f>
        <v>2481120</v>
      </c>
      <c r="Z40" s="3307"/>
      <c r="AA40" s="3307"/>
      <c r="AB40" s="3307"/>
      <c r="AC40" s="3307"/>
      <c r="AD40" s="3304">
        <f>ROUND(AD38*AD39,0)</f>
        <v>0</v>
      </c>
      <c r="AE40" s="3307"/>
      <c r="AF40" s="3307"/>
      <c r="AG40" s="3307"/>
      <c r="AH40" s="3307"/>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87" t="s">
        <v>680</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52">
        <f>Y40+AD40</f>
        <v>2481120</v>
      </c>
      <c r="Z41" s="3353"/>
      <c r="AA41" s="3353"/>
      <c r="AB41" s="3353"/>
      <c r="AC41" s="3353"/>
      <c r="AD41" s="3353"/>
      <c r="AE41" s="3353"/>
      <c r="AF41" s="3353"/>
      <c r="AG41" s="3353"/>
      <c r="AH41" s="335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301" t="s">
        <v>1521</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5">
        <f>'Sources and Uses Budget'!B105-'Sources and Uses Budget'!B15</f>
        <v>69814798</v>
      </c>
      <c r="AC47" s="3296"/>
      <c r="AD47" s="3296"/>
      <c r="AE47" s="3296"/>
      <c r="AF47" s="329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5">
        <f>Application!AO649-MIN('Sources and Uses Budget'!B15,Application!AG394)</f>
        <v>34931667</v>
      </c>
      <c r="AC48" s="3296"/>
      <c r="AD48" s="3296"/>
      <c r="AE48" s="3296"/>
      <c r="AF48" s="329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5">
        <f>AB47-AB48</f>
        <v>34883131</v>
      </c>
      <c r="AC49" s="3296"/>
      <c r="AD49" s="3296"/>
      <c r="AE49" s="3296"/>
      <c r="AF49" s="329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83">
        <f>21585745/(Y40*10)</f>
        <v>0.87000004030437872</v>
      </c>
      <c r="AC50" s="3284"/>
      <c r="AD50" s="3284"/>
      <c r="AE50" s="3284"/>
      <c r="AF50" s="328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94" t="s">
        <v>2442</v>
      </c>
      <c r="F51" s="3294"/>
      <c r="G51" s="3294"/>
      <c r="H51" s="3294"/>
      <c r="I51" s="3294"/>
      <c r="J51" s="3294"/>
      <c r="K51" s="3294"/>
      <c r="L51" s="3294"/>
      <c r="M51" s="3294"/>
      <c r="N51" s="3294"/>
      <c r="O51" s="3294"/>
      <c r="P51" s="3294"/>
      <c r="Q51" s="3294"/>
      <c r="R51" s="3294"/>
      <c r="S51" s="3294"/>
      <c r="T51" s="3294"/>
      <c r="U51" s="3294"/>
      <c r="V51" s="3294"/>
      <c r="W51" s="3294"/>
      <c r="X51" s="3294"/>
      <c r="Y51" s="3294"/>
      <c r="Z51" s="329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94"/>
      <c r="F52" s="3294"/>
      <c r="G52" s="3294"/>
      <c r="H52" s="3294"/>
      <c r="I52" s="3294"/>
      <c r="J52" s="3294"/>
      <c r="K52" s="3294"/>
      <c r="L52" s="3294"/>
      <c r="M52" s="3294"/>
      <c r="N52" s="3294"/>
      <c r="O52" s="3294"/>
      <c r="P52" s="3294"/>
      <c r="Q52" s="3294"/>
      <c r="R52" s="3294"/>
      <c r="S52" s="3294"/>
      <c r="T52" s="3294"/>
      <c r="U52" s="3294"/>
      <c r="V52" s="3294"/>
      <c r="W52" s="3294"/>
      <c r="X52" s="3294"/>
      <c r="Y52" s="3294"/>
      <c r="Z52" s="329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5">
        <f>ROUND(IF(ISERROR((AB49/AB50)),0,(AB49/AB50)),0)</f>
        <v>40095551</v>
      </c>
      <c r="AC54" s="3296"/>
      <c r="AD54" s="3296"/>
      <c r="AE54" s="3296"/>
      <c r="AF54" s="329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5">
        <f>(AB54/10)</f>
        <v>4009555.1</v>
      </c>
      <c r="AC55" s="3296"/>
      <c r="AD55" s="3296"/>
      <c r="AE55" s="3296"/>
      <c r="AF55" s="329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98">
        <f>(IF((Y41&lt;AB55),Y41,AB55))</f>
        <v>2481120</v>
      </c>
      <c r="AC56" s="3299"/>
      <c r="AD56" s="3299"/>
      <c r="AE56" s="3299"/>
      <c r="AF56" s="3300"/>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5">
        <f>ROUND((10*AB56*AB50),0)</f>
        <v>21585745</v>
      </c>
      <c r="AC57" s="3296"/>
      <c r="AD57" s="3296"/>
      <c r="AE57" s="3296"/>
      <c r="AF57" s="329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79">
        <f>AB49-AB57</f>
        <v>13297386</v>
      </c>
      <c r="AC59" s="3279"/>
      <c r="AD59" s="3279"/>
      <c r="AE59" s="3279"/>
      <c r="AF59" s="3279"/>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90" t="s">
        <v>1072</v>
      </c>
      <c r="Z63" s="3290"/>
      <c r="AA63" s="3290"/>
      <c r="AB63" s="3290"/>
      <c r="AC63" s="3290"/>
      <c r="AD63" s="3290" t="s">
        <v>382</v>
      </c>
      <c r="AE63" s="3290"/>
      <c r="AF63" s="3290"/>
      <c r="AG63" s="3290"/>
      <c r="AH63" s="3290"/>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91">
        <f>IF(Application!Z204="(select)",0,((T23*T27)+Y28))</f>
        <v>62028004</v>
      </c>
      <c r="Z64" s="3292"/>
      <c r="AA64" s="3292"/>
      <c r="AB64" s="3292"/>
      <c r="AC64" s="3293"/>
      <c r="AD64" s="3291">
        <f>IF(AND(Application!AP204="yes",Application!M357="yes"),AD28+AI28,0)</f>
        <v>0</v>
      </c>
      <c r="AE64" s="3292"/>
      <c r="AF64" s="3292"/>
      <c r="AG64" s="3292"/>
      <c r="AH64" s="3293"/>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80">
        <f>IF(Application!AP204="yes",0.75,IF(Application!Z203="15% set-aside",0.13,IF(Application!Z203="15% set-aside with qualifying low value rehab",0.95,0.3)))</f>
        <v>0.3</v>
      </c>
      <c r="Z67" s="3280"/>
      <c r="AA67" s="3280"/>
      <c r="AB67" s="3280"/>
      <c r="AC67" s="3280"/>
      <c r="AD67" s="3280">
        <f>IF(Application!AP204="yes",0.75,IF(Application!Z203="15% set-aside with qualifying low value rehab", 0.95,0.13))</f>
        <v>0.13</v>
      </c>
      <c r="AE67" s="3280"/>
      <c r="AF67" s="3280"/>
      <c r="AG67" s="3280"/>
      <c r="AH67" s="328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81">
        <f>ROUND(Y64*Y67,0)</f>
        <v>18608401</v>
      </c>
      <c r="Z68" s="3282"/>
      <c r="AA68" s="3282"/>
      <c r="AB68" s="3282"/>
      <c r="AC68" s="3282"/>
      <c r="AD68" s="3281" t="str">
        <f>IF(Application!D210="At-Risk",AD64*AD67,"$0")</f>
        <v>$0</v>
      </c>
      <c r="AE68" s="3282"/>
      <c r="AF68" s="3282"/>
      <c r="AG68" s="3282"/>
      <c r="AH68" s="328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83">
        <v>0.85</v>
      </c>
      <c r="AC71" s="3284"/>
      <c r="AD71" s="3284"/>
      <c r="AE71" s="3284"/>
      <c r="AF71" s="328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86" t="s">
        <v>1493</v>
      </c>
      <c r="F72" s="3286"/>
      <c r="G72" s="3286"/>
      <c r="H72" s="3286"/>
      <c r="I72" s="3286"/>
      <c r="J72" s="3286"/>
      <c r="K72" s="3286"/>
      <c r="L72" s="3286"/>
      <c r="M72" s="3286"/>
      <c r="N72" s="3286"/>
      <c r="O72" s="3286"/>
      <c r="P72" s="3286"/>
      <c r="Q72" s="3286"/>
      <c r="R72" s="3286"/>
      <c r="S72" s="3286"/>
      <c r="T72" s="3286"/>
      <c r="U72" s="3286"/>
      <c r="V72" s="3286"/>
      <c r="W72" s="3286"/>
      <c r="X72" s="3286"/>
      <c r="Y72" s="3286"/>
      <c r="Z72" s="3286"/>
      <c r="AA72" s="328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86"/>
      <c r="F73" s="3286"/>
      <c r="G73" s="3286"/>
      <c r="H73" s="3286"/>
      <c r="I73" s="3286"/>
      <c r="J73" s="3286"/>
      <c r="K73" s="3286"/>
      <c r="L73" s="3286"/>
      <c r="M73" s="3286"/>
      <c r="N73" s="3286"/>
      <c r="O73" s="3286"/>
      <c r="P73" s="3286"/>
      <c r="Q73" s="3286"/>
      <c r="R73" s="3286"/>
      <c r="S73" s="3286"/>
      <c r="T73" s="3286"/>
      <c r="U73" s="3286"/>
      <c r="V73" s="3286"/>
      <c r="W73" s="3286"/>
      <c r="X73" s="3286"/>
      <c r="Y73" s="3286"/>
      <c r="Z73" s="3286"/>
      <c r="AA73" s="328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86"/>
      <c r="F74" s="3286"/>
      <c r="G74" s="3286"/>
      <c r="H74" s="3286"/>
      <c r="I74" s="3286"/>
      <c r="J74" s="3286"/>
      <c r="K74" s="3286"/>
      <c r="L74" s="3286"/>
      <c r="M74" s="3286"/>
      <c r="N74" s="3286"/>
      <c r="O74" s="3286"/>
      <c r="P74" s="3286"/>
      <c r="Q74" s="3286"/>
      <c r="R74" s="3286"/>
      <c r="S74" s="3286"/>
      <c r="T74" s="3286"/>
      <c r="U74" s="3286"/>
      <c r="V74" s="3286"/>
      <c r="W74" s="3286"/>
      <c r="X74" s="3286"/>
      <c r="Y74" s="3286"/>
      <c r="Z74" s="3286"/>
      <c r="AA74" s="328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74">
        <f>ROUND(IF(ISERROR((AB59/AB71)),0,(AB59/AB71)),0)</f>
        <v>15643984</v>
      </c>
      <c r="AC76" s="3274"/>
      <c r="AD76" s="3274"/>
      <c r="AE76" s="3274"/>
      <c r="AF76" s="3274"/>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75">
        <f>IF((Y68+AD68&lt;AB76),Y68+AD68,AB76)</f>
        <v>15643984</v>
      </c>
      <c r="AC77" s="3276"/>
      <c r="AD77" s="3276"/>
      <c r="AE77" s="3276"/>
      <c r="AF77" s="3277"/>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78">
        <f>AB77*AB71</f>
        <v>13297386.4</v>
      </c>
      <c r="AC78" s="3278"/>
      <c r="AD78" s="3278"/>
      <c r="AE78" s="3278"/>
      <c r="AF78" s="3278"/>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79">
        <f>AB49-(AB57+AB78)</f>
        <v>-0.39999999850988388</v>
      </c>
      <c r="AC80" s="3279"/>
      <c r="AD80" s="3279"/>
      <c r="AE80" s="3279"/>
      <c r="AF80" s="3279"/>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5" thickTop="1"/>
    <row r="85" spans="1:98" ht="12.75">
      <c r="A85" s="795"/>
      <c r="C85" s="335"/>
      <c r="Z85" s="620"/>
      <c r="AA85" s="620"/>
      <c r="AB85" s="620"/>
      <c r="AC85" s="620"/>
      <c r="AD85" s="620"/>
      <c r="AE85" s="620"/>
      <c r="AF85" s="620"/>
      <c r="AG85" s="620"/>
      <c r="AH85" s="620"/>
    </row>
    <row r="86" spans="1:98" ht="12.75">
      <c r="D86" s="335"/>
      <c r="Z86" s="620"/>
      <c r="AA86" s="620"/>
      <c r="AB86" s="3342"/>
      <c r="AC86" s="3342"/>
      <c r="AD86" s="3342"/>
      <c r="AE86" s="3342"/>
      <c r="AF86" s="3342"/>
      <c r="AG86" s="620"/>
      <c r="AH86" s="620"/>
    </row>
    <row r="87" spans="1:98" ht="13.5" thickBot="1">
      <c r="D87" s="335"/>
      <c r="Z87" s="620"/>
      <c r="AA87" s="620"/>
      <c r="AB87" s="3341"/>
      <c r="AC87" s="3341"/>
      <c r="AD87" s="3341"/>
      <c r="AE87" s="3341"/>
      <c r="AF87" s="3341"/>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35" sqref="G35"/>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57" t="s">
        <v>1950</v>
      </c>
      <c r="B1" s="3357"/>
      <c r="C1" s="3357"/>
      <c r="D1" s="3357"/>
      <c r="E1" s="3357"/>
      <c r="F1" s="3357"/>
      <c r="G1" s="3357"/>
      <c r="H1" s="3357"/>
      <c r="I1" s="3357"/>
      <c r="J1" s="3357"/>
      <c r="K1" s="335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57"/>
      <c r="B2" s="3357"/>
      <c r="C2" s="3357"/>
      <c r="D2" s="3357"/>
      <c r="E2" s="3357"/>
      <c r="F2" s="3357"/>
      <c r="G2" s="3357"/>
      <c r="H2" s="3357"/>
      <c r="I2" s="3357"/>
      <c r="J2" s="3357"/>
      <c r="K2" s="335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8" t="s">
        <v>1951</v>
      </c>
      <c r="D4" s="3358"/>
      <c r="E4" s="3358"/>
      <c r="F4" s="3358"/>
      <c r="G4" s="3358"/>
      <c r="H4" s="3358"/>
      <c r="I4" s="3358"/>
      <c r="J4" s="3358"/>
    </row>
    <row r="5" spans="1:33">
      <c r="C5" s="3358"/>
      <c r="D5" s="3358"/>
      <c r="E5" s="3358"/>
      <c r="F5" s="3358"/>
      <c r="G5" s="3358"/>
      <c r="H5" s="3358"/>
      <c r="I5" s="3358"/>
      <c r="J5" s="3358"/>
    </row>
    <row r="6" spans="1:33">
      <c r="C6" s="1428"/>
      <c r="D6" s="1428"/>
      <c r="E6" s="1428"/>
      <c r="F6" s="1428"/>
      <c r="G6" s="1428"/>
      <c r="H6" s="1428"/>
      <c r="I6" s="1428"/>
      <c r="J6" s="1428"/>
    </row>
    <row r="7" spans="1:33">
      <c r="C7" s="1429" t="s">
        <v>1952</v>
      </c>
      <c r="D7" s="1428"/>
      <c r="E7" s="3359" t="str">
        <f>Application!H16</f>
        <v>Kingdom Development, Inc</v>
      </c>
      <c r="F7" s="3359"/>
      <c r="G7" s="3359"/>
      <c r="H7" s="1428"/>
      <c r="I7" s="1429" t="s">
        <v>1953</v>
      </c>
      <c r="J7" s="1430">
        <f>Application!AG437+Application!AG439</f>
        <v>159</v>
      </c>
    </row>
    <row r="8" spans="1:33">
      <c r="C8" s="1429" t="s">
        <v>1954</v>
      </c>
      <c r="D8" s="1428"/>
      <c r="E8" s="3359" t="str">
        <f>Application!H18</f>
        <v>Centennial Gardens</v>
      </c>
      <c r="F8" s="3359"/>
      <c r="G8" s="3359"/>
      <c r="H8" s="1428"/>
      <c r="I8" s="1429" t="s">
        <v>1955</v>
      </c>
      <c r="J8" s="1431">
        <f>Application!CS663</f>
        <v>427</v>
      </c>
    </row>
    <row r="9" spans="1:33" ht="14.25" customHeight="1">
      <c r="C9" s="1429" t="s">
        <v>1956</v>
      </c>
      <c r="D9" s="1428"/>
      <c r="E9" s="3360" t="str">
        <f>Application!D210</f>
        <v>Large Family</v>
      </c>
      <c r="F9" s="3360"/>
      <c r="G9" s="3360"/>
      <c r="H9" s="1428"/>
      <c r="I9" s="1429" t="s">
        <v>1957</v>
      </c>
      <c r="J9" s="1432"/>
      <c r="N9" s="1433"/>
    </row>
    <row r="10" spans="1:33" ht="26.85" customHeight="1">
      <c r="C10" s="3358" t="s">
        <v>1958</v>
      </c>
      <c r="D10" s="3358"/>
      <c r="E10" s="3361" t="str">
        <f>Application!D213</f>
        <v>N/A</v>
      </c>
      <c r="F10" s="3361"/>
      <c r="G10" s="3361"/>
      <c r="H10" s="1428"/>
      <c r="I10" s="1434" t="s">
        <v>1959</v>
      </c>
      <c r="J10" s="1435">
        <f>IF(J9&gt;0,J8-J9,J8)</f>
        <v>427</v>
      </c>
      <c r="N10" s="1433"/>
    </row>
    <row r="11" spans="1:33">
      <c r="C11" s="1436"/>
      <c r="N11" s="1433"/>
    </row>
    <row r="12" spans="1:33" ht="15" customHeight="1">
      <c r="C12" s="3362" t="s">
        <v>1960</v>
      </c>
      <c r="D12" s="3363"/>
      <c r="E12" s="3364"/>
      <c r="F12" s="3355" t="s">
        <v>1961</v>
      </c>
      <c r="G12" s="3355" t="s">
        <v>1962</v>
      </c>
      <c r="H12" s="3368" t="s">
        <v>2177</v>
      </c>
      <c r="I12" s="3355" t="s">
        <v>2176</v>
      </c>
      <c r="J12" s="3355" t="s">
        <v>1963</v>
      </c>
      <c r="N12" s="1433"/>
    </row>
    <row r="13" spans="1:33" ht="68.25" customHeight="1">
      <c r="C13" s="3365"/>
      <c r="D13" s="3366"/>
      <c r="E13" s="3367"/>
      <c r="F13" s="3356"/>
      <c r="G13" s="3356"/>
      <c r="H13" s="3369"/>
      <c r="I13" s="3356"/>
      <c r="J13" s="3356"/>
    </row>
    <row r="14" spans="1:33" ht="1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t="s">
        <v>2583</v>
      </c>
      <c r="G17" s="1445">
        <v>8500</v>
      </c>
      <c r="H17" s="1444" t="s">
        <v>2238</v>
      </c>
      <c r="I17" s="1444" t="s">
        <v>2584</v>
      </c>
      <c r="J17" s="1444" t="s">
        <v>2585</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t="s">
        <v>2586</v>
      </c>
      <c r="G20" s="1445">
        <v>21500</v>
      </c>
      <c r="H20" s="1444" t="s">
        <v>2238</v>
      </c>
      <c r="I20" s="1444" t="s">
        <v>2584</v>
      </c>
      <c r="J20" s="1444" t="s">
        <v>2585</v>
      </c>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t="s">
        <v>2587</v>
      </c>
      <c r="E31" s="1461"/>
      <c r="F31" s="1442"/>
      <c r="G31" s="1445">
        <v>1200</v>
      </c>
      <c r="H31" s="1444" t="s">
        <v>2238</v>
      </c>
      <c r="I31" s="1444" t="s">
        <v>2584</v>
      </c>
      <c r="J31" s="1444" t="s">
        <v>2585</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31200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K26" sqref="K2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3065838</v>
      </c>
      <c r="G4" s="355">
        <f>E4*$C$4</f>
        <v>3142483.9499999997</v>
      </c>
      <c r="I4" s="355">
        <f>G4*$C$4</f>
        <v>3221046.0487499996</v>
      </c>
      <c r="K4" s="355">
        <f>I4*$C$4</f>
        <v>3301572.1999687492</v>
      </c>
      <c r="M4" s="355">
        <f>K4*$C$4</f>
        <v>3384111.5049679675</v>
      </c>
      <c r="O4" s="355">
        <f>M4*$C$4</f>
        <v>3468714.2925921665</v>
      </c>
      <c r="Q4" s="355">
        <f>O4*$C$4</f>
        <v>3555432.1499069701</v>
      </c>
      <c r="S4" s="355">
        <f>Q4*$C$4</f>
        <v>3644317.9536546441</v>
      </c>
      <c r="U4" s="355">
        <f>S4*$C$4</f>
        <v>3735425.9024960101</v>
      </c>
      <c r="W4" s="355">
        <f>U4*$C$4</f>
        <v>3828811.55005841</v>
      </c>
      <c r="Y4" s="355">
        <f>W4*$C$4</f>
        <v>3924531.8388098697</v>
      </c>
      <c r="AA4" s="355">
        <f>Y4*$C$4</f>
        <v>4022645.1347801159</v>
      </c>
      <c r="AC4" s="355">
        <f>AA4*$C$4</f>
        <v>4123211.2631496186</v>
      </c>
      <c r="AE4" s="355">
        <f>AC4*$C$4</f>
        <v>4226291.5447283583</v>
      </c>
      <c r="AG4" s="355">
        <f>AE4*$C$4</f>
        <v>4331948.8333465671</v>
      </c>
    </row>
    <row r="5" spans="1:34" s="340" customFormat="1" ht="14.25">
      <c r="B5" s="340" t="s">
        <v>905</v>
      </c>
      <c r="C5" s="376">
        <f>IF(Application!$D$210="Special Needs",0.1,0.05)</f>
        <v>0.05</v>
      </c>
      <c r="E5" s="357">
        <f>-E4*$C$5</f>
        <v>-153291.9</v>
      </c>
      <c r="F5" s="357"/>
      <c r="G5" s="357">
        <f>-G4*$C$5</f>
        <v>-157124.19749999998</v>
      </c>
      <c r="H5" s="357"/>
      <c r="I5" s="357">
        <f>-I4*$C$5</f>
        <v>-161052.30243749998</v>
      </c>
      <c r="J5" s="357"/>
      <c r="K5" s="357">
        <f>-K4*$C$5</f>
        <v>-165078.60999843746</v>
      </c>
      <c r="L5" s="357"/>
      <c r="M5" s="357">
        <f>-M4*$C$5</f>
        <v>-169205.57524839838</v>
      </c>
      <c r="N5" s="357"/>
      <c r="O5" s="357">
        <f>-O4*$C$5</f>
        <v>-173435.71462960832</v>
      </c>
      <c r="P5" s="357"/>
      <c r="Q5" s="357">
        <f>-Q4*$C$5</f>
        <v>-177771.60749534852</v>
      </c>
      <c r="R5" s="357"/>
      <c r="S5" s="357">
        <f>-S4*$C$5</f>
        <v>-182215.8976827322</v>
      </c>
      <c r="T5" s="357"/>
      <c r="U5" s="357">
        <f>-U4*$C$5</f>
        <v>-186771.29512480053</v>
      </c>
      <c r="V5" s="357"/>
      <c r="W5" s="357">
        <f>-W4*$C$5</f>
        <v>-191440.57750292053</v>
      </c>
      <c r="X5" s="357"/>
      <c r="Y5" s="357">
        <f>-Y4*$C$5</f>
        <v>-196226.5919404935</v>
      </c>
      <c r="Z5" s="357"/>
      <c r="AA5" s="357">
        <f>-AA4*$C$5</f>
        <v>-201132.2567390058</v>
      </c>
      <c r="AB5" s="357"/>
      <c r="AC5" s="357">
        <f>-AC4*$C$5</f>
        <v>-206160.56315748094</v>
      </c>
      <c r="AD5" s="357"/>
      <c r="AE5" s="357">
        <f>-AE4*$C$5</f>
        <v>-211314.57723641791</v>
      </c>
      <c r="AF5" s="357"/>
      <c r="AG5" s="357">
        <f>-AG4*$C$5</f>
        <v>-216597.44166732836</v>
      </c>
    </row>
    <row r="6" spans="1:34" s="340" customFormat="1" ht="14.2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55700</v>
      </c>
      <c r="F8" s="358"/>
      <c r="G8" s="358">
        <f>E8*$C$8</f>
        <v>57092.499999999993</v>
      </c>
      <c r="H8" s="358"/>
      <c r="I8" s="358">
        <f>G8*$C$8</f>
        <v>58519.812499999985</v>
      </c>
      <c r="J8" s="358"/>
      <c r="K8" s="358">
        <f>I8*$C$8</f>
        <v>59982.807812499981</v>
      </c>
      <c r="L8" s="358"/>
      <c r="M8" s="358">
        <f>K8*$C$8</f>
        <v>61482.378007812476</v>
      </c>
      <c r="N8" s="358"/>
      <c r="O8" s="358">
        <f>M8*$C$8</f>
        <v>63019.437458007786</v>
      </c>
      <c r="P8" s="358"/>
      <c r="Q8" s="358">
        <f>O8*$C$8</f>
        <v>64594.923394457976</v>
      </c>
      <c r="R8" s="358"/>
      <c r="S8" s="358">
        <f>Q8*$C$8</f>
        <v>66209.796479319426</v>
      </c>
      <c r="T8" s="358"/>
      <c r="U8" s="358">
        <f>S8*$C$8</f>
        <v>67865.041391302409</v>
      </c>
      <c r="V8" s="358"/>
      <c r="W8" s="358">
        <f>U8*$C$8</f>
        <v>69561.667426084969</v>
      </c>
      <c r="X8" s="358"/>
      <c r="Y8" s="358">
        <f>W8*$C$8</f>
        <v>71300.709111737087</v>
      </c>
      <c r="Z8" s="358"/>
      <c r="AA8" s="358">
        <f>Y8*$C$8</f>
        <v>73083.226839530515</v>
      </c>
      <c r="AB8" s="358"/>
      <c r="AC8" s="358">
        <f>AA8*$C$8</f>
        <v>74910.307510518775</v>
      </c>
      <c r="AD8" s="358"/>
      <c r="AE8" s="358">
        <f>AC8*$C$8</f>
        <v>76783.065198281736</v>
      </c>
      <c r="AF8" s="358"/>
      <c r="AG8" s="358">
        <f>AE8*$C$8</f>
        <v>78702.641828238775</v>
      </c>
    </row>
    <row r="9" spans="1:34" s="340" customFormat="1" ht="14.25">
      <c r="B9" s="340" t="s">
        <v>905</v>
      </c>
      <c r="C9" s="376">
        <f>IF(Application!$D$210="Special Needs",0.1,0.05)</f>
        <v>0.05</v>
      </c>
      <c r="E9" s="374">
        <f>-E8*$C$9</f>
        <v>-2785</v>
      </c>
      <c r="F9" s="357"/>
      <c r="G9" s="374">
        <f>-G8*$C$9</f>
        <v>-2854.625</v>
      </c>
      <c r="H9" s="357"/>
      <c r="I9" s="374">
        <f>-I8*$C$9</f>
        <v>-2925.9906249999995</v>
      </c>
      <c r="J9" s="357"/>
      <c r="K9" s="374">
        <f>-K8*$C$9</f>
        <v>-2999.1403906249993</v>
      </c>
      <c r="L9" s="357"/>
      <c r="M9" s="374">
        <f>-M8*$C$9</f>
        <v>-3074.1189003906238</v>
      </c>
      <c r="N9" s="357"/>
      <c r="O9" s="374">
        <f>-O8*$C$9</f>
        <v>-3150.9718729003894</v>
      </c>
      <c r="P9" s="357"/>
      <c r="Q9" s="374">
        <f>-Q8*$C$9</f>
        <v>-3229.7461697228991</v>
      </c>
      <c r="R9" s="357"/>
      <c r="S9" s="374">
        <f>-S8*$C$9</f>
        <v>-3310.4898239659715</v>
      </c>
      <c r="T9" s="357"/>
      <c r="U9" s="374">
        <f>-U8*$C$9</f>
        <v>-3393.2520695651206</v>
      </c>
      <c r="V9" s="357"/>
      <c r="W9" s="374">
        <f>-W8*$C$9</f>
        <v>-3478.0833713042484</v>
      </c>
      <c r="X9" s="357"/>
      <c r="Y9" s="374">
        <f>-Y8*$C$9</f>
        <v>-3565.0354555868544</v>
      </c>
      <c r="Z9" s="357"/>
      <c r="AA9" s="374">
        <f>-AA8*$C$9</f>
        <v>-3654.1613419765258</v>
      </c>
      <c r="AB9" s="357"/>
      <c r="AC9" s="374">
        <f>-AC8*$C$9</f>
        <v>-3745.5153755259389</v>
      </c>
      <c r="AD9" s="357"/>
      <c r="AE9" s="374">
        <f>-AE8*$C$9</f>
        <v>-3839.1532599140869</v>
      </c>
      <c r="AF9" s="357"/>
      <c r="AG9" s="374">
        <f>-AG8*$C$9</f>
        <v>-3935.1320914119387</v>
      </c>
    </row>
    <row r="10" spans="1:34" s="359" customFormat="1" ht="15">
      <c r="A10" s="359" t="s">
        <v>926</v>
      </c>
      <c r="C10" s="350"/>
      <c r="E10" s="359">
        <f>SUM(E4:E9)</f>
        <v>2965461.1</v>
      </c>
      <c r="G10" s="359">
        <f>SUM(G4:G9)</f>
        <v>3039597.6274999999</v>
      </c>
      <c r="I10" s="359">
        <f>SUM(I4:I9)</f>
        <v>3115587.5681874994</v>
      </c>
      <c r="K10" s="359">
        <f>SUM(K4:K9)</f>
        <v>3193477.2573921862</v>
      </c>
      <c r="M10" s="359">
        <f>SUM(M4:M9)</f>
        <v>3273314.1888269908</v>
      </c>
      <c r="O10" s="359">
        <f>SUM(O4:O9)</f>
        <v>3355147.0435476652</v>
      </c>
      <c r="Q10" s="359">
        <f>SUM(Q4:Q9)</f>
        <v>3439025.7196363565</v>
      </c>
      <c r="S10" s="359">
        <f>SUM(S4:S9)</f>
        <v>3525001.3626272655</v>
      </c>
      <c r="U10" s="359">
        <f>SUM(U4:U9)</f>
        <v>3613126.396692947</v>
      </c>
      <c r="W10" s="359">
        <f>SUM(W4:W9)</f>
        <v>3703454.5566102699</v>
      </c>
      <c r="Y10" s="359">
        <f>SUM(Y4:Y9)</f>
        <v>3796040.9205255266</v>
      </c>
      <c r="AA10" s="359">
        <f>SUM(AA4:AA9)</f>
        <v>3890941.9435386639</v>
      </c>
      <c r="AC10" s="359">
        <f>SUM(AC4:AC9)</f>
        <v>3988215.4921271303</v>
      </c>
      <c r="AE10" s="359">
        <f>SUM(AE4:AE9)</f>
        <v>4087920.8794303085</v>
      </c>
      <c r="AG10" s="359">
        <f>SUM(AG4:AG9)</f>
        <v>4190118.9014160656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84300</v>
      </c>
      <c r="G14" s="355">
        <f>E14*$C$13</f>
        <v>87250.5</v>
      </c>
      <c r="I14" s="355">
        <f>G14*$C$13</f>
        <v>90304.267499999987</v>
      </c>
      <c r="K14" s="355">
        <f>I14*$C$13</f>
        <v>93464.916862499973</v>
      </c>
      <c r="M14" s="355">
        <f>K14*$C$13</f>
        <v>96736.188952687458</v>
      </c>
      <c r="O14" s="355">
        <f>M14*$C$13</f>
        <v>100121.95556603151</v>
      </c>
      <c r="Q14" s="355">
        <f>O14*$C$13</f>
        <v>103626.2240108426</v>
      </c>
      <c r="S14" s="355">
        <f>Q14*$C$13</f>
        <v>107253.14185122208</v>
      </c>
      <c r="U14" s="355">
        <f>S14*$C$13</f>
        <v>111007.00181601485</v>
      </c>
      <c r="W14" s="355">
        <f>U14*$C$13</f>
        <v>114892.24687957535</v>
      </c>
      <c r="Y14" s="355">
        <f>W14*$C$13</f>
        <v>118913.47552036049</v>
      </c>
      <c r="AA14" s="355">
        <f>Y14*$C$13</f>
        <v>123075.44716357309</v>
      </c>
      <c r="AC14" s="355">
        <f>AA14*$C$13</f>
        <v>127383.08781429814</v>
      </c>
      <c r="AE14" s="355">
        <f>AC14*$C$13</f>
        <v>131841.49588779858</v>
      </c>
      <c r="AG14" s="355">
        <f>AE14*$C$13</f>
        <v>136455.94824387151</v>
      </c>
    </row>
    <row r="15" spans="1:34" s="340" customFormat="1" ht="14.25">
      <c r="A15" s="340" t="s">
        <v>356</v>
      </c>
      <c r="C15" s="369"/>
      <c r="E15" s="358">
        <f>Application!W847</f>
        <v>127443</v>
      </c>
      <c r="F15" s="358"/>
      <c r="G15" s="358">
        <f t="shared" ref="G15:AG20" si="0">E15*$C$13</f>
        <v>131903.50499999998</v>
      </c>
      <c r="H15" s="358"/>
      <c r="I15" s="358">
        <f t="shared" si="0"/>
        <v>136520.12767499997</v>
      </c>
      <c r="J15" s="358"/>
      <c r="K15" s="358">
        <f t="shared" si="0"/>
        <v>141298.33214362495</v>
      </c>
      <c r="L15" s="358"/>
      <c r="M15" s="358">
        <f t="shared" si="0"/>
        <v>146243.77376865182</v>
      </c>
      <c r="N15" s="358"/>
      <c r="O15" s="358">
        <f t="shared" si="0"/>
        <v>151362.30585055464</v>
      </c>
      <c r="P15" s="358"/>
      <c r="Q15" s="358">
        <f t="shared" si="0"/>
        <v>156659.98655532402</v>
      </c>
      <c r="R15" s="358"/>
      <c r="S15" s="358">
        <f t="shared" si="0"/>
        <v>162143.08608476035</v>
      </c>
      <c r="T15" s="358"/>
      <c r="U15" s="358">
        <f t="shared" si="0"/>
        <v>167818.09409772695</v>
      </c>
      <c r="V15" s="358"/>
      <c r="W15" s="358">
        <f t="shared" si="0"/>
        <v>173691.72739114737</v>
      </c>
      <c r="X15" s="358"/>
      <c r="Y15" s="358">
        <f t="shared" si="0"/>
        <v>179770.93784983753</v>
      </c>
      <c r="Z15" s="358"/>
      <c r="AA15" s="358">
        <f t="shared" si="0"/>
        <v>186062.92067458184</v>
      </c>
      <c r="AB15" s="358"/>
      <c r="AC15" s="358">
        <f t="shared" si="0"/>
        <v>192575.12289819217</v>
      </c>
      <c r="AD15" s="358"/>
      <c r="AE15" s="358">
        <f t="shared" si="0"/>
        <v>199315.25219962889</v>
      </c>
      <c r="AF15" s="358"/>
      <c r="AG15" s="358">
        <f t="shared" si="0"/>
        <v>206291.28602661588</v>
      </c>
    </row>
    <row r="16" spans="1:34" s="340" customFormat="1" ht="14.25">
      <c r="A16" s="340" t="s">
        <v>596</v>
      </c>
      <c r="C16" s="369"/>
      <c r="E16" s="358">
        <f>Application!W853</f>
        <v>194828</v>
      </c>
      <c r="F16" s="358"/>
      <c r="G16" s="358">
        <f t="shared" si="0"/>
        <v>201646.97999999998</v>
      </c>
      <c r="H16" s="358"/>
      <c r="I16" s="358">
        <f t="shared" si="0"/>
        <v>208704.62429999997</v>
      </c>
      <c r="J16" s="358"/>
      <c r="K16" s="358">
        <f t="shared" si="0"/>
        <v>216009.28615049995</v>
      </c>
      <c r="L16" s="358"/>
      <c r="M16" s="358">
        <f t="shared" si="0"/>
        <v>223569.61116576742</v>
      </c>
      <c r="N16" s="358"/>
      <c r="O16" s="358">
        <f t="shared" si="0"/>
        <v>231394.54755656925</v>
      </c>
      <c r="P16" s="358"/>
      <c r="Q16" s="358">
        <f t="shared" si="0"/>
        <v>239493.35672104915</v>
      </c>
      <c r="R16" s="358"/>
      <c r="S16" s="358">
        <f t="shared" si="0"/>
        <v>247875.62420628584</v>
      </c>
      <c r="T16" s="358"/>
      <c r="U16" s="358">
        <f t="shared" si="0"/>
        <v>256551.27105350583</v>
      </c>
      <c r="V16" s="358"/>
      <c r="W16" s="358">
        <f t="shared" si="0"/>
        <v>265530.56554037851</v>
      </c>
      <c r="X16" s="358"/>
      <c r="Y16" s="358">
        <f t="shared" si="0"/>
        <v>274824.13533429173</v>
      </c>
      <c r="Z16" s="358"/>
      <c r="AA16" s="358">
        <f t="shared" si="0"/>
        <v>284442.98007099191</v>
      </c>
      <c r="AB16" s="358"/>
      <c r="AC16" s="358">
        <f t="shared" si="0"/>
        <v>294398.48437347659</v>
      </c>
      <c r="AD16" s="358"/>
      <c r="AE16" s="358">
        <f t="shared" si="0"/>
        <v>304702.43132654822</v>
      </c>
      <c r="AF16" s="358"/>
      <c r="AG16" s="358">
        <f t="shared" si="0"/>
        <v>315367.01642297738</v>
      </c>
    </row>
    <row r="17" spans="1:33" s="340" customFormat="1" ht="14.25">
      <c r="A17" s="340" t="s">
        <v>909</v>
      </c>
      <c r="C17" s="369"/>
      <c r="E17" s="358">
        <f>Application!W860</f>
        <v>269380</v>
      </c>
      <c r="F17" s="358"/>
      <c r="G17" s="358">
        <f t="shared" si="0"/>
        <v>278808.3</v>
      </c>
      <c r="H17" s="358"/>
      <c r="I17" s="358">
        <f t="shared" si="0"/>
        <v>288566.59049999999</v>
      </c>
      <c r="J17" s="358"/>
      <c r="K17" s="358">
        <f t="shared" si="0"/>
        <v>298666.42116749997</v>
      </c>
      <c r="L17" s="358"/>
      <c r="M17" s="358">
        <f t="shared" si="0"/>
        <v>309119.74590836244</v>
      </c>
      <c r="N17" s="358"/>
      <c r="O17" s="358">
        <f t="shared" si="0"/>
        <v>319938.9370151551</v>
      </c>
      <c r="P17" s="358"/>
      <c r="Q17" s="358">
        <f t="shared" si="0"/>
        <v>331136.79981068551</v>
      </c>
      <c r="R17" s="358"/>
      <c r="S17" s="358">
        <f t="shared" si="0"/>
        <v>342726.5878040595</v>
      </c>
      <c r="T17" s="358"/>
      <c r="U17" s="358">
        <f t="shared" si="0"/>
        <v>354722.01837720157</v>
      </c>
      <c r="V17" s="358"/>
      <c r="W17" s="358">
        <f t="shared" si="0"/>
        <v>367137.28902040358</v>
      </c>
      <c r="X17" s="358"/>
      <c r="Y17" s="358">
        <f t="shared" si="0"/>
        <v>379987.09413611767</v>
      </c>
      <c r="Z17" s="358"/>
      <c r="AA17" s="358">
        <f t="shared" si="0"/>
        <v>393286.64243088174</v>
      </c>
      <c r="AB17" s="358"/>
      <c r="AC17" s="358">
        <f t="shared" si="0"/>
        <v>407051.67491596256</v>
      </c>
      <c r="AD17" s="358"/>
      <c r="AE17" s="358">
        <f t="shared" si="0"/>
        <v>421298.48353802122</v>
      </c>
      <c r="AF17" s="358"/>
      <c r="AG17" s="358">
        <f t="shared" si="0"/>
        <v>436043.93046185194</v>
      </c>
    </row>
    <row r="18" spans="1:33" s="340" customFormat="1" ht="14.25">
      <c r="A18" s="340" t="s">
        <v>160</v>
      </c>
      <c r="C18" s="369"/>
      <c r="E18" s="358">
        <f>Application!W861</f>
        <v>50400</v>
      </c>
      <c r="F18" s="358"/>
      <c r="G18" s="358">
        <f t="shared" si="0"/>
        <v>52163.999999999993</v>
      </c>
      <c r="H18" s="358"/>
      <c r="I18" s="358">
        <f t="shared" si="0"/>
        <v>53989.739999999991</v>
      </c>
      <c r="J18" s="358"/>
      <c r="K18" s="358">
        <f t="shared" si="0"/>
        <v>55879.380899999989</v>
      </c>
      <c r="L18" s="358"/>
      <c r="M18" s="358">
        <f t="shared" si="0"/>
        <v>57835.159231499987</v>
      </c>
      <c r="N18" s="358"/>
      <c r="O18" s="358">
        <f t="shared" si="0"/>
        <v>59859.389804602484</v>
      </c>
      <c r="P18" s="358"/>
      <c r="Q18" s="358">
        <f t="shared" si="0"/>
        <v>61954.468447763567</v>
      </c>
      <c r="R18" s="358"/>
      <c r="S18" s="358">
        <f t="shared" si="0"/>
        <v>64122.874843435289</v>
      </c>
      <c r="T18" s="358"/>
      <c r="U18" s="358">
        <f t="shared" si="0"/>
        <v>66367.175462955522</v>
      </c>
      <c r="V18" s="358"/>
      <c r="W18" s="358">
        <f t="shared" si="0"/>
        <v>68690.026604158964</v>
      </c>
      <c r="X18" s="358"/>
      <c r="Y18" s="358">
        <f t="shared" si="0"/>
        <v>71094.177535304523</v>
      </c>
      <c r="Z18" s="358"/>
      <c r="AA18" s="358">
        <f t="shared" si="0"/>
        <v>73582.473749040175</v>
      </c>
      <c r="AB18" s="358"/>
      <c r="AC18" s="358">
        <f t="shared" si="0"/>
        <v>76157.860330256575</v>
      </c>
      <c r="AD18" s="358"/>
      <c r="AE18" s="358">
        <f t="shared" si="0"/>
        <v>78823.385441815553</v>
      </c>
      <c r="AF18" s="358"/>
      <c r="AG18" s="358">
        <f t="shared" si="0"/>
        <v>81582.203932279095</v>
      </c>
    </row>
    <row r="19" spans="1:33" s="340" customFormat="1" ht="14.25">
      <c r="A19" s="340" t="s">
        <v>411</v>
      </c>
      <c r="C19" s="369"/>
      <c r="E19" s="358">
        <f>Application!W870</f>
        <v>198800</v>
      </c>
      <c r="F19" s="358"/>
      <c r="G19" s="358">
        <f t="shared" si="0"/>
        <v>205757.99999999997</v>
      </c>
      <c r="H19" s="358"/>
      <c r="I19" s="358">
        <f t="shared" si="0"/>
        <v>212959.52999999994</v>
      </c>
      <c r="J19" s="358"/>
      <c r="K19" s="358">
        <f t="shared" si="0"/>
        <v>220413.11354999992</v>
      </c>
      <c r="L19" s="358"/>
      <c r="M19" s="358">
        <f t="shared" si="0"/>
        <v>228127.5725242499</v>
      </c>
      <c r="N19" s="358"/>
      <c r="O19" s="358">
        <f t="shared" si="0"/>
        <v>236112.03756259862</v>
      </c>
      <c r="P19" s="358"/>
      <c r="Q19" s="358">
        <f t="shared" si="0"/>
        <v>244375.95887728955</v>
      </c>
      <c r="R19" s="358"/>
      <c r="S19" s="358">
        <f t="shared" si="0"/>
        <v>252929.11743799466</v>
      </c>
      <c r="T19" s="358"/>
      <c r="U19" s="358">
        <f t="shared" si="0"/>
        <v>261781.63654832446</v>
      </c>
      <c r="V19" s="358"/>
      <c r="W19" s="358">
        <f t="shared" si="0"/>
        <v>270943.99382751581</v>
      </c>
      <c r="X19" s="358"/>
      <c r="Y19" s="358">
        <f t="shared" si="0"/>
        <v>280427.03361147887</v>
      </c>
      <c r="Z19" s="358"/>
      <c r="AA19" s="358">
        <f t="shared" si="0"/>
        <v>290241.97978788061</v>
      </c>
      <c r="AB19" s="358"/>
      <c r="AC19" s="358">
        <f t="shared" si="0"/>
        <v>300400.4490804564</v>
      </c>
      <c r="AD19" s="358"/>
      <c r="AE19" s="358">
        <f t="shared" si="0"/>
        <v>310914.46479827235</v>
      </c>
      <c r="AF19" s="358"/>
      <c r="AG19" s="358">
        <f t="shared" si="0"/>
        <v>321796.47106621187</v>
      </c>
    </row>
    <row r="20" spans="1:33" s="340" customFormat="1" ht="14.25">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910</v>
      </c>
      <c r="C21" s="369"/>
      <c r="E21" s="359">
        <f>SUM(E14:E20)</f>
        <v>925151</v>
      </c>
      <c r="G21" s="359">
        <f>SUM(G14:G20)</f>
        <v>957531.28499999992</v>
      </c>
      <c r="I21" s="359">
        <f>SUM(I14:I20)</f>
        <v>991044.87997499981</v>
      </c>
      <c r="K21" s="359">
        <f>SUM(K14:K20)</f>
        <v>1025731.4507741247</v>
      </c>
      <c r="M21" s="359">
        <f>SUM(M14:M20)</f>
        <v>1061632.0515512191</v>
      </c>
      <c r="O21" s="359">
        <f>SUM(O14:O20)</f>
        <v>1098789.1733555116</v>
      </c>
      <c r="Q21" s="359">
        <f>SUM(Q14:Q20)</f>
        <v>1137246.7944229543</v>
      </c>
      <c r="S21" s="359">
        <f>SUM(S14:S20)</f>
        <v>1177050.4322277575</v>
      </c>
      <c r="U21" s="359">
        <f>SUM(U14:U20)</f>
        <v>1218247.1973557291</v>
      </c>
      <c r="W21" s="359">
        <f>SUM(W14:W20)</f>
        <v>1260885.8492631796</v>
      </c>
      <c r="Y21" s="359">
        <f>SUM(Y14:Y20)</f>
        <v>1305016.8539873906</v>
      </c>
      <c r="AA21" s="359">
        <f>SUM(AA14:AA20)</f>
        <v>1350692.4438769494</v>
      </c>
      <c r="AC21" s="359">
        <f>SUM(AC14:AC20)</f>
        <v>1397966.6794126425</v>
      </c>
      <c r="AE21" s="359">
        <f>SUM(AE14:AE20)</f>
        <v>1446895.5131920849</v>
      </c>
      <c r="AG21" s="359">
        <f>SUM(AG14:AG20)</f>
        <v>1497536.8561538076</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31200</v>
      </c>
      <c r="F26" s="358"/>
      <c r="G26" s="358">
        <f>E26*$C$26</f>
        <v>32291.999999999996</v>
      </c>
      <c r="H26" s="358"/>
      <c r="I26" s="358">
        <f>G26*$C$26</f>
        <v>33422.219999999994</v>
      </c>
      <c r="J26" s="358"/>
      <c r="K26" s="358">
        <f>I26*$C$26</f>
        <v>34591.997699999993</v>
      </c>
      <c r="L26" s="358"/>
      <c r="M26" s="358">
        <f>K26*$C$26</f>
        <v>35802.717619499992</v>
      </c>
      <c r="N26" s="358"/>
      <c r="O26" s="358">
        <f>M26*$C$26</f>
        <v>37055.812736182488</v>
      </c>
      <c r="P26" s="358"/>
      <c r="Q26" s="358">
        <f>O26*$C$26</f>
        <v>38352.766181948871</v>
      </c>
      <c r="R26" s="358"/>
      <c r="S26" s="358">
        <f>Q26*$C$26</f>
        <v>39695.112998317076</v>
      </c>
      <c r="T26" s="358"/>
      <c r="U26" s="358">
        <f>S26*$C$26</f>
        <v>41084.441953258167</v>
      </c>
      <c r="V26" s="358"/>
      <c r="W26" s="358">
        <f>U26*$C$26</f>
        <v>42522.397421622198</v>
      </c>
      <c r="X26" s="358"/>
      <c r="Y26" s="358">
        <f>W26*$C$26</f>
        <v>44010.681331378968</v>
      </c>
      <c r="Z26" s="358"/>
      <c r="AA26" s="358">
        <f>Y26*$C$26</f>
        <v>45551.055177977229</v>
      </c>
      <c r="AB26" s="358"/>
      <c r="AC26" s="358">
        <f>AA26*$C$26</f>
        <v>47145.342109206431</v>
      </c>
      <c r="AD26" s="358"/>
      <c r="AE26" s="358">
        <f>AC26*$C$26</f>
        <v>48795.429083028655</v>
      </c>
      <c r="AF26" s="358"/>
      <c r="AG26" s="358">
        <f>AE26*$C$26</f>
        <v>50503.269100934653</v>
      </c>
    </row>
    <row r="27" spans="1:33" s="340" customFormat="1" ht="14.25">
      <c r="A27" s="340" t="s">
        <v>913</v>
      </c>
      <c r="C27" s="377"/>
      <c r="E27" s="358">
        <f>Application!AC887</f>
        <v>48000</v>
      </c>
      <c r="F27" s="358"/>
      <c r="G27" s="358">
        <f>$E$27</f>
        <v>48000</v>
      </c>
      <c r="H27" s="358"/>
      <c r="I27" s="358">
        <f>$E$27</f>
        <v>48000</v>
      </c>
      <c r="J27" s="358"/>
      <c r="K27" s="358">
        <f>$E$27</f>
        <v>48000</v>
      </c>
      <c r="L27" s="358"/>
      <c r="M27" s="358">
        <f>$E$27</f>
        <v>48000</v>
      </c>
      <c r="N27" s="358"/>
      <c r="O27" s="358">
        <f>$E$27</f>
        <v>48000</v>
      </c>
      <c r="P27" s="358"/>
      <c r="Q27" s="358">
        <f>$E$27</f>
        <v>48000</v>
      </c>
      <c r="R27" s="358"/>
      <c r="S27" s="358">
        <f>$E$27</f>
        <v>48000</v>
      </c>
      <c r="T27" s="358"/>
      <c r="U27" s="358">
        <f>$E$27</f>
        <v>48000</v>
      </c>
      <c r="V27" s="358"/>
      <c r="W27" s="358">
        <f>$E$27</f>
        <v>48000</v>
      </c>
      <c r="X27" s="358"/>
      <c r="Y27" s="358">
        <f>$E$27</f>
        <v>48000</v>
      </c>
      <c r="Z27" s="358"/>
      <c r="AA27" s="358">
        <f>$E$27</f>
        <v>48000</v>
      </c>
      <c r="AB27" s="358"/>
      <c r="AC27" s="358">
        <f>$E$27</f>
        <v>48000</v>
      </c>
      <c r="AD27" s="358"/>
      <c r="AE27" s="358">
        <f>$E$27</f>
        <v>48000</v>
      </c>
      <c r="AF27" s="358"/>
      <c r="AG27" s="358">
        <f>$E$27</f>
        <v>48000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2174</v>
      </c>
      <c r="C30" s="375">
        <v>1.02</v>
      </c>
      <c r="E30" s="358">
        <f>Application!AC890</f>
        <v>24000</v>
      </c>
      <c r="F30" s="358"/>
      <c r="G30" s="358">
        <f>E30*$C$30</f>
        <v>24480</v>
      </c>
      <c r="H30" s="358"/>
      <c r="I30" s="358">
        <f>G30*$C$30</f>
        <v>24969.600000000002</v>
      </c>
      <c r="J30" s="358"/>
      <c r="K30" s="358">
        <f>I30*$C$30</f>
        <v>25468.992000000002</v>
      </c>
      <c r="L30" s="358"/>
      <c r="M30" s="358">
        <f>K30*$C$30</f>
        <v>25978.371840000003</v>
      </c>
      <c r="N30" s="358"/>
      <c r="O30" s="358">
        <f>M30*$C$30</f>
        <v>26497.939276800003</v>
      </c>
      <c r="P30" s="358"/>
      <c r="Q30" s="358">
        <f>O30*$C$30</f>
        <v>27027.898062336004</v>
      </c>
      <c r="R30" s="358"/>
      <c r="S30" s="358">
        <f>Q30*$C$30</f>
        <v>27568.456023582723</v>
      </c>
      <c r="T30" s="358"/>
      <c r="U30" s="358">
        <f>S30*$C$30</f>
        <v>28119.825144054379</v>
      </c>
      <c r="V30" s="358"/>
      <c r="W30" s="358">
        <f>U30*$C$30</f>
        <v>28682.221646935468</v>
      </c>
      <c r="X30" s="358"/>
      <c r="Y30" s="358">
        <f>W30*$C$30</f>
        <v>29255.866079874177</v>
      </c>
      <c r="Z30" s="358"/>
      <c r="AA30" s="358">
        <f>Y30*$C$30</f>
        <v>29840.983401471662</v>
      </c>
      <c r="AB30" s="358"/>
      <c r="AC30" s="358">
        <f>AA30*$C$30</f>
        <v>30437.803069501097</v>
      </c>
      <c r="AD30" s="358"/>
      <c r="AE30" s="358">
        <f>AC30*$C$30</f>
        <v>31046.559130891121</v>
      </c>
      <c r="AF30" s="358"/>
      <c r="AG30" s="358">
        <f>AE30*$C$30</f>
        <v>31667.490313508944</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1028351</v>
      </c>
      <c r="G34" s="359">
        <f>SUM(G21:G32)</f>
        <v>1062303.2849999999</v>
      </c>
      <c r="I34" s="359">
        <f>SUM(I21:I32)</f>
        <v>1097436.6999749998</v>
      </c>
      <c r="K34" s="359">
        <f>SUM(K21:K32)</f>
        <v>1133792.4404741249</v>
      </c>
      <c r="M34" s="359">
        <f>SUM(M21:M32)</f>
        <v>1171413.1410107189</v>
      </c>
      <c r="O34" s="359">
        <f>SUM(O21:O32)</f>
        <v>1210342.9253684941</v>
      </c>
      <c r="Q34" s="359">
        <f>SUM(Q21:Q32)</f>
        <v>1250627.4586672392</v>
      </c>
      <c r="S34" s="359">
        <f>SUM(S21:S32)</f>
        <v>1292314.0012496572</v>
      </c>
      <c r="U34" s="359">
        <f>SUM(U21:U32)</f>
        <v>1335451.4644530416</v>
      </c>
      <c r="W34" s="359">
        <f>SUM(W21:W32)</f>
        <v>1380090.4683317372</v>
      </c>
      <c r="Y34" s="359">
        <f>SUM(Y21:Y32)</f>
        <v>1426283.4013986436</v>
      </c>
      <c r="AA34" s="359">
        <f>SUM(AA21:AA32)</f>
        <v>1474084.4824563984</v>
      </c>
      <c r="AC34" s="359">
        <f>SUM(AC21:AC32)</f>
        <v>1523549.82459135</v>
      </c>
      <c r="AE34" s="359">
        <f>SUM(AE21:AE32)</f>
        <v>1574737.5014060047</v>
      </c>
      <c r="AG34" s="359">
        <f>SUM(AG21:AG32)</f>
        <v>1627707.6155682513</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1937110.1</v>
      </c>
      <c r="G36" s="359">
        <f>G10-G34</f>
        <v>1977294.3425</v>
      </c>
      <c r="I36" s="359">
        <f>I10-I34</f>
        <v>2018150.8682124997</v>
      </c>
      <c r="K36" s="359">
        <f>K10-K34</f>
        <v>2059684.8169180613</v>
      </c>
      <c r="M36" s="359">
        <f>M10-M34</f>
        <v>2101901.0478162719</v>
      </c>
      <c r="O36" s="359">
        <f>O10-O34</f>
        <v>2144804.1181791713</v>
      </c>
      <c r="Q36" s="359">
        <f>Q10-Q34</f>
        <v>2188398.2609691173</v>
      </c>
      <c r="S36" s="359">
        <f>S10-S34</f>
        <v>2232687.361377608</v>
      </c>
      <c r="U36" s="359">
        <f>U10-U34</f>
        <v>2277674.9322399055</v>
      </c>
      <c r="W36" s="359">
        <f>W10-W34</f>
        <v>2323364.088278533</v>
      </c>
      <c r="Y36" s="359">
        <f>Y10-Y34</f>
        <v>2369757.5191268828</v>
      </c>
      <c r="AA36" s="359">
        <f>AA10-AA34</f>
        <v>2416857.4610822657</v>
      </c>
      <c r="AC36" s="359">
        <f>AC10-AC34</f>
        <v>2464665.66753578</v>
      </c>
      <c r="AE36" s="359">
        <f>AE10-AE34</f>
        <v>2513183.3780243038</v>
      </c>
      <c r="AG36" s="359">
        <f>AG10-AG34</f>
        <v>2562411.2858478143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Citi Community Capital - Perm Loan</v>
      </c>
      <c r="B39" s="362"/>
      <c r="C39" s="356"/>
      <c r="E39" s="358">
        <f>Application!AF637</f>
        <v>1615302</v>
      </c>
      <c r="F39" s="358"/>
      <c r="G39" s="358">
        <f>$E$39</f>
        <v>1615302</v>
      </c>
      <c r="H39" s="358"/>
      <c r="I39" s="358">
        <f>$E$39</f>
        <v>1615302</v>
      </c>
      <c r="J39" s="358"/>
      <c r="K39" s="358">
        <f>$E$39</f>
        <v>1615302</v>
      </c>
      <c r="L39" s="358"/>
      <c r="M39" s="358">
        <f>$E$39</f>
        <v>1615302</v>
      </c>
      <c r="N39" s="358"/>
      <c r="O39" s="358">
        <f>$E$39</f>
        <v>1615302</v>
      </c>
      <c r="P39" s="358"/>
      <c r="Q39" s="358">
        <f>$E$39</f>
        <v>1615302</v>
      </c>
      <c r="R39" s="358"/>
      <c r="S39" s="358">
        <f>$E$39</f>
        <v>1615302</v>
      </c>
      <c r="T39" s="358"/>
      <c r="U39" s="358">
        <f>$E$39</f>
        <v>1615302</v>
      </c>
      <c r="V39" s="358"/>
      <c r="W39" s="358">
        <f>$E$39</f>
        <v>1615302</v>
      </c>
      <c r="X39" s="358"/>
      <c r="Y39" s="358">
        <f>$E$39</f>
        <v>1615302</v>
      </c>
      <c r="Z39" s="358"/>
      <c r="AA39" s="358">
        <f>$E$39</f>
        <v>1615302</v>
      </c>
      <c r="AB39" s="358"/>
      <c r="AC39" s="358">
        <f>$E$39</f>
        <v>1615302</v>
      </c>
      <c r="AD39" s="358"/>
      <c r="AE39" s="358">
        <f>$E$39</f>
        <v>1615302</v>
      </c>
      <c r="AF39" s="358"/>
      <c r="AG39" s="358">
        <f>$E$39</f>
        <v>1615302</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1615302</v>
      </c>
      <c r="G42" s="359">
        <f>SUM(G39:G41)</f>
        <v>1615302</v>
      </c>
      <c r="I42" s="359">
        <f>SUM(I39:I41)</f>
        <v>1615302</v>
      </c>
      <c r="K42" s="359">
        <f>SUM(K39:K41)</f>
        <v>1615302</v>
      </c>
      <c r="M42" s="359">
        <f>SUM(M39:M41)</f>
        <v>1615302</v>
      </c>
      <c r="O42" s="359">
        <f>SUM(O39:O41)</f>
        <v>1615302</v>
      </c>
      <c r="Q42" s="359">
        <f>SUM(Q39:Q41)</f>
        <v>1615302</v>
      </c>
      <c r="S42" s="359">
        <f>SUM(S39:S41)</f>
        <v>1615302</v>
      </c>
      <c r="U42" s="359">
        <f>SUM(U39:U41)</f>
        <v>1615302</v>
      </c>
      <c r="W42" s="359">
        <f>SUM(W39:W41)</f>
        <v>1615302</v>
      </c>
      <c r="Y42" s="359">
        <f>SUM(Y39:Y41)</f>
        <v>1615302</v>
      </c>
      <c r="AA42" s="359">
        <f>SUM(AA39:AA41)</f>
        <v>1615302</v>
      </c>
      <c r="AC42" s="359">
        <f>SUM(AC39:AC41)</f>
        <v>1615302</v>
      </c>
      <c r="AE42" s="359">
        <f>SUM(AE39:AE41)</f>
        <v>1615302</v>
      </c>
      <c r="AG42" s="359">
        <f>SUM(AG39:AG41)</f>
        <v>1615302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321808.10000000009</v>
      </c>
      <c r="G44" s="359">
        <f>G36-G42</f>
        <v>361992.34250000003</v>
      </c>
      <c r="I44" s="359">
        <f>I36-I42</f>
        <v>402848.86821249966</v>
      </c>
      <c r="K44" s="359">
        <f>K36-K42</f>
        <v>444382.81691806135</v>
      </c>
      <c r="M44" s="359">
        <f>M36-M42</f>
        <v>486599.04781627189</v>
      </c>
      <c r="O44" s="359">
        <f>O36-O42</f>
        <v>529502.11817917135</v>
      </c>
      <c r="Q44" s="359">
        <f>Q36-Q42</f>
        <v>573096.26096911728</v>
      </c>
      <c r="S44" s="359">
        <f>S36-S42</f>
        <v>617385.36137760803</v>
      </c>
      <c r="U44" s="359">
        <f>U36-U42</f>
        <v>662372.93223990547</v>
      </c>
      <c r="W44" s="359">
        <f>W36-W42</f>
        <v>708062.08827853296</v>
      </c>
      <c r="Y44" s="359">
        <f>Y36-Y42</f>
        <v>754455.51912688278</v>
      </c>
      <c r="AA44" s="359">
        <f>AA36-AA42</f>
        <v>801555.46108226571</v>
      </c>
      <c r="AC44" s="359">
        <f>AC36-AC42</f>
        <v>849363.66753578</v>
      </c>
      <c r="AE44" s="359">
        <f>AE36-AE42</f>
        <v>897881.37802430382</v>
      </c>
      <c r="AG44" s="359">
        <f>AG36-AG42</f>
        <v>947109.28584781429</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0.10309280233013345</v>
      </c>
      <c r="G46" s="363">
        <f>G44/(G4+G6+G8)</f>
        <v>0.11313758185087282</v>
      </c>
      <c r="I46" s="363">
        <f>I44/(I4+I6+I8)</f>
        <v>0.12283603539492714</v>
      </c>
      <c r="K46" s="363">
        <f>K44/(K4+K6+K8)</f>
        <v>0.13219561062943025</v>
      </c>
      <c r="M46" s="363">
        <f>M44/(M4+M6+M8)</f>
        <v>0.14122356387399365</v>
      </c>
      <c r="O46" s="363">
        <f>O44/(O4+O6+O8)</f>
        <v>0.1499269646728574</v>
      </c>
      <c r="Q46" s="363">
        <f>Q44/(Q4+Q6+Q8)</f>
        <v>0.15831270025460314</v>
      </c>
      <c r="S46" s="363">
        <f>S44/(S4+S6+S8)</f>
        <v>0.16638747988215913</v>
      </c>
      <c r="U46" s="363">
        <f>U44/(U4+U6+U8)</f>
        <v>0.17415783909576465</v>
      </c>
      <c r="W46" s="363">
        <f>W44/(W4+W6+W8)</f>
        <v>0.18163014385149723</v>
      </c>
      <c r="Y46" s="363">
        <f>Y44/(Y4+Y6+Y8)</f>
        <v>0.18881059455789895</v>
      </c>
      <c r="AA46" s="363">
        <f>AA44/(AA4+AA6+AA8)</f>
        <v>0.19570523001317705</v>
      </c>
      <c r="AC46" s="363">
        <f>AC44/(AC4+AC6+AC8)</f>
        <v>0.20231993124539768</v>
      </c>
      <c r="AE46" s="363">
        <f>AE44/(AE4+AE6+AE8)</f>
        <v>0.20866042525802525</v>
      </c>
      <c r="AG46" s="363">
        <f>AG44/(AG4+AG6+AG8)</f>
        <v>0.21473228868310837</v>
      </c>
    </row>
    <row r="47" spans="1:33" s="363" customFormat="1" ht="14.25">
      <c r="A47" s="363" t="s">
        <v>919</v>
      </c>
      <c r="C47" s="356"/>
      <c r="E47" s="363">
        <f>E44/E42</f>
        <v>0.19922472701699132</v>
      </c>
      <c r="G47" s="363">
        <f>G44/G42</f>
        <v>0.2241019589525674</v>
      </c>
      <c r="I47" s="363">
        <f>I44/I42</f>
        <v>0.24939538749565077</v>
      </c>
      <c r="K47" s="363">
        <f>K44/K42</f>
        <v>0.27510819457789398</v>
      </c>
      <c r="M47" s="363">
        <f>M44/M42</f>
        <v>0.30124338842908133</v>
      </c>
      <c r="O47" s="363">
        <f>O44/O42</f>
        <v>0.32780379036190838</v>
      </c>
      <c r="Q47" s="363">
        <f>Q44/Q42</f>
        <v>0.35479202091566608</v>
      </c>
      <c r="S47" s="363">
        <f>S44/S42</f>
        <v>0.38221048533191193</v>
      </c>
      <c r="U47" s="363">
        <f>U44/U42</f>
        <v>0.41006135833417245</v>
      </c>
      <c r="W47" s="363">
        <f>W44/W42</f>
        <v>0.43834656818262652</v>
      </c>
      <c r="Y47" s="363">
        <f>Y44/Y42</f>
        <v>0.4670677799735794</v>
      </c>
      <c r="AA47" s="363">
        <f>AA44/AA42</f>
        <v>0.49622637815236142</v>
      </c>
      <c r="AC47" s="363">
        <f>AC44/AC42</f>
        <v>0.52582344820707216</v>
      </c>
      <c r="AE47" s="363">
        <f>AE44/AE42</f>
        <v>0.55585975750931027</v>
      </c>
      <c r="AG47" s="363">
        <f>AG44/AG42</f>
        <v>0.58633573526672678</v>
      </c>
    </row>
    <row r="48" spans="1:33" s="364" customFormat="1" ht="14.25">
      <c r="A48" s="364" t="s">
        <v>917</v>
      </c>
      <c r="C48" s="365"/>
      <c r="E48" s="364">
        <f>E36/E42</f>
        <v>1.1992247270169913</v>
      </c>
      <c r="G48" s="364">
        <f>G36/G42</f>
        <v>1.2241019589525675</v>
      </c>
      <c r="I48" s="364">
        <f>I36/I42</f>
        <v>1.2493953874956507</v>
      </c>
      <c r="K48" s="364">
        <f>K36/K42</f>
        <v>1.2751081945778939</v>
      </c>
      <c r="M48" s="364">
        <f>M36/M42</f>
        <v>1.3012433884290813</v>
      </c>
      <c r="O48" s="364">
        <f>O36/O42</f>
        <v>1.3278037903619084</v>
      </c>
      <c r="Q48" s="364">
        <f>Q36/Q42</f>
        <v>1.3547920209156661</v>
      </c>
      <c r="S48" s="364">
        <f>S36/S42</f>
        <v>1.3822104853319119</v>
      </c>
      <c r="U48" s="364">
        <f>U36/U42</f>
        <v>1.4100613583341726</v>
      </c>
      <c r="W48" s="364">
        <f>W36/W42</f>
        <v>1.4383465681826264</v>
      </c>
      <c r="Y48" s="364">
        <f>Y36/Y42</f>
        <v>1.4670677799735794</v>
      </c>
      <c r="AA48" s="364">
        <f>AA36/AA42</f>
        <v>1.4962263781523615</v>
      </c>
      <c r="AC48" s="364">
        <f>AC36/AC42</f>
        <v>1.5258234482070721</v>
      </c>
      <c r="AE48" s="364">
        <f>AE36/AE42</f>
        <v>1.5558597575093103</v>
      </c>
      <c r="AG48" s="364">
        <f>AG36/AG42</f>
        <v>1.5863357352667267</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72" t="s">
        <v>1388</v>
      </c>
      <c r="B51" s="3372"/>
      <c r="C51" s="337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321808.10000000009</v>
      </c>
      <c r="G59" s="1680">
        <f>G44-G57</f>
        <v>361992.34250000003</v>
      </c>
      <c r="I59" s="1680">
        <f>I44-I57</f>
        <v>402848.86821249966</v>
      </c>
      <c r="K59" s="1680">
        <f>K44-K57</f>
        <v>444382.81691806135</v>
      </c>
      <c r="M59" s="1680">
        <f>M44-M57</f>
        <v>486599.04781627189</v>
      </c>
      <c r="O59" s="1680">
        <f>O44-O57</f>
        <v>529502.11817917135</v>
      </c>
      <c r="Q59" s="1680">
        <f>Q44-Q57</f>
        <v>573096.26096911728</v>
      </c>
      <c r="S59" s="1680">
        <f>S44-S57</f>
        <v>617385.36137760803</v>
      </c>
      <c r="U59" s="1680">
        <f>U44-U57</f>
        <v>662372.93223990547</v>
      </c>
      <c r="W59" s="1680">
        <f>W44-W57</f>
        <v>708062.08827853296</v>
      </c>
      <c r="Y59" s="1680">
        <f>Y44-Y57</f>
        <v>754455.51912688278</v>
      </c>
      <c r="AA59" s="1680">
        <f>AA44-AA57</f>
        <v>801555.46108226571</v>
      </c>
      <c r="AC59" s="1680">
        <f>AC44-AC57</f>
        <v>849363.66753578</v>
      </c>
      <c r="AE59" s="1680">
        <f>AE44-AE57</f>
        <v>897881.37802430382</v>
      </c>
      <c r="AG59" s="1680">
        <f>AG44-AG57</f>
        <v>947109.28584781429</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321808.10000000009</v>
      </c>
      <c r="G61" s="1688">
        <f>G59*$C$61</f>
        <v>361992.34250000003</v>
      </c>
      <c r="H61" s="1688"/>
      <c r="I61" s="1688">
        <f>I59*$C$61</f>
        <v>402848.86821249966</v>
      </c>
      <c r="J61" s="1688"/>
      <c r="K61" s="1688">
        <f>K59*$C$61</f>
        <v>444382.81691806135</v>
      </c>
      <c r="L61" s="1688"/>
      <c r="M61" s="1688">
        <f>M59*$C$61</f>
        <v>486599.04781627189</v>
      </c>
      <c r="N61" s="1688"/>
      <c r="O61" s="1688">
        <f>O59*$C$61</f>
        <v>529502.11817917135</v>
      </c>
      <c r="P61" s="1688"/>
      <c r="Q61" s="1688">
        <f>Q59*$C$61</f>
        <v>573096.26096911728</v>
      </c>
      <c r="R61" s="1688"/>
      <c r="S61" s="1688">
        <f>S59*$C$61</f>
        <v>617385.36137760803</v>
      </c>
      <c r="T61" s="1688"/>
      <c r="U61" s="1688">
        <f>U59*$C$61</f>
        <v>662372.93223990547</v>
      </c>
      <c r="V61" s="1688"/>
      <c r="W61" s="1688">
        <f>W59*$C$61</f>
        <v>708062.08827853296</v>
      </c>
      <c r="Y61" s="1688">
        <f>Y59*$C$61</f>
        <v>754455.51912688278</v>
      </c>
      <c r="AA61" s="1688">
        <f>AA59*$C$61</f>
        <v>801555.46108226571</v>
      </c>
      <c r="AC61" s="1688">
        <f>AC59*$C$61</f>
        <v>849363.66753578</v>
      </c>
      <c r="AE61" s="1688">
        <f>AE59*$C$61</f>
        <v>897881.37802430382</v>
      </c>
      <c r="AG61" s="1688">
        <f>AG59*$C$61</f>
        <v>947109.28584781429</v>
      </c>
    </row>
    <row r="62" spans="1:35" s="1688" customFormat="1">
      <c r="A62" s="3372" t="s">
        <v>1388</v>
      </c>
      <c r="B62" s="3372"/>
      <c r="C62" s="3372"/>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c r="G65" s="1678">
        <f>G59*$C$64</f>
        <v>90498.085625000007</v>
      </c>
      <c r="I65" s="1678">
        <f>I59*$C$64</f>
        <v>100712.21705312491</v>
      </c>
      <c r="K65" s="1678">
        <f>K59*$C$64</f>
        <v>111095.70422951534</v>
      </c>
      <c r="M65" s="1678">
        <f>M59*$C$64</f>
        <v>121649.76195406797</v>
      </c>
      <c r="O65" s="1678">
        <f>O59*$C$64</f>
        <v>132375.52954479284</v>
      </c>
      <c r="Q65" s="1678">
        <f>Q59*$C$64</f>
        <v>143274.06524227932</v>
      </c>
      <c r="S65" s="1678">
        <f>S59*$C$64</f>
        <v>154346.34034440201</v>
      </c>
      <c r="U65" s="1678">
        <f>U59*$C$64</f>
        <v>165593.23305997637</v>
      </c>
      <c r="W65" s="1678">
        <f>W59*$C$64</f>
        <v>177015.52206963324</v>
      </c>
      <c r="Y65" s="1678">
        <f>Y59*$C$64</f>
        <v>188613.87978172069</v>
      </c>
      <c r="AA65" s="1678">
        <f>AA59*$C$64</f>
        <v>200388.86527056643</v>
      </c>
      <c r="AC65" s="1678">
        <f>AC59*$C$64</f>
        <v>212340.916883945</v>
      </c>
      <c r="AE65" s="1678">
        <f>AE59*$C$64</f>
        <v>224470.34450607595</v>
      </c>
      <c r="AG65" s="1678">
        <f>AG59*$C$64</f>
        <v>236777.32146195357</v>
      </c>
    </row>
    <row r="66" spans="1:33" s="1678" customFormat="1">
      <c r="A66" s="1683"/>
      <c r="B66" s="1683"/>
      <c r="C66" s="1689"/>
      <c r="E66" s="1682"/>
      <c r="G66" s="1678">
        <f>G59*$C$64</f>
        <v>90498.085625000007</v>
      </c>
      <c r="I66" s="1678">
        <f>I59*$C$64</f>
        <v>100712.21705312491</v>
      </c>
      <c r="K66" s="1678">
        <f>K59*$C$64</f>
        <v>111095.70422951534</v>
      </c>
      <c r="M66" s="1678">
        <f>M59*$C$64</f>
        <v>121649.76195406797</v>
      </c>
      <c r="O66" s="1678">
        <f>O59*$C$64</f>
        <v>132375.52954479284</v>
      </c>
      <c r="Q66" s="1678">
        <f>Q59*$C$64</f>
        <v>143274.06524227932</v>
      </c>
      <c r="S66" s="1678">
        <f>S59*$C$64</f>
        <v>154346.34034440201</v>
      </c>
      <c r="U66" s="1678">
        <f>U59*$C$64</f>
        <v>165593.23305997637</v>
      </c>
      <c r="W66" s="1678">
        <f>W59*$C$64</f>
        <v>177015.52206963324</v>
      </c>
      <c r="Y66" s="1678">
        <f>Y59*$C$64</f>
        <v>188613.87978172069</v>
      </c>
      <c r="AA66" s="1678">
        <f>AA59*$C$64</f>
        <v>200388.86527056643</v>
      </c>
      <c r="AC66" s="1678">
        <f>AC59*$C$64</f>
        <v>212340.916883945</v>
      </c>
      <c r="AE66" s="1678">
        <f>AE59*$C$64</f>
        <v>224470.34450607595</v>
      </c>
      <c r="AG66" s="1678">
        <f>AG59*$C$64</f>
        <v>236777.32146195357</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180996.17125000001</v>
      </c>
      <c r="I69" s="1690">
        <f>SUM(I65:I68)</f>
        <v>201424.43410624983</v>
      </c>
      <c r="K69" s="1690">
        <f>SUM(K65:K68)</f>
        <v>222191.40845903067</v>
      </c>
      <c r="M69" s="1690">
        <f>SUM(M65:M68)</f>
        <v>243299.52390813595</v>
      </c>
      <c r="O69" s="1690">
        <f>SUM(O65:O68)</f>
        <v>264751.05908958567</v>
      </c>
      <c r="Q69" s="1690">
        <f>SUM(Q65:Q68)</f>
        <v>286548.13048455864</v>
      </c>
      <c r="S69" s="1690">
        <f>SUM(S65:S68)</f>
        <v>308692.68068880402</v>
      </c>
      <c r="U69" s="1690">
        <f>SUM(U65:U68)</f>
        <v>331186.46611995273</v>
      </c>
      <c r="W69" s="1690">
        <f>SUM(W65:W68)</f>
        <v>354031.04413926648</v>
      </c>
      <c r="Y69" s="1690">
        <f>SUM(Y65:Y68)</f>
        <v>377227.75956344139</v>
      </c>
      <c r="AA69" s="1690">
        <f>SUM(AA65:AA68)</f>
        <v>400777.73054113286</v>
      </c>
      <c r="AC69" s="1690">
        <f>SUM(AC65:AC68)</f>
        <v>424681.83376789</v>
      </c>
      <c r="AE69" s="1690">
        <f>SUM(AE65:AE68)</f>
        <v>448940.68901215191</v>
      </c>
      <c r="AG69" s="1690">
        <f>SUM(AG65:AG68)</f>
        <v>473554.64292390714</v>
      </c>
    </row>
    <row r="70" spans="1:33" s="1690" customFormat="1">
      <c r="A70" s="1680"/>
      <c r="C70" s="1689"/>
    </row>
    <row r="71" spans="1:33" s="1690" customFormat="1">
      <c r="A71" s="1680" t="s">
        <v>2238</v>
      </c>
      <c r="C71" s="1689"/>
      <c r="E71" s="1680">
        <f>E59-E61-E69</f>
        <v>0</v>
      </c>
      <c r="G71" s="1680">
        <f>G59-G61-G69</f>
        <v>-180996.17125000001</v>
      </c>
      <c r="I71" s="1680">
        <f>I59-I61-I69</f>
        <v>-201424.43410624983</v>
      </c>
      <c r="K71" s="1680">
        <f>K59-K61-K69</f>
        <v>-222191.40845903067</v>
      </c>
      <c r="M71" s="1680">
        <f>M59-M61-M69</f>
        <v>-243299.52390813595</v>
      </c>
      <c r="O71" s="1680">
        <f>O59-O61-O69</f>
        <v>-264751.05908958567</v>
      </c>
      <c r="Q71" s="1680">
        <f>Q59-Q61-Q69</f>
        <v>-286548.13048455864</v>
      </c>
      <c r="S71" s="1680">
        <f>S59-S61-S69</f>
        <v>-308692.68068880402</v>
      </c>
      <c r="U71" s="1680">
        <f>U59-U61-U69</f>
        <v>-331186.46611995273</v>
      </c>
      <c r="W71" s="1680">
        <f>W59-W61-W69</f>
        <v>-354031.04413926648</v>
      </c>
      <c r="Y71" s="1680">
        <f>Y59-Y61-Y69</f>
        <v>-377227.75956344139</v>
      </c>
      <c r="AA71" s="1680">
        <f>AA59-AA61-AA69</f>
        <v>-400777.73054113286</v>
      </c>
      <c r="AC71" s="1680">
        <f>AC59-AC61-AC69</f>
        <v>-424681.83376789</v>
      </c>
      <c r="AE71" s="1680">
        <f>AE59-AE61-AE69</f>
        <v>-448940.68901215191</v>
      </c>
      <c r="AG71" s="1680">
        <f>AG59-AG61-AG69</f>
        <v>-473554.64292390714</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70" t="s">
        <v>2236</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73" t="s">
        <v>983</v>
      </c>
      <c r="B1" s="3373"/>
      <c r="C1" s="3373"/>
      <c r="D1" s="3373"/>
      <c r="E1" s="3373"/>
      <c r="F1" s="3373"/>
      <c r="G1" s="3373"/>
      <c r="H1" s="3373"/>
      <c r="I1" s="3373"/>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49</v>
      </c>
      <c r="C4" s="659">
        <f>Application!O728</f>
        <v>1538</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7</v>
      </c>
      <c r="C5" s="659">
        <f>Application!O729</f>
        <v>1270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7</v>
      </c>
      <c r="C6" s="659">
        <f>Application!O730</f>
        <v>735</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48</v>
      </c>
      <c r="C7" s="659">
        <f>Application!O731</f>
        <v>1775</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7</v>
      </c>
      <c r="C8" s="659">
        <f>Application!O732</f>
        <v>1465</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7</v>
      </c>
      <c r="C9" s="659">
        <f>Application!O733</f>
        <v>846</v>
      </c>
      <c r="D9" s="660"/>
      <c r="E9" s="477"/>
      <c r="F9" s="661">
        <f t="shared" si="0"/>
        <v>0</v>
      </c>
      <c r="G9" s="662"/>
      <c r="H9" s="659" t="str">
        <f t="shared" si="1"/>
        <v xml:space="preserve"> </v>
      </c>
      <c r="I9" s="661" t="str">
        <f t="shared" si="2"/>
        <v xml:space="preserve"> </v>
      </c>
      <c r="J9" s="326"/>
      <c r="K9" s="474"/>
    </row>
    <row r="10" spans="1:11">
      <c r="A10" s="659" t="str">
        <f>Application!B734</f>
        <v>4 Bedrooms</v>
      </c>
      <c r="B10" s="668">
        <f>Application!G734</f>
        <v>14</v>
      </c>
      <c r="C10" s="659">
        <f>Application!O734</f>
        <v>1978</v>
      </c>
      <c r="D10" s="660"/>
      <c r="E10" s="477"/>
      <c r="F10" s="661">
        <f t="shared" si="0"/>
        <v>0</v>
      </c>
      <c r="G10" s="662"/>
      <c r="H10" s="659" t="str">
        <f t="shared" si="1"/>
        <v xml:space="preserve"> </v>
      </c>
      <c r="I10" s="661" t="str">
        <f t="shared" si="2"/>
        <v xml:space="preserve"> </v>
      </c>
      <c r="J10" s="326"/>
      <c r="K10" s="474"/>
    </row>
    <row r="11" spans="1:11">
      <c r="A11" s="659" t="str">
        <f>Application!B735</f>
        <v>4 Bedrooms</v>
      </c>
      <c r="B11" s="668">
        <f>Application!G735</f>
        <v>2</v>
      </c>
      <c r="C11" s="659">
        <f>Application!O735</f>
        <v>1633</v>
      </c>
      <c r="D11" s="660"/>
      <c r="E11" s="477"/>
      <c r="F11" s="661">
        <f t="shared" si="0"/>
        <v>0</v>
      </c>
      <c r="G11" s="662"/>
      <c r="H11" s="659" t="str">
        <f t="shared" si="1"/>
        <v xml:space="preserve"> </v>
      </c>
      <c r="I11" s="661" t="str">
        <f t="shared" si="2"/>
        <v xml:space="preserve"> </v>
      </c>
      <c r="J11" s="326"/>
      <c r="K11" s="474"/>
    </row>
    <row r="12" spans="1:11">
      <c r="A12" s="659" t="str">
        <f>Application!B736</f>
        <v>4 Bedrooms</v>
      </c>
      <c r="B12" s="668">
        <f>Application!G736</f>
        <v>2</v>
      </c>
      <c r="C12" s="659">
        <f>Application!O736</f>
        <v>942</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7</v>
      </c>
      <c r="C13" s="659">
        <f>Application!O737</f>
        <v>1805.6666666666667</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7</v>
      </c>
      <c r="C14" s="659">
        <f>Application!O738</f>
        <v>2083.5</v>
      </c>
      <c r="D14" s="660"/>
      <c r="E14" s="477"/>
      <c r="F14" s="661">
        <f t="shared" si="0"/>
        <v>0</v>
      </c>
      <c r="G14" s="662"/>
      <c r="H14" s="659" t="str">
        <f t="shared" si="1"/>
        <v xml:space="preserve"> </v>
      </c>
      <c r="I14" s="661" t="str">
        <f t="shared" si="2"/>
        <v xml:space="preserve"> </v>
      </c>
      <c r="J14" s="326"/>
      <c r="K14" s="474"/>
    </row>
    <row r="15" spans="1:11">
      <c r="A15" s="659" t="str">
        <f>Application!B739</f>
        <v>4 Bedrooms</v>
      </c>
      <c r="B15" s="668">
        <f>Application!G739</f>
        <v>2</v>
      </c>
      <c r="C15" s="659">
        <f>Application!O739</f>
        <v>2323.1666666666665</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255486.5</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11" sqref="E11"/>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3000000</v>
      </c>
      <c r="C5" s="422">
        <f>'Sources and Uses Budget'!$C4</f>
        <v>3000000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60000</v>
      </c>
      <c r="C7" s="422">
        <f>'Sources and Uses Budget'!$C6</f>
        <v>60000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3060000</v>
      </c>
      <c r="C9" s="426">
        <f>SUM(C5:C8)</f>
        <v>3060000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3060000</v>
      </c>
      <c r="C13" s="426">
        <f>SUM(C9+C12)</f>
        <v>3060000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172392</v>
      </c>
      <c r="C14" s="422">
        <f>'Sources and Uses Budget'!$C13</f>
        <v>172392</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1500000</v>
      </c>
      <c r="C30" s="422">
        <f>'Sources and Uses Budget'!$C29</f>
        <v>1500000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37981025</v>
      </c>
      <c r="C31" s="422">
        <f>'Sources and Uses Budget'!$C30</f>
        <v>37981025</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2872000</v>
      </c>
      <c r="C33" s="422">
        <f>'Sources and Uses Budget'!$C32</f>
        <v>2872000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2154000</v>
      </c>
      <c r="C34" s="422">
        <f>'Sources and Uses Budget'!$C33</f>
        <v>2154000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44507025</v>
      </c>
      <c r="C39" s="426">
        <f>SUM(C30:C38)</f>
        <v>44507025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777000</v>
      </c>
      <c r="C41" s="422">
        <f>'Sources and Uses Budget'!$C40</f>
        <v>777000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777000</v>
      </c>
      <c r="C43" s="426">
        <f>SUM(C41:C42)</f>
        <v>777000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200000</v>
      </c>
      <c r="C44" s="422">
        <f>'Sources and Uses Budget'!$C43</f>
        <v>200000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3330000</v>
      </c>
      <c r="C46" s="422">
        <f>'Sources and Uses Budget'!$C45</f>
        <v>3330000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541000</v>
      </c>
      <c r="C47" s="422">
        <f>'Sources and Uses Budget'!$C46</f>
        <v>541000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189080</v>
      </c>
      <c r="C49" s="422">
        <f>'Sources and Uses Budget'!$C48</f>
        <v>189080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0</v>
      </c>
      <c r="C51" s="422">
        <f>'Sources and Uses Budget'!$C50</f>
        <v>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70000</v>
      </c>
      <c r="C52" s="422">
        <f>'Sources and Uses Budget'!$C51</f>
        <v>70000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667605</v>
      </c>
      <c r="C53" s="422">
        <f>'Sources and Uses Budget'!$C52</f>
        <v>667605</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Construction Monitoring</v>
      </c>
      <c r="B54" s="422">
        <f>'Sources and Uses Budget'!$C53</f>
        <v>50000</v>
      </c>
      <c r="C54" s="422">
        <f>'Sources and Uses Budget'!$C53</f>
        <v>50000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4847685</v>
      </c>
      <c r="C55" s="429">
        <f>SUM(C46:C54)</f>
        <v>4847685</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549000</v>
      </c>
      <c r="C57" s="422">
        <f>'Sources and Uses Budget'!$C56</f>
        <v>549000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30000</v>
      </c>
      <c r="C59" s="422">
        <f>'Sources and Uses Budget'!$C58</f>
        <v>30000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Reports</v>
      </c>
      <c r="B62" s="422">
        <f>'Sources and Uses Budget'!$C61</f>
        <v>35000</v>
      </c>
      <c r="C62" s="422">
        <f>'Sources and Uses Budget'!$C61</f>
        <v>35000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614000</v>
      </c>
      <c r="C63" s="426">
        <f>SUM(C57:C62)</f>
        <v>614000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54178102</v>
      </c>
      <c r="C64" s="426">
        <f>SUM(C9+C12+C14+C15+C17+C26+C28+C39+C43+C44+C55+C63)</f>
        <v>54178102</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25000</v>
      </c>
      <c r="C67" s="422">
        <f>'Sources and Uses Budget'!$C66</f>
        <v>25000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41160</v>
      </c>
      <c r="C68" s="422">
        <f>'Sources and Uses Budget'!$C67</f>
        <v>41160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Transaction Legal</v>
      </c>
      <c r="B70" s="422">
        <f>'Sources and Uses Budget'!$C69</f>
        <v>210000</v>
      </c>
      <c r="C70" s="422">
        <f>'Sources and Uses Budget'!$C69</f>
        <v>210000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276160</v>
      </c>
      <c r="C71" s="426">
        <f>SUM(C66:C70)</f>
        <v>276160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160000</v>
      </c>
      <c r="C73" s="422">
        <f>'Sources and Uses Budget'!$C72</f>
        <v>160000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48000</v>
      </c>
      <c r="C75" s="422">
        <f>'Sources and Uses Budget'!$C74</f>
        <v>48000</v>
      </c>
      <c r="D75" s="426">
        <f t="shared" si="0"/>
        <v>0</v>
      </c>
      <c r="E75" s="424"/>
      <c r="F75" s="423"/>
      <c r="G75" s="554"/>
    </row>
    <row r="76" spans="1:253" s="548" customFormat="1">
      <c r="A76" s="425" t="s">
        <v>642</v>
      </c>
      <c r="B76" s="422">
        <f>'Sources and Uses Budget'!$C75</f>
        <v>1294276</v>
      </c>
      <c r="C76" s="422">
        <f>'Sources and Uses Budget'!$C75</f>
        <v>1294276</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1502276</v>
      </c>
      <c r="C78" s="426">
        <f>SUM(C73:C77)</f>
        <v>1502276</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1720000</v>
      </c>
      <c r="C80" s="422">
        <f>'Sources and Uses Budget'!$C79</f>
        <v>1720000</v>
      </c>
      <c r="D80" s="426">
        <f t="shared" si="1"/>
        <v>0</v>
      </c>
      <c r="E80" s="424"/>
      <c r="F80" s="423"/>
      <c r="G80" s="554"/>
    </row>
    <row r="81" spans="1:7" s="548" customFormat="1">
      <c r="A81" s="863" t="s">
        <v>61</v>
      </c>
      <c r="B81" s="422">
        <f>'Sources and Uses Budget'!$C80</f>
        <v>200000</v>
      </c>
      <c r="C81" s="422">
        <f>'Sources and Uses Budget'!$C80</f>
        <v>200000</v>
      </c>
      <c r="D81" s="426">
        <f>C81-B81</f>
        <v>0</v>
      </c>
      <c r="E81" s="424"/>
      <c r="F81" s="423"/>
      <c r="G81" s="554"/>
    </row>
    <row r="82" spans="1:7" s="548" customFormat="1">
      <c r="A82" s="427" t="s">
        <v>1427</v>
      </c>
      <c r="B82" s="426">
        <f>SUM(B80:B81)</f>
        <v>1920000</v>
      </c>
      <c r="C82" s="426">
        <f>SUM(C80:C81)</f>
        <v>1920000</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234000</v>
      </c>
      <c r="C84" s="422">
        <f>'Sources and Uses Budget'!$C83</f>
        <v>234000</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2666720</v>
      </c>
      <c r="C86" s="422">
        <f>'Sources and Uses Budget'!$C85</f>
        <v>2666720</v>
      </c>
      <c r="D86" s="426">
        <f t="shared" si="1"/>
        <v>0</v>
      </c>
      <c r="E86" s="424"/>
      <c r="F86" s="423"/>
      <c r="G86" s="554"/>
    </row>
    <row r="87" spans="1:7" s="548" customFormat="1">
      <c r="A87" s="425" t="s">
        <v>831</v>
      </c>
      <c r="B87" s="422">
        <f>'Sources and Uses Budget'!$C86</f>
        <v>240000</v>
      </c>
      <c r="C87" s="422">
        <f>'Sources and Uses Budget'!$C86</f>
        <v>240000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160000</v>
      </c>
      <c r="C89" s="422">
        <f>'Sources and Uses Budget'!$C88</f>
        <v>160000</v>
      </c>
      <c r="D89" s="426">
        <f t="shared" si="1"/>
        <v>0</v>
      </c>
      <c r="E89" s="424"/>
      <c r="F89" s="423"/>
      <c r="G89" s="554"/>
    </row>
    <row r="90" spans="1:7" s="548" customFormat="1">
      <c r="A90" s="425" t="s">
        <v>834</v>
      </c>
      <c r="B90" s="422">
        <f>'Sources and Uses Budget'!$C89</f>
        <v>103626</v>
      </c>
      <c r="C90" s="422">
        <f>'Sources and Uses Budget'!$C89</f>
        <v>103626</v>
      </c>
      <c r="D90" s="426">
        <f t="shared" si="1"/>
        <v>0</v>
      </c>
      <c r="E90" s="424"/>
      <c r="F90" s="423"/>
      <c r="G90" s="554"/>
    </row>
    <row r="91" spans="1:7" s="548" customFormat="1">
      <c r="A91" s="425" t="s">
        <v>835</v>
      </c>
      <c r="B91" s="422">
        <f>'Sources and Uses Budget'!$C90</f>
        <v>12000</v>
      </c>
      <c r="C91" s="422">
        <f>'Sources and Uses Budget'!$C90</f>
        <v>12000</v>
      </c>
      <c r="D91" s="426">
        <f t="shared" si="1"/>
        <v>0</v>
      </c>
      <c r="E91" s="424"/>
      <c r="F91" s="423"/>
      <c r="G91" s="554"/>
    </row>
    <row r="92" spans="1:7" s="548" customFormat="1">
      <c r="A92" s="431" t="s">
        <v>392</v>
      </c>
      <c r="B92" s="422">
        <f>'Sources and Uses Budget'!$C91</f>
        <v>30000</v>
      </c>
      <c r="C92" s="422">
        <f>'Sources and Uses Budget'!$C91</f>
        <v>30000</v>
      </c>
      <c r="D92" s="426">
        <f t="shared" si="1"/>
        <v>0</v>
      </c>
      <c r="E92" s="424"/>
      <c r="F92" s="423"/>
      <c r="G92" s="554"/>
    </row>
    <row r="93" spans="1:7" s="548" customFormat="1">
      <c r="A93" s="862" t="s">
        <v>1429</v>
      </c>
      <c r="B93" s="422">
        <f>'Sources and Uses Budget'!$C92</f>
        <v>15000</v>
      </c>
      <c r="C93" s="422">
        <f>'Sources and Uses Budget'!$C92</f>
        <v>15000</v>
      </c>
      <c r="D93" s="426">
        <f t="shared" si="1"/>
        <v>0</v>
      </c>
      <c r="E93" s="424"/>
      <c r="F93" s="423"/>
      <c r="G93" s="554"/>
    </row>
    <row r="94" spans="1:7" s="548" customFormat="1">
      <c r="A94" s="428" t="s">
        <v>35</v>
      </c>
      <c r="B94" s="422">
        <f>'Sources and Uses Budget'!$C93</f>
        <v>430000</v>
      </c>
      <c r="C94" s="422">
        <f>'Sources and Uses Budget'!$C93</f>
        <v>430000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3891346</v>
      </c>
      <c r="C97" s="426">
        <f>SUM(C84:C96)</f>
        <v>3891346</v>
      </c>
      <c r="D97" s="426">
        <f t="shared" si="1"/>
        <v>0</v>
      </c>
      <c r="E97" s="424"/>
      <c r="F97" s="423"/>
      <c r="G97" s="554"/>
    </row>
    <row r="98" spans="1:7" s="548" customFormat="1">
      <c r="A98" s="427" t="s">
        <v>837</v>
      </c>
      <c r="B98" s="426">
        <f>SUM(B64+B71+B78+B82+B97)</f>
        <v>61767884</v>
      </c>
      <c r="C98" s="426">
        <f>SUM(C64+C71+C78+C82+C97)</f>
        <v>61767884</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8046914</v>
      </c>
      <c r="C100" s="422">
        <f>'Sources and Uses Budget'!$C99</f>
        <v>8046914</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8046914</v>
      </c>
      <c r="C105" s="426">
        <f>SUM(C100:C104)</f>
        <v>8046914</v>
      </c>
      <c r="D105" s="426">
        <f t="shared" si="1"/>
        <v>0</v>
      </c>
      <c r="E105" s="424"/>
      <c r="F105" s="423"/>
      <c r="G105" s="552"/>
    </row>
    <row r="106" spans="1:7" s="547" customFormat="1">
      <c r="A106" s="427" t="s">
        <v>842</v>
      </c>
      <c r="B106" s="429">
        <f>SUM(B98+B105)</f>
        <v>69814798</v>
      </c>
      <c r="C106" s="429">
        <f>SUM(C98+C105)</f>
        <v>69814798</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2" t="s">
        <v>1162</v>
      </c>
      <c r="B2" s="1902"/>
      <c r="C2" s="1903"/>
      <c r="D2" s="1903"/>
      <c r="E2" s="1903"/>
      <c r="F2" s="1903"/>
      <c r="G2" s="1903"/>
    </row>
    <row r="3" spans="1:9" s="256" customFormat="1">
      <c r="A3" s="1902" t="s">
        <v>1092</v>
      </c>
      <c r="B3" s="1902"/>
      <c r="C3" s="1903"/>
      <c r="D3" s="1903"/>
      <c r="E3" s="1903"/>
      <c r="F3" s="1903"/>
      <c r="G3" s="1903"/>
      <c r="I3" s="678" t="s">
        <v>318</v>
      </c>
    </row>
    <row r="4" spans="1:9">
      <c r="I4" s="679" t="s">
        <v>1163</v>
      </c>
    </row>
    <row r="5" spans="1:9" s="39" customFormat="1">
      <c r="A5" s="1906" t="s">
        <v>1093</v>
      </c>
      <c r="B5" s="1906"/>
      <c r="C5" s="1907"/>
      <c r="D5" s="1907"/>
      <c r="E5" s="1907"/>
      <c r="F5" s="1907"/>
      <c r="G5" s="1907"/>
      <c r="I5" s="679" t="s">
        <v>1164</v>
      </c>
    </row>
    <row r="6" spans="1:9" s="39" customFormat="1">
      <c r="A6" s="1906" t="s">
        <v>884</v>
      </c>
      <c r="B6" s="1906"/>
      <c r="C6" s="1907"/>
      <c r="D6" s="1907"/>
      <c r="E6" s="1907"/>
      <c r="F6" s="1907"/>
      <c r="G6" s="1907"/>
      <c r="I6" s="678" t="s">
        <v>628</v>
      </c>
    </row>
    <row r="7" spans="1:9" ht="11.85" customHeight="1"/>
    <row r="8" spans="1:9" s="39" customFormat="1">
      <c r="A8" s="1904" t="s">
        <v>1259</v>
      </c>
      <c r="B8" s="1904"/>
      <c r="C8" s="1905"/>
      <c r="D8" s="1905"/>
      <c r="E8" s="1905"/>
      <c r="F8" s="1905"/>
      <c r="G8" s="1905"/>
    </row>
    <row r="9" spans="1:9" s="39" customFormat="1">
      <c r="A9" s="1904" t="s">
        <v>1260</v>
      </c>
      <c r="B9" s="1904"/>
      <c r="C9" s="1905"/>
      <c r="D9" s="1905"/>
      <c r="E9" s="1905"/>
      <c r="F9" s="1905"/>
      <c r="G9" s="1905"/>
    </row>
    <row r="10" spans="1:9">
      <c r="A10" s="258"/>
      <c r="B10" s="258"/>
      <c r="C10" s="255"/>
      <c r="D10" s="255"/>
      <c r="E10" s="255"/>
      <c r="F10" s="255"/>
    </row>
    <row r="11" spans="1:9">
      <c r="A11" s="1908" t="s">
        <v>1262</v>
      </c>
      <c r="B11" s="1908"/>
      <c r="C11" s="1908"/>
      <c r="D11" s="1908"/>
      <c r="E11" s="1908"/>
      <c r="F11" s="1908"/>
      <c r="G11" s="1908"/>
    </row>
    <row r="12" spans="1:9">
      <c r="A12" s="255"/>
      <c r="B12" s="674"/>
      <c r="E12" s="50"/>
    </row>
    <row r="13" spans="1:9" ht="13.15" customHeight="1">
      <c r="C13" s="255"/>
      <c r="D13" s="1926" t="s">
        <v>1261</v>
      </c>
      <c r="E13" s="1926"/>
      <c r="F13" s="1926"/>
    </row>
    <row r="14" spans="1:9">
      <c r="C14" s="255"/>
      <c r="D14" s="1926"/>
      <c r="E14" s="1926"/>
      <c r="F14" s="1926"/>
    </row>
    <row r="15" spans="1:9">
      <c r="A15" s="260"/>
      <c r="B15" s="260"/>
      <c r="C15" s="260"/>
      <c r="D15" s="1865" t="s">
        <v>1244</v>
      </c>
      <c r="E15" s="1865"/>
      <c r="F15" s="1865"/>
    </row>
    <row r="16" spans="1:9">
      <c r="A16" s="260"/>
      <c r="B16" s="260"/>
      <c r="C16" s="260"/>
      <c r="D16" s="328"/>
    </row>
    <row r="17" spans="1:7" ht="14.25">
      <c r="A17" s="261"/>
      <c r="B17" s="680" t="s">
        <v>318</v>
      </c>
      <c r="C17" s="314"/>
      <c r="D17" s="1852" t="s">
        <v>1245</v>
      </c>
      <c r="E17" s="1852"/>
      <c r="F17" s="1852"/>
    </row>
    <row r="18" spans="1:7">
      <c r="A18" s="260"/>
      <c r="B18" s="260"/>
      <c r="C18" s="314"/>
      <c r="D18" s="1852"/>
      <c r="E18" s="1852"/>
      <c r="F18" s="1852"/>
    </row>
    <row r="19" spans="1:7">
      <c r="A19" s="260"/>
      <c r="B19" s="260"/>
      <c r="C19" s="314"/>
      <c r="D19" s="1852"/>
      <c r="E19" s="1852"/>
      <c r="F19" s="1852"/>
    </row>
    <row r="20" spans="1:7">
      <c r="A20" s="260"/>
      <c r="B20" s="260"/>
      <c r="C20" s="260"/>
    </row>
    <row r="21" spans="1:7" ht="14.25">
      <c r="A21" s="261"/>
      <c r="B21" s="680" t="s">
        <v>318</v>
      </c>
      <c r="D21" s="1918" t="s">
        <v>1246</v>
      </c>
      <c r="E21" s="1918"/>
      <c r="F21" s="1918"/>
    </row>
    <row r="22" spans="1:7" ht="14.25">
      <c r="A22" s="261"/>
      <c r="B22" s="261"/>
      <c r="D22" s="135"/>
    </row>
    <row r="23" spans="1:7" ht="14.25">
      <c r="A23" s="261"/>
      <c r="B23" s="680" t="s">
        <v>318</v>
      </c>
      <c r="D23" s="1852" t="s">
        <v>1247</v>
      </c>
      <c r="E23" s="1852"/>
      <c r="F23" s="1852"/>
    </row>
    <row r="24" spans="1:7" ht="14.25">
      <c r="A24" s="261"/>
      <c r="B24" s="261"/>
      <c r="D24" s="1852"/>
      <c r="E24" s="1852"/>
      <c r="F24" s="1852"/>
    </row>
    <row r="25" spans="1:7"/>
    <row r="26" spans="1:7" ht="14.25">
      <c r="A26" s="261"/>
      <c r="B26" s="680" t="s">
        <v>318</v>
      </c>
      <c r="D26" s="1887" t="s">
        <v>1248</v>
      </c>
      <c r="E26" s="1887"/>
      <c r="F26" s="1887"/>
    </row>
    <row r="27" spans="1:7">
      <c r="D27" s="1887"/>
      <c r="E27" s="1887"/>
      <c r="F27" s="1887"/>
    </row>
    <row r="28" spans="1:7">
      <c r="D28" s="1887"/>
      <c r="E28" s="1887"/>
      <c r="F28" s="1887"/>
    </row>
    <row r="29" spans="1:7">
      <c r="A29" s="559"/>
      <c r="C29" s="559"/>
      <c r="D29" s="1887"/>
      <c r="E29" s="1887"/>
      <c r="F29" s="1887"/>
    </row>
    <row r="30" spans="1:7">
      <c r="A30" s="559"/>
      <c r="C30" s="559"/>
      <c r="D30" s="1887"/>
      <c r="E30" s="1887"/>
      <c r="F30" s="1887"/>
    </row>
    <row r="31" spans="1:7" s="39" customFormat="1">
      <c r="A31" s="273"/>
      <c r="B31" s="273"/>
      <c r="C31" s="273"/>
      <c r="D31" s="444"/>
      <c r="E31" s="130"/>
      <c r="F31" s="130"/>
      <c r="G31" s="130"/>
    </row>
    <row r="32" spans="1:7" s="39" customFormat="1">
      <c r="A32" s="273"/>
      <c r="B32" s="680" t="s">
        <v>318</v>
      </c>
      <c r="C32" s="273"/>
      <c r="D32" s="1853" t="s">
        <v>1249</v>
      </c>
      <c r="E32" s="1853"/>
      <c r="F32" s="1853"/>
      <c r="G32" s="130"/>
    </row>
    <row r="33" spans="1:7" s="39" customFormat="1">
      <c r="A33" s="273"/>
      <c r="B33" s="273"/>
      <c r="C33" s="273"/>
      <c r="D33" s="1853"/>
      <c r="E33" s="1853"/>
      <c r="F33" s="1853"/>
      <c r="G33" s="130"/>
    </row>
    <row r="34" spans="1:7" ht="14.25">
      <c r="A34" s="261"/>
      <c r="B34" s="261"/>
      <c r="D34" s="405"/>
    </row>
    <row r="35" spans="1:7" ht="14.45" customHeight="1">
      <c r="A35" s="261"/>
      <c r="B35" s="680" t="s">
        <v>318</v>
      </c>
      <c r="C35" s="555"/>
      <c r="D35" s="1853" t="s">
        <v>1250</v>
      </c>
      <c r="E35" s="1853"/>
      <c r="F35" s="1853"/>
    </row>
    <row r="36" spans="1:7" ht="14.25">
      <c r="A36" s="261"/>
      <c r="B36" s="261"/>
      <c r="C36" s="555"/>
      <c r="D36" s="1853"/>
      <c r="E36" s="1853"/>
      <c r="F36" s="1853"/>
    </row>
    <row r="37" spans="1:7" ht="14.25">
      <c r="A37" s="261"/>
      <c r="B37" s="261"/>
      <c r="C37" s="555"/>
      <c r="D37" s="1853"/>
      <c r="E37" s="1853"/>
      <c r="F37" s="1853"/>
    </row>
    <row r="38" spans="1:7" ht="14.25">
      <c r="A38" s="261"/>
      <c r="B38" s="261"/>
      <c r="C38" s="555"/>
      <c r="D38" s="12"/>
    </row>
    <row r="39" spans="1:7" s="683" customFormat="1" ht="14.25">
      <c r="A39" s="261"/>
      <c r="B39" s="680" t="s">
        <v>318</v>
      </c>
      <c r="C39" s="700"/>
      <c r="D39" s="1853" t="s">
        <v>1251</v>
      </c>
      <c r="E39" s="1853"/>
      <c r="F39" s="1853"/>
      <c r="G39" s="7"/>
    </row>
    <row r="40" spans="1:7" s="683" customFormat="1" ht="14.25">
      <c r="A40" s="261"/>
      <c r="B40" s="261"/>
      <c r="C40" s="700"/>
      <c r="D40" s="1853"/>
      <c r="E40" s="1853"/>
      <c r="F40" s="1853"/>
      <c r="G40" s="7"/>
    </row>
    <row r="41" spans="1:7" s="683" customFormat="1" ht="14.25">
      <c r="A41" s="261"/>
      <c r="B41" s="261"/>
      <c r="C41" s="700"/>
      <c r="D41" s="1853"/>
      <c r="E41" s="1853"/>
      <c r="F41" s="1853"/>
      <c r="G41" s="7"/>
    </row>
    <row r="42" spans="1:7" s="683" customFormat="1" ht="14.25">
      <c r="A42" s="261"/>
      <c r="B42" s="261"/>
      <c r="C42" s="700"/>
      <c r="D42" s="1853"/>
      <c r="E42" s="1853"/>
      <c r="F42" s="1853"/>
      <c r="G42" s="7"/>
    </row>
    <row r="43" spans="1:7" s="683" customFormat="1" ht="14.25">
      <c r="A43" s="261"/>
      <c r="B43" s="261"/>
      <c r="C43" s="700"/>
      <c r="D43" s="1853"/>
      <c r="E43" s="1853"/>
      <c r="F43" s="1853"/>
      <c r="G43" s="7"/>
    </row>
    <row r="44" spans="1:7" s="683" customFormat="1" ht="14.25">
      <c r="A44" s="261"/>
      <c r="B44" s="261"/>
      <c r="C44" s="700"/>
      <c r="D44" s="699"/>
      <c r="E44" s="699"/>
      <c r="F44" s="699"/>
      <c r="G44" s="7"/>
    </row>
    <row r="45" spans="1:7" ht="14.25">
      <c r="A45" s="261"/>
      <c r="B45" s="680" t="s">
        <v>318</v>
      </c>
      <c r="C45" s="555"/>
      <c r="D45" s="1853" t="s">
        <v>1252</v>
      </c>
      <c r="E45" s="1853"/>
      <c r="F45" s="1853"/>
    </row>
    <row r="46" spans="1:7" ht="14.25">
      <c r="A46" s="261"/>
      <c r="B46" s="261"/>
      <c r="C46" s="555"/>
      <c r="D46" s="1853"/>
      <c r="E46" s="1853"/>
      <c r="F46" s="1853"/>
    </row>
    <row r="47" spans="1:7" ht="14.25">
      <c r="A47" s="261"/>
      <c r="B47" s="261"/>
      <c r="C47" s="555"/>
      <c r="D47" s="1853"/>
      <c r="E47" s="1853"/>
      <c r="F47" s="1853"/>
    </row>
    <row r="48" spans="1:7" ht="23.25" customHeight="1">
      <c r="A48" s="261"/>
      <c r="B48" s="261"/>
      <c r="C48" s="555"/>
      <c r="D48" s="1853"/>
      <c r="E48" s="1853"/>
      <c r="F48" s="1853"/>
    </row>
    <row r="49" spans="1:7" ht="14.25">
      <c r="A49" s="261"/>
      <c r="B49" s="261"/>
      <c r="D49" s="151"/>
    </row>
    <row r="50" spans="1:7" ht="14.45" customHeight="1">
      <c r="A50" s="261"/>
      <c r="B50" s="680" t="s">
        <v>318</v>
      </c>
      <c r="D50" s="1853" t="s">
        <v>1253</v>
      </c>
      <c r="E50" s="1853"/>
      <c r="F50" s="1853"/>
    </row>
    <row r="51" spans="1:7" ht="14.25">
      <c r="A51" s="261"/>
      <c r="B51" s="261"/>
      <c r="D51" s="1853"/>
      <c r="E51" s="1853"/>
      <c r="F51" s="1853"/>
    </row>
    <row r="52" spans="1:7" ht="14.25">
      <c r="A52" s="261"/>
      <c r="B52" s="261"/>
      <c r="D52" s="1853"/>
      <c r="E52" s="1853"/>
      <c r="F52" s="1853"/>
    </row>
    <row r="53" spans="1:7" s="2" customFormat="1" ht="14.25">
      <c r="A53" s="261"/>
      <c r="B53" s="261"/>
      <c r="C53" s="557"/>
      <c r="D53" s="239"/>
      <c r="E53" s="22"/>
      <c r="F53" s="22"/>
      <c r="G53" s="22"/>
    </row>
    <row r="54" spans="1:7" s="2" customFormat="1" ht="14.25">
      <c r="A54" s="404"/>
      <c r="B54" s="680" t="s">
        <v>318</v>
      </c>
      <c r="C54" s="558"/>
      <c r="D54" s="1853" t="s">
        <v>1254</v>
      </c>
      <c r="E54" s="1853"/>
      <c r="F54" s="1853"/>
      <c r="G54" s="22"/>
    </row>
    <row r="55" spans="1:7" s="2" customFormat="1" ht="14.25">
      <c r="A55" s="404"/>
      <c r="B55" s="404"/>
      <c r="C55" s="558"/>
      <c r="D55" s="1853"/>
      <c r="E55" s="1853"/>
      <c r="F55" s="1853"/>
      <c r="G55" s="22"/>
    </row>
    <row r="56" spans="1:7" s="39" customFormat="1">
      <c r="A56" s="273"/>
      <c r="B56" s="273"/>
      <c r="C56" s="273"/>
      <c r="D56" s="444"/>
      <c r="E56" s="130"/>
      <c r="F56" s="130"/>
      <c r="G56" s="130"/>
    </row>
    <row r="57" spans="1:7" ht="14.25">
      <c r="A57" s="261"/>
      <c r="B57" s="680" t="s">
        <v>318</v>
      </c>
      <c r="D57" s="1853" t="s">
        <v>1255</v>
      </c>
      <c r="E57" s="1853"/>
      <c r="F57" s="1853"/>
    </row>
    <row r="58" spans="1:7">
      <c r="D58" s="1853"/>
      <c r="E58" s="1853"/>
      <c r="F58" s="1853"/>
    </row>
    <row r="59" spans="1:7">
      <c r="D59" s="1853"/>
      <c r="E59" s="1853"/>
      <c r="F59" s="1853"/>
    </row>
    <row r="60" spans="1:7" s="683" customFormat="1">
      <c r="A60" s="700"/>
      <c r="B60" s="700"/>
      <c r="C60" s="700"/>
      <c r="D60" s="679"/>
      <c r="E60" s="7"/>
      <c r="F60" s="7"/>
      <c r="G60" s="7"/>
    </row>
    <row r="61" spans="1:7" ht="14.25">
      <c r="A61" s="261"/>
      <c r="B61" s="680" t="s">
        <v>318</v>
      </c>
      <c r="D61" s="1853" t="s">
        <v>1256</v>
      </c>
      <c r="E61" s="1853"/>
      <c r="F61" s="1853"/>
    </row>
    <row r="62" spans="1:7">
      <c r="D62" s="1853"/>
      <c r="E62" s="1853"/>
      <c r="F62" s="1853"/>
    </row>
    <row r="63" spans="1:7"/>
    <row r="64" spans="1:7" ht="14.25">
      <c r="A64" s="261"/>
      <c r="B64" s="680" t="s">
        <v>318</v>
      </c>
      <c r="D64" s="1853" t="s">
        <v>1257</v>
      </c>
      <c r="E64" s="1853"/>
      <c r="F64" s="1853"/>
    </row>
    <row r="65" spans="1:7">
      <c r="D65" s="1853"/>
      <c r="E65" s="1853"/>
      <c r="F65" s="1853"/>
    </row>
    <row r="66" spans="1:7">
      <c r="A66" s="556"/>
      <c r="C66" s="556"/>
      <c r="D66" s="1853"/>
      <c r="E66" s="1853"/>
      <c r="F66" s="1853"/>
    </row>
    <row r="67" spans="1:7">
      <c r="D67" s="12"/>
    </row>
    <row r="68" spans="1:7" ht="14.25">
      <c r="A68" s="261"/>
      <c r="B68" s="680" t="s">
        <v>318</v>
      </c>
      <c r="D68" s="1852" t="s">
        <v>1258</v>
      </c>
      <c r="E68" s="1852"/>
      <c r="F68" s="1852"/>
    </row>
    <row r="69" spans="1:7">
      <c r="D69" s="1852"/>
      <c r="E69" s="1852"/>
      <c r="F69" s="1852"/>
    </row>
    <row r="70" spans="1:7" ht="14.25">
      <c r="A70" s="261"/>
      <c r="B70" s="261"/>
      <c r="D70" s="135"/>
    </row>
    <row r="71" spans="1:7">
      <c r="A71" s="1872" t="s">
        <v>1165</v>
      </c>
      <c r="B71" s="1872"/>
      <c r="C71" s="1872"/>
      <c r="D71" s="1872"/>
      <c r="E71" s="1872"/>
      <c r="F71" s="1872"/>
      <c r="G71" s="1872"/>
    </row>
    <row r="72" spans="1:7"/>
    <row r="73" spans="1:7">
      <c r="C73" s="262"/>
      <c r="D73" s="1901" t="s">
        <v>1263</v>
      </c>
      <c r="E73" s="1901"/>
      <c r="F73" s="1901"/>
    </row>
    <row r="74" spans="1:7">
      <c r="A74" s="135"/>
      <c r="B74" s="135"/>
      <c r="D74" s="1852" t="s">
        <v>1290</v>
      </c>
      <c r="E74" s="1852"/>
      <c r="F74" s="1852"/>
    </row>
    <row r="75" spans="1:7">
      <c r="A75" s="135"/>
      <c r="B75" s="135"/>
    </row>
    <row r="76" spans="1:7" ht="14.25">
      <c r="A76" s="261"/>
      <c r="B76" s="680" t="s">
        <v>318</v>
      </c>
      <c r="D76" s="1852" t="s">
        <v>1264</v>
      </c>
      <c r="E76" s="1852"/>
      <c r="F76" s="1852"/>
    </row>
    <row r="77" spans="1:7" ht="14.25">
      <c r="A77" s="261"/>
      <c r="B77" s="261"/>
      <c r="D77" s="1852"/>
      <c r="E77" s="1852"/>
      <c r="F77" s="1852"/>
    </row>
    <row r="78" spans="1:7" ht="14.25">
      <c r="A78" s="261"/>
      <c r="B78" s="261"/>
      <c r="D78" s="1852"/>
      <c r="E78" s="1852"/>
      <c r="F78" s="1852"/>
    </row>
    <row r="79" spans="1:7" ht="14.25">
      <c r="A79" s="261"/>
      <c r="B79" s="261"/>
      <c r="D79" s="1852"/>
      <c r="E79" s="1852"/>
      <c r="F79" s="1852"/>
    </row>
    <row r="80" spans="1:7" ht="14.25">
      <c r="A80" s="261"/>
      <c r="B80" s="261"/>
      <c r="D80" s="1852"/>
      <c r="E80" s="1852"/>
      <c r="F80" s="1852"/>
    </row>
    <row r="81" spans="1:7" ht="14.25">
      <c r="A81" s="261"/>
      <c r="B81" s="261"/>
      <c r="D81" s="1852"/>
      <c r="E81" s="1852"/>
      <c r="F81" s="1852"/>
    </row>
    <row r="82" spans="1:7" s="707" customFormat="1" ht="14.25">
      <c r="A82" s="708"/>
      <c r="B82" s="708"/>
      <c r="C82" s="706"/>
      <c r="D82" s="710"/>
      <c r="E82" s="710"/>
      <c r="F82" s="710"/>
      <c r="G82" s="7"/>
    </row>
    <row r="83" spans="1:7" s="707" customFormat="1" ht="14.45" customHeight="1">
      <c r="A83" s="708"/>
      <c r="B83" s="713" t="s">
        <v>318</v>
      </c>
      <c r="C83" s="706"/>
      <c r="D83" s="1881" t="s">
        <v>1363</v>
      </c>
      <c r="E83" s="1881"/>
      <c r="F83" s="1881"/>
      <c r="G83" s="7"/>
    </row>
    <row r="84" spans="1:7" s="707" customFormat="1" ht="14.25">
      <c r="A84" s="708"/>
      <c r="B84" s="708"/>
      <c r="C84" s="706"/>
      <c r="D84" s="1881"/>
      <c r="E84" s="1881"/>
      <c r="F84" s="1881"/>
      <c r="G84" s="7"/>
    </row>
    <row r="85" spans="1:7" s="707" customFormat="1" ht="14.25">
      <c r="A85" s="708"/>
      <c r="B85" s="708"/>
      <c r="C85" s="706"/>
      <c r="D85" s="1881"/>
      <c r="E85" s="1881"/>
      <c r="F85" s="1881"/>
      <c r="G85" s="7"/>
    </row>
    <row r="86" spans="1:7" s="707" customFormat="1" ht="14.25">
      <c r="A86" s="708"/>
      <c r="B86" s="708"/>
      <c r="C86" s="706"/>
      <c r="D86" s="1881"/>
      <c r="E86" s="1881"/>
      <c r="F86" s="1881"/>
      <c r="G86" s="7"/>
    </row>
    <row r="87" spans="1:7" s="707" customFormat="1" ht="14.25">
      <c r="A87" s="708"/>
      <c r="B87" s="708"/>
      <c r="C87" s="706"/>
      <c r="D87" s="1881"/>
      <c r="E87" s="1881"/>
      <c r="F87" s="1881"/>
      <c r="G87" s="7"/>
    </row>
    <row r="88" spans="1:7" s="720" customFormat="1" ht="14.25">
      <c r="A88" s="715"/>
      <c r="B88" s="715"/>
      <c r="C88" s="746"/>
      <c r="D88" s="1881"/>
      <c r="E88" s="1881"/>
      <c r="F88" s="1881"/>
      <c r="G88" s="7"/>
    </row>
    <row r="89" spans="1:7" s="720" customFormat="1" ht="14.25">
      <c r="A89" s="715"/>
      <c r="B89" s="715"/>
      <c r="C89" s="746"/>
      <c r="D89" s="1881"/>
      <c r="E89" s="1881"/>
      <c r="F89" s="1881"/>
      <c r="G89" s="7"/>
    </row>
    <row r="90" spans="1:7" s="720" customFormat="1" ht="14.25">
      <c r="A90" s="715"/>
      <c r="B90" s="715"/>
      <c r="C90" s="746"/>
      <c r="D90" s="1881"/>
      <c r="E90" s="1881"/>
      <c r="F90" s="1881"/>
      <c r="G90" s="7"/>
    </row>
    <row r="91" spans="1:7" ht="14.25">
      <c r="A91" s="261"/>
      <c r="B91" s="261"/>
      <c r="D91" s="1881"/>
      <c r="E91" s="1881"/>
      <c r="F91" s="1881"/>
    </row>
    <row r="92" spans="1:7" ht="14.25">
      <c r="A92" s="261"/>
      <c r="B92" s="261"/>
      <c r="D92" s="1881"/>
      <c r="E92" s="1881"/>
      <c r="F92" s="1881"/>
    </row>
    <row r="93" spans="1:7" ht="14.25">
      <c r="A93" s="261"/>
      <c r="B93" s="261"/>
      <c r="D93" s="1881"/>
      <c r="E93" s="1881"/>
      <c r="F93" s="1881"/>
    </row>
    <row r="94" spans="1:7" ht="14.25">
      <c r="A94" s="261"/>
      <c r="B94" s="261"/>
      <c r="D94" s="1881"/>
      <c r="E94" s="1881"/>
      <c r="F94" s="1881"/>
    </row>
    <row r="95" spans="1:7" ht="14.25">
      <c r="A95" s="261"/>
      <c r="B95" s="261"/>
      <c r="D95" s="1881"/>
      <c r="E95" s="1881"/>
      <c r="F95" s="1881"/>
    </row>
    <row r="96" spans="1:7" ht="14.25">
      <c r="A96" s="261"/>
      <c r="B96" s="261"/>
      <c r="D96" s="1881"/>
      <c r="E96" s="1881"/>
      <c r="F96" s="1881"/>
    </row>
    <row r="97" spans="1:11" s="711" customFormat="1" ht="14.25">
      <c r="A97" s="712"/>
      <c r="B97" s="716" t="s">
        <v>318</v>
      </c>
      <c r="C97" s="706"/>
      <c r="D97" s="1852" t="s">
        <v>1265</v>
      </c>
      <c r="E97" s="1852"/>
      <c r="F97" s="1852"/>
      <c r="G97" s="7"/>
    </row>
    <row r="98" spans="1:11" s="711" customFormat="1" ht="14.25">
      <c r="A98" s="712"/>
      <c r="B98" s="712"/>
      <c r="C98" s="706"/>
      <c r="D98" s="1852"/>
      <c r="E98" s="1852"/>
      <c r="F98" s="1852"/>
      <c r="G98" s="7"/>
    </row>
    <row r="99" spans="1:11" s="711" customFormat="1" ht="14.25">
      <c r="A99" s="712"/>
      <c r="B99" s="712"/>
      <c r="C99" s="706"/>
      <c r="D99" s="1852"/>
      <c r="E99" s="1852"/>
      <c r="F99" s="1852"/>
      <c r="G99" s="7"/>
    </row>
    <row r="100" spans="1:11" s="711" customFormat="1" ht="14.25">
      <c r="A100" s="712"/>
      <c r="B100" s="712"/>
      <c r="C100" s="706"/>
      <c r="D100" s="1852"/>
      <c r="E100" s="1852"/>
      <c r="F100" s="1852"/>
      <c r="G100" s="7"/>
    </row>
    <row r="101" spans="1:11" s="711" customFormat="1" ht="14.25">
      <c r="A101" s="712"/>
      <c r="B101" s="712"/>
      <c r="C101" s="706"/>
      <c r="D101" s="1852"/>
      <c r="E101" s="1852"/>
      <c r="F101" s="1852"/>
      <c r="G101" s="7"/>
    </row>
    <row r="102" spans="1:11" s="711" customFormat="1" ht="14.25">
      <c r="A102" s="712"/>
      <c r="B102" s="712"/>
      <c r="C102" s="706"/>
      <c r="D102" s="1852"/>
      <c r="E102" s="1852"/>
      <c r="F102" s="1852"/>
      <c r="G102" s="7"/>
    </row>
    <row r="103" spans="1:11" s="711" customFormat="1" ht="14.25">
      <c r="A103" s="712"/>
      <c r="B103" s="712"/>
      <c r="C103" s="706"/>
      <c r="D103" s="1852"/>
      <c r="E103" s="1852"/>
      <c r="F103" s="1852"/>
      <c r="G103" s="7"/>
    </row>
    <row r="104" spans="1:11" s="711" customFormat="1" ht="14.25">
      <c r="A104" s="712"/>
      <c r="B104" s="712"/>
      <c r="C104" s="706"/>
      <c r="D104" s="1852"/>
      <c r="E104" s="1852"/>
      <c r="F104" s="1852"/>
      <c r="G104" s="7"/>
    </row>
    <row r="105" spans="1:11" s="714" customFormat="1" ht="14.25">
      <c r="A105" s="715"/>
      <c r="B105" s="715"/>
      <c r="C105" s="706"/>
      <c r="D105" s="717"/>
      <c r="E105" s="717"/>
      <c r="F105" s="717"/>
      <c r="G105" s="7"/>
    </row>
    <row r="106" spans="1:11" ht="14.25">
      <c r="A106" s="404"/>
      <c r="B106" s="709" t="s">
        <v>318</v>
      </c>
      <c r="C106" s="470"/>
      <c r="D106" s="1909" t="s">
        <v>1266</v>
      </c>
      <c r="E106" s="1909"/>
      <c r="F106" s="1909"/>
      <c r="G106" s="471"/>
      <c r="H106" s="469"/>
      <c r="I106" s="469"/>
      <c r="J106" s="469"/>
      <c r="K106" s="469"/>
    </row>
    <row r="107" spans="1:11" ht="14.25">
      <c r="A107" s="261"/>
      <c r="B107" s="261"/>
      <c r="C107" s="316"/>
      <c r="D107" s="1909"/>
      <c r="E107" s="1909"/>
      <c r="F107" s="1909"/>
      <c r="G107" s="471"/>
      <c r="H107" s="469"/>
      <c r="I107" s="469"/>
      <c r="J107" s="469"/>
      <c r="K107" s="469"/>
    </row>
    <row r="108" spans="1:11" ht="14.25">
      <c r="A108" s="261"/>
      <c r="B108" s="261"/>
      <c r="C108" s="316"/>
      <c r="D108" s="1909"/>
      <c r="E108" s="1909"/>
      <c r="F108" s="1909"/>
      <c r="G108" s="471"/>
      <c r="H108" s="469"/>
      <c r="I108" s="469"/>
      <c r="J108" s="469"/>
      <c r="K108" s="469"/>
    </row>
    <row r="109" spans="1:11" ht="14.25">
      <c r="A109" s="261"/>
      <c r="B109" s="261"/>
      <c r="C109" s="316"/>
      <c r="D109" s="1909"/>
      <c r="E109" s="1909"/>
      <c r="F109" s="1909"/>
      <c r="G109" s="471"/>
      <c r="H109" s="469"/>
      <c r="I109" s="469"/>
      <c r="J109" s="469"/>
      <c r="K109" s="469"/>
    </row>
    <row r="110" spans="1:11" ht="14.25">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8"/>
      <c r="E113"/>
      <c r="F113"/>
      <c r="G113"/>
      <c r="H113"/>
      <c r="I113"/>
      <c r="J113"/>
      <c r="K113"/>
    </row>
    <row r="114" spans="1:11" ht="14.25">
      <c r="A114" s="261"/>
      <c r="B114" s="680" t="s">
        <v>318</v>
      </c>
      <c r="C114"/>
      <c r="D114" s="1910" t="s">
        <v>1267</v>
      </c>
      <c r="E114" s="1910"/>
      <c r="F114" s="1910"/>
      <c r="G114"/>
      <c r="H114"/>
      <c r="I114"/>
      <c r="J114"/>
      <c r="K114"/>
    </row>
    <row r="115" spans="1:11" ht="14.25">
      <c r="A115" s="261"/>
      <c r="B115" s="261"/>
      <c r="C115"/>
      <c r="D115" s="1910"/>
      <c r="E115" s="1910"/>
      <c r="F115" s="1910"/>
      <c r="G115"/>
      <c r="H115"/>
      <c r="I115"/>
      <c r="J115"/>
      <c r="K115"/>
    </row>
    <row r="116" spans="1:11"/>
    <row r="117" spans="1:11" ht="14.25">
      <c r="A117" s="261"/>
      <c r="B117" s="680" t="s">
        <v>318</v>
      </c>
      <c r="C117" s="10"/>
      <c r="D117" s="1852" t="s">
        <v>1268</v>
      </c>
      <c r="E117" s="1852"/>
      <c r="F117" s="1852"/>
    </row>
    <row r="118" spans="1:11">
      <c r="C118" s="10"/>
      <c r="D118" s="1852"/>
      <c r="E118" s="1852"/>
      <c r="F118" s="1852"/>
    </row>
    <row r="119" spans="1:11">
      <c r="C119" s="10"/>
      <c r="D119" s="1852"/>
      <c r="E119" s="1852"/>
      <c r="F119" s="1852"/>
    </row>
    <row r="120" spans="1:11">
      <c r="C120" s="10"/>
      <c r="D120" s="1852"/>
      <c r="E120" s="1852"/>
      <c r="F120" s="1852"/>
    </row>
    <row r="121" spans="1:11">
      <c r="C121" s="10"/>
      <c r="D121" s="1852"/>
      <c r="E121" s="1852"/>
      <c r="F121" s="1852"/>
    </row>
    <row r="122" spans="1:11">
      <c r="C122" s="10"/>
      <c r="D122" s="149"/>
      <c r="E122" s="149"/>
      <c r="F122" s="149"/>
    </row>
    <row r="123" spans="1:11" customFormat="1" ht="14.25">
      <c r="A123" s="261"/>
      <c r="B123" s="680" t="s">
        <v>318</v>
      </c>
      <c r="C123" s="10"/>
      <c r="D123" s="1853" t="s">
        <v>1269</v>
      </c>
      <c r="E123" s="1853"/>
      <c r="F123" s="1853"/>
      <c r="G123" s="149"/>
    </row>
    <row r="124" spans="1:11" s="297" customFormat="1" ht="13.7" customHeight="1">
      <c r="A124" s="294"/>
      <c r="B124" s="294"/>
      <c r="C124" s="295"/>
      <c r="D124" s="1853"/>
      <c r="E124" s="1853"/>
      <c r="F124" s="1853"/>
      <c r="G124" s="296"/>
    </row>
    <row r="125" spans="1:11" customFormat="1" ht="13.7" customHeight="1">
      <c r="A125" s="132"/>
      <c r="B125" s="677"/>
      <c r="C125" s="10"/>
      <c r="D125" s="1853"/>
      <c r="E125" s="1853"/>
      <c r="F125" s="1853"/>
      <c r="G125" s="149"/>
    </row>
    <row r="126" spans="1:11" customFormat="1" ht="13.7" customHeight="1">
      <c r="A126" s="132"/>
      <c r="B126" s="677"/>
      <c r="C126" s="10"/>
      <c r="D126" s="1853"/>
      <c r="E126" s="1853"/>
      <c r="F126" s="1853"/>
      <c r="G126" s="149"/>
    </row>
    <row r="127" spans="1:11" customFormat="1" ht="13.7" customHeight="1">
      <c r="A127" s="132"/>
      <c r="B127" s="677"/>
      <c r="C127" s="10"/>
      <c r="D127" s="1853"/>
      <c r="E127" s="1853"/>
      <c r="F127" s="1853"/>
      <c r="G127" s="149"/>
    </row>
    <row r="128" spans="1:11" customFormat="1" ht="13.7" customHeight="1">
      <c r="A128" s="379"/>
      <c r="B128" s="379"/>
      <c r="C128" s="10"/>
      <c r="D128" s="1853"/>
      <c r="E128" s="1853"/>
      <c r="F128" s="1853"/>
      <c r="G128" s="149"/>
    </row>
    <row r="129" spans="1:7" s="2" customFormat="1" ht="13.7" customHeight="1">
      <c r="A129" s="273"/>
      <c r="B129" s="273"/>
      <c r="C129" s="443"/>
      <c r="D129" s="1853"/>
      <c r="E129" s="1853"/>
      <c r="F129" s="1853"/>
      <c r="G129" s="182"/>
    </row>
    <row r="130" spans="1:7" s="2" customFormat="1" ht="13.7" customHeight="1">
      <c r="A130" s="273"/>
      <c r="B130" s="273"/>
      <c r="C130" s="443"/>
      <c r="D130" s="1853"/>
      <c r="E130" s="1853"/>
      <c r="F130" s="1853"/>
      <c r="G130" s="182"/>
    </row>
    <row r="131" spans="1:7" customFormat="1" ht="13.7" customHeight="1">
      <c r="A131" s="132"/>
      <c r="B131" s="677"/>
      <c r="C131" s="10"/>
      <c r="D131" s="1853"/>
      <c r="E131" s="1853"/>
      <c r="F131" s="1853"/>
      <c r="G131" s="149"/>
    </row>
    <row r="132" spans="1:7" customFormat="1" ht="13.7" customHeight="1">
      <c r="A132" s="132"/>
      <c r="B132" s="677"/>
      <c r="C132" s="10"/>
      <c r="D132" s="1853"/>
      <c r="E132" s="1853"/>
      <c r="F132" s="1853"/>
      <c r="G132" s="149"/>
    </row>
    <row r="133" spans="1:7" customFormat="1" ht="13.7" customHeight="1">
      <c r="A133" s="132"/>
      <c r="B133" s="677"/>
      <c r="C133" s="10"/>
      <c r="D133" s="1853"/>
      <c r="E133" s="1853"/>
      <c r="F133" s="1853"/>
      <c r="G133" s="149"/>
    </row>
    <row r="134" spans="1:7" customFormat="1" ht="13.7" customHeight="1">
      <c r="A134" s="132"/>
      <c r="B134" s="677"/>
      <c r="C134" s="10"/>
      <c r="D134" s="1853"/>
      <c r="E134" s="1853"/>
      <c r="F134" s="1853"/>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2" t="s">
        <v>1377</v>
      </c>
      <c r="E136" s="1852"/>
      <c r="F136" s="1852"/>
      <c r="G136" s="149"/>
    </row>
    <row r="137" spans="1:7" s="718" customFormat="1" ht="13.7" customHeight="1">
      <c r="A137" s="706"/>
      <c r="B137" s="706"/>
      <c r="C137" s="10"/>
      <c r="D137" s="1852"/>
      <c r="E137" s="1852"/>
      <c r="F137" s="1852"/>
      <c r="G137" s="149"/>
    </row>
    <row r="138" spans="1:7" s="718" customFormat="1" ht="13.7" customHeight="1">
      <c r="A138" s="706"/>
      <c r="B138" s="706"/>
      <c r="C138" s="10"/>
      <c r="D138" s="1852"/>
      <c r="E138" s="1852"/>
      <c r="F138" s="1852"/>
      <c r="G138" s="149"/>
    </row>
    <row r="139" spans="1:7" s="718" customFormat="1" ht="13.7" customHeight="1">
      <c r="A139" s="706"/>
      <c r="B139" s="706"/>
      <c r="C139" s="10"/>
      <c r="D139" s="1852"/>
      <c r="E139" s="1852"/>
      <c r="F139" s="1852"/>
      <c r="G139" s="149"/>
    </row>
    <row r="140" spans="1:7" s="718" customFormat="1" ht="13.7" customHeight="1">
      <c r="A140" s="706"/>
      <c r="B140" s="706"/>
      <c r="C140" s="10"/>
      <c r="D140" s="1852"/>
      <c r="E140" s="1852"/>
      <c r="F140" s="1852"/>
      <c r="G140" s="149"/>
    </row>
    <row r="141" spans="1:7" s="718" customFormat="1" ht="13.7" customHeight="1">
      <c r="A141" s="706"/>
      <c r="B141" s="706"/>
      <c r="C141" s="10"/>
      <c r="D141" s="1852"/>
      <c r="E141" s="1852"/>
      <c r="F141" s="1852"/>
      <c r="G141" s="149"/>
    </row>
    <row r="142" spans="1:7" s="718" customFormat="1" ht="13.7" customHeight="1">
      <c r="A142" s="706"/>
      <c r="B142" s="706"/>
      <c r="C142" s="10"/>
      <c r="D142" s="1852"/>
      <c r="E142" s="1852"/>
      <c r="F142" s="1852"/>
      <c r="G142" s="149"/>
    </row>
    <row r="143" spans="1:7" s="718" customFormat="1" ht="13.7" customHeight="1">
      <c r="A143" s="706"/>
      <c r="B143" s="706"/>
      <c r="C143" s="10"/>
      <c r="D143" s="1852"/>
      <c r="E143" s="1852"/>
      <c r="F143" s="1852"/>
      <c r="G143" s="149"/>
    </row>
    <row r="144" spans="1:7" s="718" customFormat="1" ht="13.7" customHeight="1">
      <c r="A144" s="706"/>
      <c r="B144" s="706"/>
      <c r="C144" s="10"/>
      <c r="D144" s="1852"/>
      <c r="E144" s="1852"/>
      <c r="F144" s="1852"/>
      <c r="G144" s="149"/>
    </row>
    <row r="145" spans="1:7" s="718" customFormat="1" ht="13.7" customHeight="1">
      <c r="A145" s="706"/>
      <c r="B145" s="706"/>
      <c r="C145" s="10"/>
      <c r="D145" s="1852"/>
      <c r="E145" s="1852"/>
      <c r="F145" s="1852"/>
      <c r="G145" s="149"/>
    </row>
    <row r="146" spans="1:7" s="718" customFormat="1" ht="13.7" customHeight="1">
      <c r="A146" s="748"/>
      <c r="B146" s="748"/>
      <c r="C146" s="10"/>
      <c r="D146" s="1852"/>
      <c r="E146" s="1852"/>
      <c r="F146" s="1852"/>
      <c r="G146" s="149"/>
    </row>
    <row r="147" spans="1:7" s="718" customFormat="1" ht="13.7" customHeight="1">
      <c r="A147" s="748"/>
      <c r="B147" s="748"/>
      <c r="C147" s="10"/>
      <c r="D147" s="1852"/>
      <c r="E147" s="1852"/>
      <c r="F147" s="1852"/>
      <c r="G147" s="149"/>
    </row>
    <row r="148" spans="1:7" s="718" customFormat="1" ht="13.7" customHeight="1">
      <c r="A148" s="706"/>
      <c r="B148" s="706"/>
      <c r="C148" s="10"/>
      <c r="D148" s="1852"/>
      <c r="E148" s="1852"/>
      <c r="F148" s="1852"/>
      <c r="G148" s="149"/>
    </row>
    <row r="149" spans="1:7" s="718" customFormat="1" ht="13.7" customHeight="1">
      <c r="A149" s="706"/>
      <c r="B149" s="706"/>
      <c r="C149" s="10"/>
      <c r="D149" s="1852"/>
      <c r="E149" s="1852"/>
      <c r="F149" s="1852"/>
      <c r="G149" s="149"/>
    </row>
    <row r="150" spans="1:7" s="718" customFormat="1" ht="13.7" customHeight="1">
      <c r="A150" s="706"/>
      <c r="B150" s="706"/>
      <c r="C150" s="10"/>
      <c r="D150" s="1852"/>
      <c r="E150" s="1852"/>
      <c r="F150" s="1852"/>
      <c r="G150" s="149"/>
    </row>
    <row r="151" spans="1:7" s="718" customFormat="1" ht="13.7" customHeight="1">
      <c r="A151" s="706"/>
      <c r="B151" s="706"/>
      <c r="C151" s="10"/>
      <c r="D151" s="1852"/>
      <c r="E151" s="1852"/>
      <c r="F151" s="1852"/>
      <c r="G151" s="149"/>
    </row>
    <row r="152" spans="1:7" s="718" customFormat="1" ht="13.7" customHeight="1">
      <c r="A152" s="706"/>
      <c r="B152" s="706"/>
      <c r="C152" s="10"/>
      <c r="D152" s="1852"/>
      <c r="E152" s="1852"/>
      <c r="F152" s="1852"/>
      <c r="G152" s="149"/>
    </row>
    <row r="153" spans="1:7" s="718" customFormat="1" ht="13.7" customHeight="1">
      <c r="A153" s="706"/>
      <c r="B153" s="706"/>
      <c r="C153" s="10"/>
      <c r="D153" s="1852"/>
      <c r="E153" s="1852"/>
      <c r="F153" s="1852"/>
      <c r="G153" s="149"/>
    </row>
    <row r="154" spans="1:7" s="718" customFormat="1" ht="13.7" customHeight="1">
      <c r="A154" s="706"/>
      <c r="B154" s="706"/>
      <c r="C154" s="10"/>
      <c r="D154" s="1852"/>
      <c r="E154" s="1852"/>
      <c r="F154" s="1852"/>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4" t="s">
        <v>1270</v>
      </c>
      <c r="E156" s="1864"/>
      <c r="F156" s="1864"/>
      <c r="G156" s="445"/>
    </row>
    <row r="157" spans="1:7" customFormat="1" ht="13.7" customHeight="1">
      <c r="A157" s="379"/>
      <c r="B157" s="379"/>
      <c r="C157" s="326"/>
      <c r="D157" s="1864"/>
      <c r="E157" s="1864"/>
      <c r="F157" s="1864"/>
      <c r="G157" s="445"/>
    </row>
    <row r="158" spans="1:7" customFormat="1" ht="13.7" customHeight="1">
      <c r="A158" s="379"/>
      <c r="B158" s="379"/>
      <c r="C158" s="326"/>
      <c r="D158" s="328"/>
      <c r="E158" s="326"/>
      <c r="F158" s="326"/>
      <c r="G158" s="445"/>
    </row>
    <row r="159" spans="1:7" customFormat="1" ht="13.7" customHeight="1">
      <c r="A159" s="379"/>
      <c r="B159" s="680" t="s">
        <v>318</v>
      </c>
      <c r="C159" s="326"/>
      <c r="D159" s="1860" t="s">
        <v>1271</v>
      </c>
      <c r="E159" s="1860"/>
      <c r="F159" s="1860"/>
      <c r="G159" s="445"/>
    </row>
    <row r="160" spans="1:7" customFormat="1" ht="13.7" customHeight="1">
      <c r="A160" s="379"/>
      <c r="B160" s="379"/>
      <c r="C160" s="326"/>
      <c r="D160" s="1860"/>
      <c r="E160" s="1860"/>
      <c r="F160" s="1860"/>
      <c r="G160" s="445"/>
    </row>
    <row r="161" spans="1:7" customFormat="1" ht="13.7" customHeight="1">
      <c r="A161" s="379"/>
      <c r="B161" s="379"/>
      <c r="C161" s="326"/>
      <c r="D161" s="1860"/>
      <c r="E161" s="1860"/>
      <c r="F161" s="1860"/>
      <c r="G161" s="445"/>
    </row>
    <row r="162" spans="1:7" customFormat="1" ht="13.7" customHeight="1">
      <c r="A162" s="379"/>
      <c r="B162" s="379"/>
      <c r="C162" s="326"/>
      <c r="D162" s="1860"/>
      <c r="E162" s="1860"/>
      <c r="F162" s="1860"/>
      <c r="G162" s="445"/>
    </row>
    <row r="163" spans="1:7" customFormat="1" ht="13.7" customHeight="1">
      <c r="A163" s="132"/>
      <c r="B163" s="677"/>
      <c r="C163" s="10"/>
      <c r="D163" s="151"/>
      <c r="E163" s="151"/>
      <c r="F163" s="151"/>
      <c r="G163" s="149"/>
    </row>
    <row r="164" spans="1:7" customFormat="1" ht="13.7" customHeight="1">
      <c r="A164" s="132"/>
      <c r="B164" s="680" t="s">
        <v>318</v>
      </c>
      <c r="C164" s="10"/>
      <c r="D164" s="1895" t="s">
        <v>1272</v>
      </c>
      <c r="E164" s="1895"/>
      <c r="F164" s="1895"/>
      <c r="G164" s="149"/>
    </row>
    <row r="165" spans="1:7" customFormat="1" ht="13.7" customHeight="1">
      <c r="A165" s="132"/>
      <c r="B165" s="677"/>
      <c r="C165" s="10"/>
      <c r="D165" s="1895"/>
      <c r="E165" s="1895"/>
      <c r="F165" s="1895"/>
      <c r="G165" s="149"/>
    </row>
    <row r="166" spans="1:7" customFormat="1" ht="13.7" customHeight="1">
      <c r="A166" s="132"/>
      <c r="B166" s="677"/>
      <c r="C166" s="10"/>
      <c r="D166" s="1895"/>
      <c r="E166" s="1895"/>
      <c r="F166" s="1895"/>
      <c r="G166" s="149"/>
    </row>
    <row r="167" spans="1:7" customFormat="1" ht="13.7" customHeight="1">
      <c r="A167" s="23"/>
      <c r="B167" s="676"/>
      <c r="C167" s="10"/>
      <c r="D167" s="7"/>
      <c r="E167" s="151"/>
      <c r="F167" s="151"/>
      <c r="G167" s="149"/>
    </row>
    <row r="168" spans="1:7">
      <c r="A168" s="1872" t="s">
        <v>1166</v>
      </c>
      <c r="B168" s="1872"/>
      <c r="C168" s="1872"/>
      <c r="D168" s="1872"/>
      <c r="E168" s="1872"/>
      <c r="F168" s="1872"/>
      <c r="G168" s="1872"/>
    </row>
    <row r="169" spans="1:7" ht="12" customHeight="1">
      <c r="D169" s="135"/>
      <c r="E169" s="135"/>
      <c r="F169" s="135"/>
    </row>
    <row r="170" spans="1:7">
      <c r="B170" s="1900" t="s">
        <v>472</v>
      </c>
      <c r="C170" s="1900"/>
      <c r="D170" s="1900"/>
      <c r="E170" s="1900"/>
      <c r="F170" s="1900"/>
    </row>
    <row r="171" spans="1:7" ht="12" customHeight="1">
      <c r="A171" s="255"/>
      <c r="B171" s="674"/>
      <c r="C171" s="255"/>
    </row>
    <row r="172" spans="1:7">
      <c r="A172" s="1872" t="s">
        <v>1167</v>
      </c>
      <c r="B172" s="1872"/>
      <c r="C172" s="1872"/>
      <c r="D172" s="1872"/>
      <c r="E172" s="1872"/>
      <c r="F172" s="1872"/>
      <c r="G172" s="1872"/>
    </row>
    <row r="173" spans="1:7" ht="12" customHeight="1">
      <c r="A173" s="264"/>
      <c r="B173" s="264"/>
      <c r="C173" s="265"/>
      <c r="D173" s="57"/>
      <c r="E173" s="49"/>
      <c r="F173" s="57"/>
      <c r="G173" s="57"/>
    </row>
    <row r="174" spans="1:7" ht="13.15" customHeight="1">
      <c r="A174" s="264"/>
      <c r="B174" s="264"/>
      <c r="C174" s="265"/>
      <c r="D174" s="1896" t="s">
        <v>1275</v>
      </c>
      <c r="E174" s="1896"/>
      <c r="F174" s="1896"/>
      <c r="G174" s="57"/>
    </row>
    <row r="175" spans="1:7">
      <c r="A175" s="264"/>
      <c r="B175" s="264"/>
      <c r="C175" s="265"/>
      <c r="D175" s="1896"/>
      <c r="E175" s="1896"/>
      <c r="F175" s="1896"/>
      <c r="G175" s="57"/>
    </row>
    <row r="176" spans="1:7" s="720" customFormat="1">
      <c r="A176" s="722"/>
      <c r="B176" s="722"/>
      <c r="C176" s="265"/>
      <c r="D176" s="1897" t="s">
        <v>1276</v>
      </c>
      <c r="E176" s="1897"/>
      <c r="F176" s="1897"/>
      <c r="G176" s="57"/>
    </row>
    <row r="177" spans="1:7" ht="12" customHeight="1">
      <c r="A177" s="264"/>
      <c r="B177" s="264"/>
      <c r="C177" s="265"/>
      <c r="D177" s="57"/>
      <c r="E177" s="49"/>
      <c r="F177" s="57"/>
      <c r="G177" s="57"/>
    </row>
    <row r="178" spans="1:7" ht="14.25">
      <c r="A178" s="261"/>
      <c r="B178" s="680" t="s">
        <v>318</v>
      </c>
      <c r="C178" s="265"/>
      <c r="D178" s="1890" t="s">
        <v>1274</v>
      </c>
      <c r="E178" s="1890"/>
      <c r="F178" s="1890"/>
      <c r="G178" s="57"/>
    </row>
    <row r="179" spans="1:7" ht="14.25">
      <c r="A179" s="261"/>
      <c r="B179" s="261"/>
      <c r="C179" s="265"/>
      <c r="D179" s="1890"/>
      <c r="E179" s="1890"/>
      <c r="F179" s="1890"/>
      <c r="G179" s="57"/>
    </row>
    <row r="180" spans="1:7" ht="14.25">
      <c r="A180" s="261"/>
      <c r="B180" s="261"/>
      <c r="C180" s="265"/>
      <c r="D180" s="1890"/>
      <c r="E180" s="1890"/>
      <c r="F180" s="1890"/>
      <c r="G180" s="57"/>
    </row>
    <row r="181" spans="1:7">
      <c r="A181" s="265"/>
      <c r="B181" s="265"/>
      <c r="C181" s="265"/>
      <c r="D181" s="1890"/>
      <c r="E181" s="1890"/>
      <c r="F181" s="1890"/>
    </row>
    <row r="182" spans="1:7">
      <c r="A182" s="265"/>
      <c r="B182" s="265"/>
      <c r="C182" s="265"/>
      <c r="D182" s="405"/>
      <c r="E182" s="57"/>
      <c r="F182" s="57"/>
    </row>
    <row r="183" spans="1:7">
      <c r="A183" s="265"/>
      <c r="B183" s="265"/>
      <c r="C183" s="265"/>
      <c r="D183" s="1899" t="s">
        <v>1183</v>
      </c>
      <c r="E183" s="1899"/>
      <c r="F183" s="1899"/>
    </row>
    <row r="184" spans="1:7">
      <c r="A184" s="265"/>
      <c r="B184" s="265"/>
      <c r="C184" s="265"/>
      <c r="D184" s="1899"/>
      <c r="E184" s="1899"/>
      <c r="F184" s="1899"/>
    </row>
    <row r="185" spans="1:7" s="683" customFormat="1">
      <c r="A185" s="265"/>
      <c r="B185" s="265"/>
      <c r="C185" s="265"/>
      <c r="D185" s="697"/>
      <c r="E185" s="697"/>
      <c r="F185" s="697"/>
      <c r="G185" s="7"/>
    </row>
    <row r="186" spans="1:7" s="678" customFormat="1" ht="14.25">
      <c r="A186" s="261"/>
      <c r="B186" s="680" t="s">
        <v>318</v>
      </c>
      <c r="C186" s="558"/>
      <c r="D186" s="1852" t="s">
        <v>1273</v>
      </c>
      <c r="E186" s="1852"/>
      <c r="F186" s="1852"/>
      <c r="G186" s="679"/>
    </row>
    <row r="187" spans="1:7" s="678" customFormat="1" ht="14.45" customHeight="1">
      <c r="A187" s="261"/>
      <c r="C187" s="558"/>
      <c r="D187" s="1852"/>
      <c r="E187" s="1852"/>
      <c r="F187" s="1852"/>
      <c r="G187" s="679"/>
    </row>
    <row r="188" spans="1:7" s="678" customFormat="1" ht="14.25">
      <c r="A188" s="261"/>
      <c r="B188" s="698"/>
      <c r="C188" s="558"/>
      <c r="D188" s="1852"/>
      <c r="E188" s="1852"/>
      <c r="F188" s="1852"/>
      <c r="G188" s="679"/>
    </row>
    <row r="189" spans="1:7" s="678" customFormat="1" ht="14.25">
      <c r="A189" s="261"/>
      <c r="B189" s="698"/>
      <c r="C189" s="558"/>
      <c r="D189" s="1852"/>
      <c r="E189" s="1852"/>
      <c r="F189" s="1852"/>
      <c r="G189" s="679"/>
    </row>
    <row r="190" spans="1:7" s="683" customFormat="1">
      <c r="A190" s="265"/>
      <c r="B190" s="265"/>
      <c r="C190" s="265"/>
      <c r="D190" s="697"/>
      <c r="E190" s="697"/>
      <c r="F190" s="697"/>
      <c r="G190" s="7"/>
    </row>
    <row r="191" spans="1:7">
      <c r="A191" s="1872" t="s">
        <v>1168</v>
      </c>
      <c r="B191" s="1872"/>
      <c r="C191" s="1872"/>
      <c r="D191" s="1872"/>
      <c r="E191" s="1872"/>
      <c r="F191" s="1872"/>
      <c r="G191" s="1872"/>
    </row>
    <row r="192" spans="1:7" ht="12" customHeight="1">
      <c r="D192" s="135"/>
      <c r="E192" s="135"/>
      <c r="F192" s="135"/>
    </row>
    <row r="193" spans="1:6">
      <c r="C193" s="262"/>
      <c r="D193" s="1898" t="s">
        <v>214</v>
      </c>
      <c r="E193" s="1898"/>
      <c r="F193" s="1898"/>
    </row>
    <row r="194" spans="1:6">
      <c r="A194" s="255"/>
      <c r="B194" s="674"/>
      <c r="C194" s="255"/>
      <c r="D194" s="1867" t="s">
        <v>1297</v>
      </c>
      <c r="E194" s="1877"/>
      <c r="F194" s="1877"/>
    </row>
    <row r="195" spans="1:6" ht="12" customHeight="1">
      <c r="A195" s="23"/>
      <c r="B195" s="676"/>
      <c r="C195" s="23"/>
    </row>
    <row r="196" spans="1:6" ht="13.15" customHeight="1">
      <c r="A196" s="23"/>
      <c r="C196" s="23"/>
      <c r="D196" s="1875" t="s">
        <v>581</v>
      </c>
      <c r="E196" s="1875"/>
      <c r="F196" s="1875"/>
    </row>
    <row r="197" spans="1:6" ht="14.25">
      <c r="A197" s="261"/>
      <c r="B197" s="680" t="s">
        <v>318</v>
      </c>
      <c r="D197" s="1852" t="s">
        <v>1291</v>
      </c>
      <c r="E197" s="1852"/>
      <c r="F197" s="1852"/>
    </row>
    <row r="198" spans="1:6" ht="14.25">
      <c r="A198" s="261"/>
      <c r="B198" s="261"/>
      <c r="D198" s="1852"/>
      <c r="E198" s="1852"/>
      <c r="F198" s="1852"/>
    </row>
    <row r="199" spans="1:6"/>
    <row r="200" spans="1:6" ht="14.25">
      <c r="A200" s="261"/>
      <c r="B200" s="680" t="s">
        <v>318</v>
      </c>
      <c r="D200" s="1852" t="s">
        <v>1292</v>
      </c>
      <c r="E200" s="1852"/>
      <c r="F200" s="1852"/>
    </row>
    <row r="201" spans="1:6" ht="14.25">
      <c r="A201" s="261"/>
      <c r="B201" s="261"/>
      <c r="D201" s="1852"/>
      <c r="E201" s="1852"/>
      <c r="F201" s="1852"/>
    </row>
    <row r="202" spans="1:6" ht="14.25">
      <c r="A202" s="261"/>
      <c r="B202" s="261"/>
      <c r="D202" s="1852"/>
      <c r="E202" s="1852"/>
      <c r="F202" s="1852"/>
    </row>
    <row r="203" spans="1:6" ht="5.0999999999999996" customHeight="1">
      <c r="A203" s="261"/>
      <c r="B203" s="261"/>
      <c r="D203" s="151"/>
      <c r="E203" s="135"/>
      <c r="F203" s="135"/>
    </row>
    <row r="204" spans="1:6" ht="14.25">
      <c r="A204" s="261"/>
      <c r="B204" s="261"/>
      <c r="D204" s="1852" t="s">
        <v>1293</v>
      </c>
      <c r="E204" s="1852"/>
      <c r="F204" s="1852"/>
    </row>
    <row r="205" spans="1:6" ht="14.25">
      <c r="A205" s="261"/>
      <c r="B205" s="261"/>
      <c r="D205" s="1852"/>
      <c r="E205" s="1852"/>
      <c r="F205" s="1852"/>
    </row>
    <row r="206" spans="1:6" ht="14.25">
      <c r="A206" s="261"/>
      <c r="B206" s="261"/>
      <c r="D206" s="1852"/>
      <c r="E206" s="1852"/>
      <c r="F206" s="1852"/>
    </row>
    <row r="207" spans="1:6" ht="14.25">
      <c r="A207" s="261"/>
      <c r="B207" s="261"/>
      <c r="D207" s="1852"/>
      <c r="E207" s="1852"/>
      <c r="F207" s="1852"/>
    </row>
    <row r="208" spans="1:6" ht="14.25">
      <c r="A208" s="261"/>
      <c r="B208" s="261"/>
      <c r="D208" s="1852"/>
      <c r="E208" s="1852"/>
      <c r="F208" s="1852"/>
    </row>
    <row r="209" spans="1:7" ht="14.25">
      <c r="A209" s="261"/>
      <c r="B209" s="261"/>
      <c r="D209" s="135"/>
      <c r="E209" s="135"/>
      <c r="F209" s="135"/>
    </row>
    <row r="210" spans="1:7" ht="14.25">
      <c r="A210" s="261"/>
      <c r="B210" s="680" t="s">
        <v>318</v>
      </c>
      <c r="D210" s="1866" t="s">
        <v>1294</v>
      </c>
      <c r="E210" s="1866"/>
      <c r="F210" s="1866"/>
    </row>
    <row r="211" spans="1:7" ht="14.25">
      <c r="A211" s="261"/>
      <c r="B211" s="261"/>
      <c r="D211" s="1866"/>
      <c r="E211" s="1866"/>
      <c r="F211" s="1866"/>
    </row>
    <row r="212" spans="1:7" ht="14.25">
      <c r="A212" s="261"/>
      <c r="B212" s="261"/>
      <c r="D212" s="1900" t="s">
        <v>967</v>
      </c>
      <c r="E212" s="1900"/>
      <c r="F212" s="1900"/>
    </row>
    <row r="213" spans="1:7" ht="14.25">
      <c r="A213" s="261"/>
      <c r="B213" s="261"/>
      <c r="D213" s="135"/>
      <c r="E213" s="135"/>
      <c r="F213" s="135"/>
    </row>
    <row r="214" spans="1:7" ht="14.45" customHeight="1">
      <c r="A214" s="261"/>
      <c r="B214" s="680" t="s">
        <v>318</v>
      </c>
      <c r="D214" s="1866" t="s">
        <v>1296</v>
      </c>
      <c r="E214" s="1866"/>
      <c r="F214" s="1866"/>
    </row>
    <row r="215" spans="1:7" ht="14.25">
      <c r="A215" s="261"/>
      <c r="B215" s="261"/>
      <c r="D215" s="1866"/>
      <c r="E215" s="1866"/>
      <c r="F215" s="1866"/>
    </row>
    <row r="216" spans="1:7" ht="14.25">
      <c r="A216" s="261"/>
      <c r="B216" s="261"/>
      <c r="D216" s="1866"/>
      <c r="E216" s="1866"/>
      <c r="F216" s="1866"/>
    </row>
    <row r="217" spans="1:7" ht="14.25">
      <c r="A217" s="261"/>
      <c r="B217" s="261"/>
      <c r="D217" s="1866"/>
      <c r="E217" s="1866"/>
      <c r="F217" s="1866"/>
    </row>
    <row r="218" spans="1:7" ht="14.25">
      <c r="A218" s="261"/>
      <c r="B218" s="261"/>
      <c r="D218" s="1866"/>
      <c r="E218" s="1866"/>
      <c r="F218" s="1866"/>
    </row>
    <row r="219" spans="1:7">
      <c r="D219" s="135"/>
      <c r="E219" s="135"/>
      <c r="F219" s="135"/>
    </row>
    <row r="220" spans="1:7" ht="14.25">
      <c r="A220" s="261"/>
      <c r="B220" s="680" t="s">
        <v>318</v>
      </c>
      <c r="D220" s="1852" t="s">
        <v>1295</v>
      </c>
      <c r="E220" s="1852"/>
      <c r="F220" s="1852"/>
    </row>
    <row r="221" spans="1:7" ht="14.25">
      <c r="A221" s="261"/>
      <c r="B221" s="261"/>
      <c r="D221" s="1852"/>
      <c r="E221" s="1852"/>
      <c r="F221" s="1852"/>
    </row>
    <row r="222" spans="1:7">
      <c r="D222" s="29"/>
    </row>
    <row r="223" spans="1:7">
      <c r="A223" s="1872" t="s">
        <v>1169</v>
      </c>
      <c r="B223" s="1872"/>
      <c r="C223" s="1872"/>
      <c r="D223" s="1872"/>
      <c r="E223" s="1872"/>
      <c r="F223" s="1872"/>
      <c r="G223" s="1872"/>
    </row>
    <row r="224" spans="1:7">
      <c r="D224" s="29"/>
    </row>
    <row r="225" spans="1:6">
      <c r="C225" s="262"/>
      <c r="D225" s="1875" t="s">
        <v>1298</v>
      </c>
      <c r="E225" s="1875"/>
      <c r="F225" s="1875"/>
    </row>
    <row r="226" spans="1:6">
      <c r="A226" s="255"/>
      <c r="B226" s="674"/>
      <c r="C226" s="255"/>
      <c r="D226" s="135"/>
      <c r="E226" s="135"/>
      <c r="F226" s="135"/>
    </row>
    <row r="227" spans="1:6">
      <c r="A227" s="260"/>
      <c r="B227" s="260"/>
      <c r="C227" s="260"/>
      <c r="D227" s="1875" t="s">
        <v>277</v>
      </c>
      <c r="E227" s="1875"/>
      <c r="F227" s="1875"/>
    </row>
    <row r="228" spans="1:6" ht="14.25">
      <c r="A228" s="261"/>
      <c r="B228" s="680" t="s">
        <v>318</v>
      </c>
      <c r="D228" s="1876" t="s">
        <v>1299</v>
      </c>
      <c r="E228" s="1876"/>
      <c r="F228" s="1876"/>
    </row>
    <row r="229" spans="1:6" ht="14.25">
      <c r="A229" s="261"/>
      <c r="B229" s="261"/>
      <c r="D229" s="1876"/>
      <c r="E229" s="1876"/>
      <c r="F229" s="1876"/>
    </row>
    <row r="230" spans="1:6">
      <c r="D230" s="135"/>
      <c r="E230" s="135"/>
      <c r="F230" s="135"/>
    </row>
    <row r="231" spans="1:6" ht="14.45" customHeight="1">
      <c r="A231" s="261"/>
      <c r="B231" s="680" t="s">
        <v>318</v>
      </c>
      <c r="D231" s="1866" t="s">
        <v>1300</v>
      </c>
      <c r="E231" s="1866"/>
      <c r="F231" s="1866"/>
    </row>
    <row r="232" spans="1:6">
      <c r="D232" s="1866"/>
      <c r="E232" s="1866"/>
      <c r="F232" s="1866"/>
    </row>
    <row r="233" spans="1:6">
      <c r="D233" s="1877" t="s">
        <v>958</v>
      </c>
      <c r="E233" s="1877"/>
      <c r="F233" s="1877"/>
    </row>
    <row r="234" spans="1:6">
      <c r="D234" s="135"/>
      <c r="E234" s="135"/>
      <c r="F234" s="135"/>
    </row>
    <row r="235" spans="1:6" ht="14.45" customHeight="1">
      <c r="A235" s="261"/>
      <c r="B235" s="680" t="s">
        <v>318</v>
      </c>
      <c r="D235" s="1866" t="s">
        <v>1302</v>
      </c>
      <c r="E235" s="1866"/>
      <c r="F235" s="1866"/>
    </row>
    <row r="236" spans="1:6">
      <c r="D236" s="1866"/>
      <c r="E236" s="1866"/>
      <c r="F236" s="1866"/>
    </row>
    <row r="237" spans="1:6">
      <c r="D237" s="1866"/>
      <c r="E237" s="1866"/>
      <c r="F237" s="1866"/>
    </row>
    <row r="238" spans="1:6">
      <c r="D238" s="1866"/>
      <c r="E238" s="1866"/>
      <c r="F238" s="1866"/>
    </row>
    <row r="239" spans="1:6">
      <c r="D239" s="1866"/>
      <c r="E239" s="1866"/>
      <c r="F239" s="1866"/>
    </row>
    <row r="240" spans="1:6">
      <c r="D240" s="135"/>
      <c r="E240" s="135"/>
      <c r="F240" s="135"/>
    </row>
    <row r="241" spans="1:7" ht="14.25">
      <c r="A241" s="261"/>
      <c r="B241" s="680" t="s">
        <v>318</v>
      </c>
      <c r="D241" s="1852" t="s">
        <v>1301</v>
      </c>
      <c r="E241" s="1852"/>
      <c r="F241" s="1852"/>
    </row>
    <row r="242" spans="1:7">
      <c r="D242" s="1852"/>
      <c r="E242" s="1852"/>
      <c r="F242" s="1852"/>
    </row>
    <row r="243" spans="1:7">
      <c r="D243" s="1852"/>
      <c r="E243" s="1852"/>
      <c r="F243" s="1852"/>
    </row>
    <row r="244" spans="1:7">
      <c r="D244" s="263"/>
      <c r="E244" s="135"/>
      <c r="F244" s="135"/>
    </row>
    <row r="245" spans="1:7">
      <c r="A245" s="1872" t="s">
        <v>1170</v>
      </c>
      <c r="B245" s="1872"/>
      <c r="C245" s="1872"/>
      <c r="D245" s="1872"/>
      <c r="E245" s="1872"/>
      <c r="F245" s="1872"/>
      <c r="G245" s="1872"/>
    </row>
    <row r="246" spans="1:7">
      <c r="D246" s="263"/>
      <c r="E246" s="135"/>
      <c r="F246" s="135"/>
    </row>
    <row r="247" spans="1:7">
      <c r="C247" s="255"/>
      <c r="D247" s="1901" t="s">
        <v>1303</v>
      </c>
      <c r="E247" s="1901"/>
      <c r="F247" s="1901"/>
    </row>
    <row r="248" spans="1:7">
      <c r="C248" s="255"/>
      <c r="D248" s="1901"/>
      <c r="E248" s="1901"/>
      <c r="F248" s="1901"/>
    </row>
    <row r="249" spans="1:7">
      <c r="A249" s="260"/>
      <c r="B249" s="260"/>
      <c r="C249" s="260"/>
      <c r="D249" s="5"/>
      <c r="E249" s="6"/>
      <c r="F249" s="6"/>
    </row>
    <row r="250" spans="1:7">
      <c r="C250" s="260"/>
      <c r="D250" s="1875" t="s">
        <v>215</v>
      </c>
      <c r="E250" s="1875"/>
      <c r="F250" s="1875"/>
    </row>
    <row r="251" spans="1:7" ht="15.75" customHeight="1">
      <c r="A251" s="261"/>
      <c r="B251" s="261"/>
      <c r="D251" s="1883" t="s">
        <v>1304</v>
      </c>
      <c r="E251" s="1883"/>
      <c r="F251" s="1883"/>
    </row>
    <row r="252" spans="1:7">
      <c r="E252" s="135"/>
      <c r="F252" s="135"/>
    </row>
    <row r="253" spans="1:7" ht="14.25">
      <c r="A253" s="261"/>
      <c r="B253" s="680" t="s">
        <v>318</v>
      </c>
      <c r="D253" s="1852" t="s">
        <v>1305</v>
      </c>
      <c r="E253" s="1852"/>
      <c r="F253" s="1852"/>
    </row>
    <row r="254" spans="1:7" ht="14.25">
      <c r="A254" s="261"/>
      <c r="B254" s="261"/>
      <c r="D254" s="1852"/>
      <c r="E254" s="1852"/>
      <c r="F254" s="1852"/>
    </row>
    <row r="255" spans="1:7">
      <c r="D255" s="135"/>
      <c r="E255" s="135"/>
      <c r="F255" s="135"/>
    </row>
    <row r="256" spans="1:7" ht="14.25">
      <c r="A256" s="261"/>
      <c r="B256" s="680" t="s">
        <v>318</v>
      </c>
      <c r="D256" s="1866" t="s">
        <v>1306</v>
      </c>
      <c r="E256" s="1866"/>
      <c r="F256" s="1866"/>
    </row>
    <row r="257" spans="1:7" ht="14.25">
      <c r="A257" s="261"/>
      <c r="B257" s="261"/>
      <c r="D257" s="1866"/>
      <c r="E257" s="1866"/>
      <c r="F257" s="1866"/>
    </row>
    <row r="258" spans="1:7" ht="14.25">
      <c r="A258" s="261"/>
      <c r="B258" s="261"/>
      <c r="D258" s="1866"/>
      <c r="E258" s="1866"/>
      <c r="F258" s="1866"/>
    </row>
    <row r="259" spans="1:7">
      <c r="D259" s="135"/>
      <c r="E259" s="135"/>
      <c r="F259" s="135"/>
    </row>
    <row r="260" spans="1:7" ht="14.25">
      <c r="A260" s="261"/>
      <c r="B260" s="680" t="s">
        <v>318</v>
      </c>
      <c r="D260" s="1852" t="s">
        <v>1307</v>
      </c>
      <c r="E260" s="1852"/>
      <c r="F260" s="1852"/>
    </row>
    <row r="261" spans="1:7" ht="14.25">
      <c r="A261" s="261"/>
      <c r="B261" s="261"/>
      <c r="D261" s="1852"/>
      <c r="E261" s="1852"/>
      <c r="F261" s="1852"/>
    </row>
    <row r="262" spans="1:7">
      <c r="A262" s="23"/>
      <c r="B262" s="676"/>
      <c r="E262" s="135"/>
      <c r="F262" s="135"/>
    </row>
    <row r="263" spans="1:7">
      <c r="A263" s="1872" t="s">
        <v>1171</v>
      </c>
      <c r="B263" s="1872"/>
      <c r="C263" s="1872"/>
      <c r="D263" s="1872"/>
      <c r="E263" s="1872"/>
      <c r="F263" s="1872"/>
      <c r="G263" s="1872"/>
    </row>
    <row r="264" spans="1:7">
      <c r="A264" s="23"/>
      <c r="B264" s="676"/>
      <c r="D264" s="135"/>
      <c r="E264" s="135"/>
      <c r="F264" s="135"/>
    </row>
    <row r="265" spans="1:7">
      <c r="C265" s="23"/>
      <c r="D265" s="1875" t="s">
        <v>721</v>
      </c>
      <c r="E265" s="1875"/>
      <c r="F265" s="1875"/>
    </row>
    <row r="266" spans="1:7">
      <c r="C266" s="23"/>
      <c r="D266" s="1865" t="s">
        <v>1308</v>
      </c>
      <c r="E266" s="1865"/>
      <c r="F266" s="1865"/>
    </row>
    <row r="267" spans="1:7">
      <c r="C267" s="23"/>
      <c r="D267" s="259"/>
    </row>
    <row r="268" spans="1:7">
      <c r="A268" s="273"/>
      <c r="B268" s="680" t="s">
        <v>318</v>
      </c>
      <c r="D268" s="1865" t="s">
        <v>1309</v>
      </c>
      <c r="E268" s="1865"/>
      <c r="F268" s="1865"/>
    </row>
    <row r="269" spans="1:7" s="39" customFormat="1" ht="14.25">
      <c r="A269" s="404"/>
      <c r="B269" s="404"/>
      <c r="C269" s="273"/>
      <c r="D269" s="498"/>
      <c r="E269" s="499"/>
      <c r="F269" s="499"/>
      <c r="G269" s="130"/>
    </row>
    <row r="270" spans="1:7" s="39" customFormat="1" ht="13.15" customHeight="1">
      <c r="A270" s="273"/>
      <c r="B270" s="680" t="s">
        <v>318</v>
      </c>
      <c r="C270" s="273"/>
      <c r="D270" s="1878" t="s">
        <v>1310</v>
      </c>
      <c r="E270" s="1878"/>
      <c r="F270" s="1878"/>
      <c r="G270" s="130"/>
    </row>
    <row r="271" spans="1:7" s="39" customFormat="1" ht="14.25">
      <c r="A271" s="404"/>
      <c r="B271" s="404"/>
      <c r="C271" s="273"/>
      <c r="D271" s="1878"/>
      <c r="E271" s="1878"/>
      <c r="F271" s="1878"/>
      <c r="G271" s="130"/>
    </row>
    <row r="272" spans="1:7" s="39" customFormat="1" ht="14.25">
      <c r="A272" s="404"/>
      <c r="B272" s="404"/>
      <c r="C272" s="273"/>
      <c r="D272" s="1878"/>
      <c r="E272" s="1878"/>
      <c r="F272" s="1878"/>
      <c r="G272" s="130"/>
    </row>
    <row r="273" spans="1:7" s="39" customFormat="1" ht="14.25">
      <c r="A273" s="404"/>
      <c r="B273" s="404"/>
      <c r="C273" s="273"/>
      <c r="D273" s="1878"/>
      <c r="E273" s="1878"/>
      <c r="F273" s="1878"/>
      <c r="G273" s="130"/>
    </row>
    <row r="274" spans="1:7" s="39" customFormat="1" ht="14.25">
      <c r="A274" s="404"/>
      <c r="B274" s="404"/>
      <c r="C274" s="273"/>
      <c r="D274" s="1878"/>
      <c r="E274" s="1878"/>
      <c r="F274" s="1878"/>
      <c r="G274" s="130"/>
    </row>
    <row r="275" spans="1:7" s="39" customFormat="1" ht="14.25">
      <c r="A275" s="404"/>
      <c r="B275" s="404"/>
      <c r="C275" s="273"/>
      <c r="D275" s="498"/>
      <c r="E275" s="499"/>
      <c r="F275" s="499"/>
      <c r="G275" s="130"/>
    </row>
    <row r="276" spans="1:7" s="39" customFormat="1" ht="13.15" customHeight="1">
      <c r="A276" s="273"/>
      <c r="B276" s="680" t="s">
        <v>318</v>
      </c>
      <c r="C276" s="273"/>
      <c r="D276" s="1878" t="s">
        <v>1311</v>
      </c>
      <c r="E276" s="1878"/>
      <c r="F276" s="1878"/>
      <c r="G276" s="130"/>
    </row>
    <row r="277" spans="1:7" s="39" customFormat="1">
      <c r="A277" s="273"/>
      <c r="B277" s="273"/>
      <c r="C277" s="273"/>
      <c r="D277" s="1878"/>
      <c r="E277" s="1878"/>
      <c r="F277" s="1878"/>
      <c r="G277" s="130"/>
    </row>
    <row r="278" spans="1:7" s="39" customFormat="1" ht="14.25">
      <c r="A278" s="404"/>
      <c r="B278" s="404"/>
      <c r="C278" s="273"/>
      <c r="D278" s="498"/>
      <c r="E278" s="499"/>
      <c r="F278" s="499"/>
      <c r="G278" s="130"/>
    </row>
    <row r="279" spans="1:7">
      <c r="A279" s="273"/>
      <c r="B279" s="680" t="s">
        <v>318</v>
      </c>
      <c r="D279" s="1865" t="s">
        <v>1312</v>
      </c>
      <c r="E279" s="1865"/>
      <c r="F279" s="1865"/>
    </row>
    <row r="280" spans="1:7">
      <c r="E280" s="135"/>
      <c r="F280" s="135"/>
    </row>
    <row r="281" spans="1:7" ht="14.25">
      <c r="A281" s="261"/>
      <c r="B281" s="680" t="s">
        <v>318</v>
      </c>
      <c r="D281" s="1866" t="s">
        <v>1313</v>
      </c>
      <c r="E281" s="1866"/>
      <c r="F281" s="1866"/>
    </row>
    <row r="282" spans="1:7" ht="14.25">
      <c r="A282" s="261"/>
      <c r="B282" s="261"/>
      <c r="D282" s="1866"/>
      <c r="E282" s="1866"/>
      <c r="F282" s="1866"/>
    </row>
    <row r="283" spans="1:7" s="720" customFormat="1" ht="14.25">
      <c r="A283" s="715"/>
      <c r="B283" s="715"/>
      <c r="C283" s="732"/>
      <c r="D283" s="1866"/>
      <c r="E283" s="1866"/>
      <c r="F283" s="1866"/>
      <c r="G283" s="7"/>
    </row>
    <row r="284" spans="1:7" s="720" customFormat="1" ht="14.25">
      <c r="A284" s="715"/>
      <c r="B284" s="715"/>
      <c r="C284" s="732"/>
      <c r="D284" s="1866"/>
      <c r="E284" s="1866"/>
      <c r="F284" s="1866"/>
      <c r="G284" s="7"/>
    </row>
    <row r="285" spans="1:7" s="720" customFormat="1" ht="14.25">
      <c r="A285" s="715"/>
      <c r="B285" s="715"/>
      <c r="C285" s="732"/>
      <c r="D285" s="1866"/>
      <c r="E285" s="1866"/>
      <c r="F285" s="1866"/>
      <c r="G285" s="7"/>
    </row>
    <row r="286" spans="1:7" s="720" customFormat="1" ht="14.25">
      <c r="A286" s="715"/>
      <c r="B286" s="715"/>
      <c r="C286" s="732"/>
      <c r="D286" s="1866"/>
      <c r="E286" s="1866"/>
      <c r="F286" s="1866"/>
      <c r="G286" s="7"/>
    </row>
    <row r="287" spans="1:7" s="720" customFormat="1" ht="14.25">
      <c r="A287" s="715"/>
      <c r="B287" s="715"/>
      <c r="C287" s="732"/>
      <c r="D287" s="1866"/>
      <c r="E287" s="1866"/>
      <c r="F287" s="1866"/>
      <c r="G287" s="7"/>
    </row>
    <row r="288" spans="1:7" s="720" customFormat="1" ht="14.25">
      <c r="A288" s="715"/>
      <c r="B288" s="715"/>
      <c r="C288" s="732"/>
      <c r="D288" s="1866"/>
      <c r="E288" s="1866"/>
      <c r="F288" s="1866"/>
      <c r="G288" s="7"/>
    </row>
    <row r="289" spans="1:7" s="720" customFormat="1" ht="14.25">
      <c r="A289" s="715"/>
      <c r="B289" s="715"/>
      <c r="C289" s="732"/>
      <c r="D289" s="1866"/>
      <c r="E289" s="1866"/>
      <c r="F289" s="1866"/>
      <c r="G289" s="7"/>
    </row>
    <row r="290" spans="1:7" s="720" customFormat="1" ht="14.25">
      <c r="A290" s="715"/>
      <c r="B290" s="715"/>
      <c r="C290" s="732"/>
      <c r="D290" s="1866"/>
      <c r="E290" s="1866"/>
      <c r="F290" s="1866"/>
      <c r="G290" s="7"/>
    </row>
    <row r="291" spans="1:7" s="720" customFormat="1" ht="14.25">
      <c r="A291" s="715"/>
      <c r="B291" s="715"/>
      <c r="C291" s="732"/>
      <c r="D291" s="1866"/>
      <c r="E291" s="1866"/>
      <c r="F291" s="1866"/>
      <c r="G291" s="7"/>
    </row>
    <row r="292" spans="1:7" s="720" customFormat="1" ht="14.25">
      <c r="A292" s="715"/>
      <c r="B292" s="715"/>
      <c r="C292" s="732"/>
      <c r="D292" s="1866"/>
      <c r="E292" s="1866"/>
      <c r="F292" s="1866"/>
      <c r="G292" s="7"/>
    </row>
    <row r="293" spans="1:7" ht="14.25">
      <c r="A293" s="261"/>
      <c r="B293" s="261"/>
      <c r="D293" s="1866"/>
      <c r="E293" s="1866"/>
      <c r="F293" s="1866"/>
    </row>
    <row r="294" spans="1:7" ht="14.25">
      <c r="A294" s="261"/>
      <c r="B294" s="261"/>
      <c r="D294" s="1866"/>
      <c r="E294" s="1866"/>
      <c r="F294" s="1866"/>
    </row>
    <row r="295" spans="1:7" ht="14.25">
      <c r="A295" s="261"/>
      <c r="B295" s="261"/>
      <c r="D295" s="1866"/>
      <c r="E295" s="1866"/>
      <c r="F295" s="1866"/>
    </row>
    <row r="296" spans="1:7">
      <c r="D296" s="135"/>
      <c r="E296" s="135"/>
      <c r="F296" s="135"/>
    </row>
    <row r="297" spans="1:7" ht="14.25">
      <c r="A297" s="261"/>
      <c r="B297" s="680" t="s">
        <v>318</v>
      </c>
      <c r="D297" s="1866" t="s">
        <v>1314</v>
      </c>
      <c r="E297" s="1866"/>
      <c r="F297" s="1866"/>
    </row>
    <row r="298" spans="1:7">
      <c r="D298" s="1866"/>
      <c r="E298" s="1866"/>
      <c r="F298" s="1866"/>
    </row>
    <row r="299" spans="1:7">
      <c r="D299" s="1866"/>
      <c r="E299" s="1866"/>
      <c r="F299" s="1866"/>
    </row>
    <row r="300" spans="1:7">
      <c r="D300" s="1866"/>
      <c r="E300" s="1866"/>
      <c r="F300" s="1866"/>
    </row>
    <row r="301" spans="1:7">
      <c r="D301" s="1866"/>
      <c r="E301" s="1866"/>
      <c r="F301" s="1866"/>
    </row>
    <row r="302" spans="1:7">
      <c r="D302" s="1866"/>
      <c r="E302" s="1866"/>
      <c r="F302" s="1866"/>
    </row>
    <row r="303" spans="1:7">
      <c r="D303" s="1866"/>
      <c r="E303" s="1866"/>
      <c r="F303" s="1866"/>
    </row>
    <row r="304" spans="1:7">
      <c r="D304" s="1866"/>
      <c r="E304" s="1866"/>
      <c r="F304" s="1866"/>
    </row>
    <row r="305" spans="1:7">
      <c r="D305" s="1866"/>
      <c r="E305" s="1866"/>
      <c r="F305" s="1866"/>
    </row>
    <row r="306" spans="1:7">
      <c r="D306" s="135"/>
      <c r="E306" s="135"/>
      <c r="F306" s="135"/>
    </row>
    <row r="307" spans="1:7" ht="14.25">
      <c r="A307" s="261"/>
      <c r="B307" s="680" t="s">
        <v>318</v>
      </c>
      <c r="D307" s="1852" t="s">
        <v>1315</v>
      </c>
      <c r="E307" s="1852"/>
      <c r="F307" s="1852"/>
    </row>
    <row r="308" spans="1:7">
      <c r="D308" s="1852"/>
      <c r="E308" s="1852"/>
      <c r="F308" s="1852"/>
      <c r="G308" s="12"/>
    </row>
    <row r="309" spans="1:7">
      <c r="D309" s="1852"/>
      <c r="E309" s="1852"/>
      <c r="F309" s="1852"/>
      <c r="G309" s="12"/>
    </row>
    <row r="310" spans="1:7">
      <c r="D310" s="1852"/>
      <c r="E310" s="1852"/>
      <c r="F310" s="1852"/>
      <c r="G310" s="12"/>
    </row>
    <row r="311" spans="1:7">
      <c r="D311" s="1852"/>
      <c r="E311" s="1852"/>
      <c r="F311" s="1852"/>
      <c r="G311" s="12"/>
    </row>
    <row r="312" spans="1:7">
      <c r="D312" s="1852"/>
      <c r="E312" s="1852"/>
      <c r="F312" s="1852"/>
      <c r="G312" s="12"/>
    </row>
    <row r="313" spans="1:7" s="720" customFormat="1">
      <c r="A313" s="732"/>
      <c r="B313" s="732"/>
      <c r="C313" s="732"/>
      <c r="D313" s="729"/>
      <c r="E313" s="729"/>
      <c r="F313" s="729"/>
    </row>
    <row r="314" spans="1:7" ht="13.5" thickBot="1">
      <c r="D314" s="1884" t="s">
        <v>1064</v>
      </c>
      <c r="E314" s="1884"/>
      <c r="F314" s="1884"/>
      <c r="G314" s="12"/>
    </row>
    <row r="315" spans="1:7" s="720" customFormat="1" ht="13.5" thickTop="1">
      <c r="A315" s="732"/>
      <c r="B315" s="732"/>
      <c r="C315" s="732"/>
      <c r="D315" s="1885" t="s">
        <v>1316</v>
      </c>
      <c r="E315" s="1885"/>
      <c r="F315" s="1885"/>
    </row>
    <row r="316" spans="1:7">
      <c r="A316" s="326"/>
      <c r="B316" s="326"/>
      <c r="C316" s="326"/>
      <c r="D316" s="468"/>
      <c r="E316" s="468"/>
      <c r="F316" s="135"/>
      <c r="G316" s="12"/>
    </row>
    <row r="317" spans="1:7" ht="14.25">
      <c r="A317" s="261"/>
      <c r="B317" s="680" t="s">
        <v>318</v>
      </c>
      <c r="C317" s="326"/>
      <c r="D317" s="1886" t="s">
        <v>1317</v>
      </c>
      <c r="E317" s="1886"/>
      <c r="F317" s="1886"/>
      <c r="G317" s="12"/>
    </row>
    <row r="318" spans="1:7">
      <c r="A318" s="326"/>
      <c r="B318" s="326"/>
      <c r="C318" s="326"/>
      <c r="D318" s="468"/>
      <c r="E318" s="468"/>
      <c r="F318" s="135"/>
      <c r="G318" s="12"/>
    </row>
    <row r="319" spans="1:7">
      <c r="A319" s="326"/>
      <c r="B319" s="680" t="s">
        <v>318</v>
      </c>
      <c r="C319" s="326"/>
      <c r="D319" s="1881" t="s">
        <v>1318</v>
      </c>
      <c r="E319" s="1881"/>
      <c r="F319" s="1881"/>
      <c r="G319" s="12"/>
    </row>
    <row r="320" spans="1:7">
      <c r="A320" s="326"/>
      <c r="B320" s="326"/>
      <c r="C320" s="326"/>
      <c r="D320" s="1881"/>
      <c r="E320" s="1881"/>
      <c r="F320" s="1881"/>
      <c r="G320" s="12"/>
    </row>
    <row r="321" spans="1:7">
      <c r="A321" s="326"/>
      <c r="B321" s="326"/>
      <c r="C321" s="326"/>
      <c r="D321" s="1881"/>
      <c r="E321" s="1881"/>
      <c r="F321" s="1881"/>
      <c r="G321" s="12"/>
    </row>
    <row r="322" spans="1:7">
      <c r="A322" s="326"/>
      <c r="B322" s="326"/>
      <c r="C322" s="326"/>
      <c r="D322" s="1881"/>
      <c r="E322" s="1881"/>
      <c r="F322" s="1881"/>
      <c r="G322" s="12"/>
    </row>
    <row r="323" spans="1:7" s="720" customFormat="1">
      <c r="A323" s="326"/>
      <c r="B323" s="326"/>
      <c r="C323" s="326"/>
      <c r="D323" s="1881"/>
      <c r="E323" s="1881"/>
      <c r="F323" s="1881"/>
    </row>
    <row r="324" spans="1:7" s="720" customFormat="1">
      <c r="A324" s="326"/>
      <c r="B324" s="326"/>
      <c r="C324" s="326"/>
      <c r="D324" s="1881"/>
      <c r="E324" s="1881"/>
      <c r="F324" s="1881"/>
    </row>
    <row r="325" spans="1:7" s="720" customFormat="1">
      <c r="A325" s="326"/>
      <c r="B325" s="326"/>
      <c r="C325" s="326"/>
      <c r="D325" s="1881"/>
      <c r="E325" s="1881"/>
      <c r="F325" s="1881"/>
    </row>
    <row r="326" spans="1:7" s="720" customFormat="1">
      <c r="A326" s="326"/>
      <c r="B326" s="326"/>
      <c r="C326" s="326"/>
      <c r="D326" s="1881"/>
      <c r="E326" s="1881"/>
      <c r="F326" s="1881"/>
    </row>
    <row r="327" spans="1:7">
      <c r="A327" s="326"/>
      <c r="B327" s="326"/>
      <c r="C327" s="326"/>
      <c r="D327" s="1881"/>
      <c r="E327" s="1881"/>
      <c r="F327" s="1881"/>
      <c r="G327" s="12"/>
    </row>
    <row r="328" spans="1:7">
      <c r="A328" s="326"/>
      <c r="B328" s="326"/>
      <c r="C328" s="326"/>
      <c r="D328" s="1881"/>
      <c r="E328" s="1881"/>
      <c r="F328" s="1881"/>
      <c r="G328" s="12"/>
    </row>
    <row r="329" spans="1:7">
      <c r="A329" s="326"/>
      <c r="B329" s="326"/>
      <c r="C329" s="326"/>
      <c r="D329" s="1881"/>
      <c r="E329" s="1881"/>
      <c r="F329" s="1881"/>
      <c r="G329" s="12"/>
    </row>
    <row r="330" spans="1:7">
      <c r="A330" s="326"/>
      <c r="B330" s="326"/>
      <c r="C330" s="326"/>
      <c r="D330" s="12"/>
      <c r="E330" s="468"/>
      <c r="F330" s="135"/>
      <c r="G330" s="12"/>
    </row>
    <row r="331" spans="1:7" ht="14.25">
      <c r="A331" s="261"/>
      <c r="B331" s="680" t="s">
        <v>318</v>
      </c>
      <c r="C331" s="326"/>
      <c r="D331" s="1879" t="s">
        <v>1319</v>
      </c>
      <c r="E331" s="1879"/>
      <c r="F331" s="1879"/>
      <c r="G331" s="12"/>
    </row>
    <row r="332" spans="1:7">
      <c r="A332" s="326"/>
      <c r="B332" s="326"/>
      <c r="C332" s="326"/>
      <c r="D332" s="1879"/>
      <c r="E332" s="1879"/>
      <c r="F332" s="1879"/>
      <c r="G332" s="12"/>
    </row>
    <row r="333" spans="1:7">
      <c r="A333" s="326"/>
      <c r="B333" s="326"/>
      <c r="C333" s="326"/>
      <c r="D333" s="1879"/>
      <c r="E333" s="1879"/>
      <c r="F333" s="1879"/>
      <c r="G333" s="12"/>
    </row>
    <row r="334" spans="1:7">
      <c r="A334" s="326"/>
      <c r="B334" s="326"/>
      <c r="C334" s="326"/>
      <c r="D334" s="1879"/>
      <c r="E334" s="1879"/>
      <c r="F334" s="1879"/>
      <c r="G334" s="12"/>
    </row>
    <row r="335" spans="1:7">
      <c r="A335" s="326"/>
      <c r="B335" s="326"/>
      <c r="C335" s="326"/>
      <c r="D335" s="506"/>
      <c r="E335" s="468"/>
      <c r="F335" s="135"/>
      <c r="G335" s="12"/>
    </row>
    <row r="336" spans="1:7">
      <c r="A336" s="326"/>
      <c r="B336" s="326"/>
      <c r="C336" s="326"/>
      <c r="D336" s="1879" t="s">
        <v>1320</v>
      </c>
      <c r="E336" s="1879"/>
      <c r="F336" s="1879"/>
      <c r="G336" s="12"/>
    </row>
    <row r="337" spans="1:7">
      <c r="A337" s="326"/>
      <c r="B337" s="326"/>
      <c r="C337" s="326"/>
      <c r="D337" s="1879"/>
      <c r="E337" s="1879"/>
      <c r="F337" s="1879"/>
      <c r="G337" s="12"/>
    </row>
    <row r="338" spans="1:7">
      <c r="A338" s="326"/>
      <c r="B338" s="326"/>
      <c r="C338" s="326"/>
      <c r="D338" s="1879"/>
      <c r="E338" s="1879"/>
      <c r="F338" s="1879"/>
      <c r="G338" s="12"/>
    </row>
    <row r="339" spans="1:7">
      <c r="A339" s="326"/>
      <c r="B339" s="326"/>
      <c r="C339" s="326"/>
      <c r="D339" s="1879"/>
      <c r="E339" s="1879"/>
      <c r="F339" s="1879"/>
      <c r="G339" s="12"/>
    </row>
    <row r="340" spans="1:7" ht="18" customHeight="1">
      <c r="A340" s="326"/>
      <c r="B340" s="326"/>
      <c r="C340" s="326"/>
      <c r="D340" s="1879"/>
      <c r="E340" s="1879"/>
      <c r="F340" s="1879"/>
      <c r="G340" s="12"/>
    </row>
    <row r="341" spans="1:7">
      <c r="A341" s="326"/>
      <c r="B341" s="326"/>
      <c r="C341" s="326"/>
      <c r="D341" s="1879"/>
      <c r="E341" s="1879"/>
      <c r="F341" s="1879"/>
      <c r="G341" s="12"/>
    </row>
    <row r="342" spans="1:7">
      <c r="A342" s="326"/>
      <c r="B342" s="326"/>
      <c r="C342" s="326"/>
      <c r="D342" s="1879"/>
      <c r="E342" s="1879"/>
      <c r="F342" s="1879"/>
      <c r="G342" s="12"/>
    </row>
    <row r="343" spans="1:7">
      <c r="A343" s="326"/>
      <c r="B343" s="326"/>
      <c r="C343" s="326"/>
      <c r="D343" s="1879"/>
      <c r="E343" s="1879"/>
      <c r="F343" s="1879"/>
      <c r="G343" s="12"/>
    </row>
    <row r="344" spans="1:7" ht="8.25" customHeight="1">
      <c r="A344" s="326"/>
      <c r="B344" s="326"/>
      <c r="C344" s="326"/>
      <c r="D344" s="1879"/>
      <c r="E344" s="1879"/>
      <c r="F344" s="1879"/>
      <c r="G344" s="12"/>
    </row>
    <row r="345" spans="1:7" ht="13.15" customHeight="1">
      <c r="A345" s="326"/>
      <c r="B345" s="326"/>
      <c r="C345" s="326"/>
      <c r="D345" s="1880" t="s">
        <v>1321</v>
      </c>
      <c r="E345" s="1880"/>
      <c r="F345" s="1880"/>
      <c r="G345" s="12"/>
    </row>
    <row r="346" spans="1:7">
      <c r="A346" s="326"/>
      <c r="B346" s="326"/>
      <c r="C346" s="326"/>
      <c r="D346" s="1880"/>
      <c r="E346" s="1880"/>
      <c r="F346" s="1880"/>
      <c r="G346" s="12"/>
    </row>
    <row r="347" spans="1:7">
      <c r="A347" s="326"/>
      <c r="B347" s="326"/>
      <c r="C347" s="326"/>
      <c r="D347" s="1880"/>
      <c r="E347" s="1880"/>
      <c r="F347" s="1880"/>
      <c r="G347" s="12"/>
    </row>
    <row r="348" spans="1:7" s="720" customFormat="1">
      <c r="A348" s="326"/>
      <c r="B348" s="326"/>
      <c r="C348" s="326"/>
      <c r="D348" s="1880"/>
      <c r="E348" s="1880"/>
      <c r="F348" s="1880"/>
    </row>
    <row r="349" spans="1:7" s="720" customFormat="1">
      <c r="A349" s="326"/>
      <c r="B349" s="326"/>
      <c r="C349" s="326"/>
      <c r="D349" s="1880"/>
      <c r="E349" s="1880"/>
      <c r="F349" s="1880"/>
    </row>
    <row r="350" spans="1:7" s="720" customFormat="1">
      <c r="A350" s="326"/>
      <c r="B350" s="326"/>
      <c r="C350" s="326"/>
      <c r="D350" s="1880"/>
      <c r="E350" s="1880"/>
      <c r="F350" s="1880"/>
    </row>
    <row r="351" spans="1:7" s="720" customFormat="1">
      <c r="A351" s="326"/>
      <c r="B351" s="326"/>
      <c r="C351" s="326"/>
      <c r="D351" s="1880"/>
      <c r="E351" s="1880"/>
      <c r="F351" s="1880"/>
    </row>
    <row r="352" spans="1:7" s="720" customFormat="1">
      <c r="A352" s="326"/>
      <c r="B352" s="326"/>
      <c r="C352" s="326"/>
      <c r="D352" s="1880"/>
      <c r="E352" s="1880"/>
      <c r="F352" s="1880"/>
    </row>
    <row r="353" spans="1:7">
      <c r="A353" s="326"/>
      <c r="B353" s="326"/>
      <c r="C353" s="326"/>
      <c r="D353" s="1880"/>
      <c r="E353" s="1880"/>
      <c r="F353" s="1880"/>
      <c r="G353" s="12"/>
    </row>
    <row r="354" spans="1:7">
      <c r="A354" s="326"/>
      <c r="B354" s="326"/>
      <c r="C354" s="326"/>
      <c r="D354" s="1880"/>
      <c r="E354" s="1880"/>
      <c r="F354" s="1880"/>
      <c r="G354" s="12"/>
    </row>
    <row r="355" spans="1:7">
      <c r="A355" s="326"/>
      <c r="B355" s="326"/>
      <c r="C355" s="326"/>
      <c r="D355" s="1880"/>
      <c r="E355" s="1880"/>
      <c r="F355" s="1880"/>
      <c r="G355" s="12"/>
    </row>
    <row r="356" spans="1:7">
      <c r="A356" s="326"/>
      <c r="B356" s="326"/>
      <c r="C356" s="326"/>
      <c r="D356" s="1880"/>
      <c r="E356" s="1880"/>
      <c r="F356" s="1880"/>
      <c r="G356" s="12"/>
    </row>
    <row r="357" spans="1:7">
      <c r="A357" s="326"/>
      <c r="B357" s="326"/>
      <c r="C357" s="508"/>
      <c r="D357" s="1880"/>
      <c r="E357" s="1880"/>
      <c r="F357" s="1880"/>
      <c r="G357" s="12"/>
    </row>
    <row r="358" spans="1:7">
      <c r="A358" s="326"/>
      <c r="B358" s="326"/>
      <c r="C358" s="508"/>
      <c r="D358" s="1880"/>
      <c r="E358" s="1880"/>
      <c r="F358" s="1880"/>
      <c r="G358" s="12"/>
    </row>
    <row r="359" spans="1:7">
      <c r="A359" s="326"/>
      <c r="B359" s="326"/>
      <c r="C359" s="326"/>
      <c r="D359" s="1880"/>
      <c r="E359" s="1880"/>
      <c r="F359" s="1880"/>
      <c r="G359" s="12"/>
    </row>
    <row r="360" spans="1:7">
      <c r="A360" s="326"/>
      <c r="B360" s="326"/>
      <c r="C360" s="508"/>
      <c r="D360" s="1880"/>
      <c r="E360" s="1880"/>
      <c r="F360" s="1880"/>
      <c r="G360" s="12"/>
    </row>
    <row r="361" spans="1:7">
      <c r="A361" s="326"/>
      <c r="B361" s="326"/>
      <c r="C361" s="508"/>
      <c r="D361" s="1880"/>
      <c r="E361" s="1880"/>
      <c r="F361" s="1880"/>
      <c r="G361" s="12"/>
    </row>
    <row r="362" spans="1:7">
      <c r="A362" s="326"/>
      <c r="B362" s="326"/>
      <c r="C362" s="508"/>
      <c r="D362" s="1880"/>
      <c r="E362" s="1880"/>
      <c r="F362" s="1880"/>
      <c r="G362" s="12"/>
    </row>
    <row r="363" spans="1:7">
      <c r="A363" s="326"/>
      <c r="B363" s="326"/>
      <c r="C363" s="326"/>
      <c r="D363" s="506"/>
      <c r="E363" s="468"/>
      <c r="F363" s="135"/>
      <c r="G363" s="12"/>
    </row>
    <row r="364" spans="1:7">
      <c r="A364" s="326"/>
      <c r="B364" s="680" t="s">
        <v>318</v>
      </c>
      <c r="C364" s="326"/>
      <c r="D364" s="1880" t="s">
        <v>1322</v>
      </c>
      <c r="E364" s="1880"/>
      <c r="F364" s="1880"/>
      <c r="G364" s="12"/>
    </row>
    <row r="365" spans="1:7">
      <c r="A365" s="326"/>
      <c r="B365" s="326"/>
      <c r="C365" s="326"/>
      <c r="D365" s="1880"/>
      <c r="E365" s="1880"/>
      <c r="F365" s="1880"/>
      <c r="G365" s="12"/>
    </row>
    <row r="366" spans="1:7">
      <c r="A366" s="326"/>
      <c r="B366" s="326"/>
      <c r="C366" s="326"/>
      <c r="D366" s="468"/>
      <c r="E366" s="468"/>
      <c r="F366" s="135"/>
      <c r="G366" s="12"/>
    </row>
    <row r="367" spans="1:7" ht="14.25">
      <c r="A367" s="261"/>
      <c r="B367" s="680" t="s">
        <v>318</v>
      </c>
      <c r="C367" s="326"/>
      <c r="D367" s="1881" t="s">
        <v>1323</v>
      </c>
      <c r="E367" s="1881"/>
      <c r="F367" s="1881"/>
      <c r="G367" s="12"/>
    </row>
    <row r="368" spans="1:7" ht="14.25">
      <c r="A368" s="507"/>
      <c r="B368" s="507"/>
      <c r="C368" s="326"/>
      <c r="D368" s="1881"/>
      <c r="E368" s="1881"/>
      <c r="F368" s="1881"/>
      <c r="G368" s="12"/>
    </row>
    <row r="369" spans="1:7" ht="14.25">
      <c r="A369" s="507"/>
      <c r="B369" s="507"/>
      <c r="C369" s="326"/>
      <c r="D369" s="1881"/>
      <c r="E369" s="1881"/>
      <c r="F369" s="1881"/>
      <c r="G369" s="12"/>
    </row>
    <row r="370" spans="1:7" ht="14.25">
      <c r="A370" s="507"/>
      <c r="B370" s="507"/>
      <c r="C370" s="326"/>
      <c r="D370" s="1881"/>
      <c r="E370" s="1881"/>
      <c r="F370" s="1881"/>
      <c r="G370" s="12"/>
    </row>
    <row r="371" spans="1:7" ht="14.25">
      <c r="A371" s="507"/>
      <c r="B371" s="507"/>
      <c r="C371" s="326"/>
      <c r="D371" s="1881"/>
      <c r="E371" s="1881"/>
      <c r="F371" s="1881"/>
      <c r="G371" s="12"/>
    </row>
    <row r="372" spans="1:7">
      <c r="D372" s="135"/>
      <c r="E372" s="135"/>
      <c r="F372" s="135"/>
      <c r="G372" s="12"/>
    </row>
    <row r="373" spans="1:7" ht="14.25">
      <c r="A373" s="261"/>
      <c r="B373" s="680" t="s">
        <v>318</v>
      </c>
      <c r="C373" s="266"/>
      <c r="D373" s="1852" t="s">
        <v>1324</v>
      </c>
      <c r="E373" s="1852"/>
      <c r="F373" s="1852"/>
      <c r="G373" s="12"/>
    </row>
    <row r="374" spans="1:7" ht="14.25">
      <c r="A374" s="261"/>
      <c r="B374" s="261"/>
      <c r="D374" s="1852"/>
      <c r="E374" s="1852"/>
      <c r="F374" s="1852"/>
      <c r="G374" s="12"/>
    </row>
    <row r="375" spans="1:7">
      <c r="D375" s="1852"/>
      <c r="E375" s="1852"/>
      <c r="F375" s="1852"/>
      <c r="G375" s="12"/>
    </row>
    <row r="376" spans="1:7">
      <c r="D376" s="1852"/>
      <c r="E376" s="1852"/>
      <c r="F376" s="1852"/>
      <c r="G376" s="12"/>
    </row>
    <row r="377" spans="1:7">
      <c r="D377" s="1852"/>
      <c r="E377" s="1852"/>
      <c r="F377" s="1852"/>
      <c r="G377" s="12"/>
    </row>
    <row r="378" spans="1:7">
      <c r="D378" s="1852"/>
      <c r="E378" s="1852"/>
      <c r="F378" s="1852"/>
      <c r="G378" s="12"/>
    </row>
    <row r="379" spans="1:7">
      <c r="D379" s="1852"/>
      <c r="E379" s="1852"/>
      <c r="F379" s="1852"/>
      <c r="G379" s="12"/>
    </row>
    <row r="380" spans="1:7">
      <c r="D380" s="1852"/>
      <c r="E380" s="1852"/>
      <c r="F380" s="1852"/>
      <c r="G380" s="12"/>
    </row>
    <row r="381" spans="1:7">
      <c r="D381" s="1852"/>
      <c r="E381" s="1852"/>
      <c r="F381" s="1852"/>
      <c r="G381" s="12"/>
    </row>
    <row r="382" spans="1:7">
      <c r="D382" s="1852"/>
      <c r="E382" s="1852"/>
      <c r="F382" s="1852"/>
      <c r="G382" s="12"/>
    </row>
    <row r="383" spans="1:7">
      <c r="D383" s="1852"/>
      <c r="E383" s="1852"/>
      <c r="F383" s="1852"/>
      <c r="G383" s="12"/>
    </row>
    <row r="384" spans="1:7">
      <c r="D384" s="1852"/>
      <c r="E384" s="1852"/>
      <c r="F384" s="1852"/>
      <c r="G384" s="12"/>
    </row>
    <row r="385" spans="1:7">
      <c r="D385" s="1852"/>
      <c r="E385" s="1852"/>
      <c r="F385" s="1852"/>
      <c r="G385" s="12"/>
    </row>
    <row r="386" spans="1:7">
      <c r="A386" s="12"/>
      <c r="B386" s="12"/>
      <c r="C386" s="12"/>
      <c r="D386" s="1852"/>
      <c r="E386" s="1852"/>
      <c r="F386" s="1852"/>
      <c r="G386" s="12"/>
    </row>
    <row r="387" spans="1:7">
      <c r="A387" s="12"/>
      <c r="B387" s="12"/>
      <c r="C387" s="12"/>
      <c r="D387" s="1852"/>
      <c r="E387" s="1852"/>
      <c r="F387" s="1852"/>
      <c r="G387" s="12"/>
    </row>
    <row r="388" spans="1:7">
      <c r="A388" s="12"/>
      <c r="B388" s="12"/>
      <c r="C388" s="12"/>
      <c r="D388" s="1852"/>
      <c r="E388" s="1852"/>
      <c r="F388" s="1852"/>
      <c r="G388" s="12"/>
    </row>
    <row r="389" spans="1:7">
      <c r="A389" s="12"/>
      <c r="B389" s="12"/>
      <c r="C389" s="12"/>
      <c r="D389" s="1852"/>
      <c r="E389" s="1852"/>
      <c r="F389" s="1852"/>
      <c r="G389" s="12"/>
    </row>
    <row r="390" spans="1:7">
      <c r="A390" s="12"/>
      <c r="B390" s="12"/>
      <c r="C390" s="12"/>
      <c r="D390" s="1852"/>
      <c r="E390" s="1852"/>
      <c r="F390" s="1852"/>
      <c r="G390" s="12"/>
    </row>
    <row r="391" spans="1:7">
      <c r="A391" s="12"/>
      <c r="B391" s="12"/>
      <c r="C391" s="12"/>
      <c r="D391" s="1852"/>
      <c r="E391" s="1852"/>
      <c r="F391" s="1852"/>
      <c r="G391" s="12"/>
    </row>
    <row r="392" spans="1:7">
      <c r="A392" s="12"/>
      <c r="B392" s="12"/>
      <c r="C392" s="12"/>
      <c r="D392" s="1852"/>
      <c r="E392" s="1852"/>
      <c r="F392" s="1852"/>
      <c r="G392" s="12"/>
    </row>
    <row r="393" spans="1:7">
      <c r="A393" s="12"/>
      <c r="B393" s="12"/>
      <c r="C393" s="12"/>
      <c r="D393" s="1852"/>
      <c r="E393" s="1852"/>
      <c r="F393" s="1852"/>
      <c r="G393" s="12"/>
    </row>
    <row r="394" spans="1:7">
      <c r="A394" s="12"/>
      <c r="B394" s="12"/>
      <c r="C394" s="12"/>
      <c r="D394" s="1852"/>
      <c r="E394" s="1852"/>
      <c r="F394" s="1852"/>
      <c r="G394" s="12"/>
    </row>
    <row r="395" spans="1:7">
      <c r="A395" s="12"/>
      <c r="B395" s="12"/>
      <c r="C395" s="12"/>
      <c r="D395" s="1852"/>
      <c r="E395" s="1852"/>
      <c r="F395" s="1852"/>
      <c r="G395" s="12"/>
    </row>
    <row r="396" spans="1:7">
      <c r="A396" s="12"/>
      <c r="B396" s="12"/>
      <c r="C396" s="12"/>
      <c r="D396" s="1852"/>
      <c r="E396" s="1852"/>
      <c r="F396" s="1852"/>
      <c r="G396" s="12"/>
    </row>
    <row r="397" spans="1:7">
      <c r="A397" s="12"/>
      <c r="B397" s="12"/>
      <c r="C397" s="12"/>
      <c r="D397" s="1852"/>
      <c r="E397" s="1852"/>
      <c r="F397" s="1852"/>
      <c r="G397" s="12"/>
    </row>
    <row r="398" spans="1:7">
      <c r="A398" s="12"/>
      <c r="B398" s="12"/>
      <c r="C398" s="12"/>
      <c r="D398" s="1852"/>
      <c r="E398" s="1852"/>
      <c r="F398" s="1852"/>
      <c r="G398" s="12"/>
    </row>
    <row r="399" spans="1:7">
      <c r="A399" s="12"/>
      <c r="B399" s="12"/>
      <c r="C399" s="12"/>
      <c r="D399" s="1852"/>
      <c r="E399" s="1852"/>
      <c r="F399" s="1852"/>
      <c r="G399" s="12"/>
    </row>
    <row r="400" spans="1:7">
      <c r="A400" s="12"/>
      <c r="B400" s="12"/>
      <c r="C400" s="12"/>
      <c r="D400" s="1852"/>
      <c r="E400" s="1852"/>
      <c r="F400" s="1852"/>
      <c r="G400" s="12"/>
    </row>
    <row r="401" spans="1:7">
      <c r="A401" s="12"/>
      <c r="B401" s="12"/>
      <c r="C401" s="12"/>
      <c r="D401" s="1852"/>
      <c r="E401" s="1852"/>
      <c r="F401" s="1852"/>
      <c r="G401" s="12"/>
    </row>
    <row r="402" spans="1:7" s="32" customFormat="1">
      <c r="A402" s="132"/>
      <c r="B402" s="677"/>
      <c r="C402" s="132"/>
      <c r="D402" s="1852"/>
      <c r="E402" s="1852"/>
      <c r="F402" s="1852"/>
      <c r="G402" s="30"/>
    </row>
    <row r="403" spans="1:7" s="32" customFormat="1" ht="40.700000000000003" customHeight="1">
      <c r="A403" s="132"/>
      <c r="B403" s="677"/>
      <c r="C403" s="132"/>
      <c r="D403" s="1852"/>
      <c r="E403" s="1852"/>
      <c r="F403" s="1852"/>
      <c r="G403" s="30"/>
    </row>
    <row r="404" spans="1:7" s="32" customFormat="1">
      <c r="A404" s="132"/>
      <c r="B404" s="677"/>
      <c r="C404" s="132"/>
      <c r="D404" s="135"/>
      <c r="E404" s="135"/>
      <c r="F404" s="135"/>
      <c r="G404" s="30"/>
    </row>
    <row r="405" spans="1:7" ht="14.25">
      <c r="A405" s="261"/>
      <c r="B405" s="680" t="s">
        <v>318</v>
      </c>
      <c r="C405" s="266"/>
      <c r="D405" s="1865" t="s">
        <v>1325</v>
      </c>
      <c r="E405" s="1865"/>
      <c r="F405" s="1865"/>
    </row>
    <row r="406" spans="1:7">
      <c r="D406" s="1882" t="s">
        <v>1089</v>
      </c>
      <c r="E406" s="1882"/>
      <c r="F406" s="1882"/>
    </row>
    <row r="407" spans="1:7">
      <c r="D407" s="1866" t="s">
        <v>1326</v>
      </c>
      <c r="E407" s="1866"/>
      <c r="F407" s="1866"/>
    </row>
    <row r="408" spans="1:7">
      <c r="D408" s="1866"/>
      <c r="E408" s="1866"/>
      <c r="F408" s="1866"/>
    </row>
    <row r="409" spans="1:7">
      <c r="D409" s="1866"/>
      <c r="E409" s="1866"/>
      <c r="F409" s="1866"/>
    </row>
    <row r="410" spans="1:7">
      <c r="D410" s="1866"/>
      <c r="E410" s="1866"/>
      <c r="F410" s="1866"/>
    </row>
    <row r="411" spans="1:7">
      <c r="D411" s="135"/>
      <c r="E411" s="135"/>
      <c r="F411" s="135"/>
      <c r="G411" s="12"/>
    </row>
    <row r="412" spans="1:7" ht="14.25">
      <c r="A412" s="261"/>
      <c r="B412" s="680" t="s">
        <v>318</v>
      </c>
      <c r="C412" s="266"/>
      <c r="D412" s="1852" t="s">
        <v>1327</v>
      </c>
      <c r="E412" s="1852"/>
      <c r="F412" s="1852"/>
      <c r="G412" s="12"/>
    </row>
    <row r="413" spans="1:7">
      <c r="D413" s="1852"/>
      <c r="E413" s="1852"/>
      <c r="F413" s="1852"/>
      <c r="G413" s="12"/>
    </row>
    <row r="414" spans="1:7">
      <c r="D414" s="1852"/>
      <c r="E414" s="1852"/>
      <c r="F414" s="1852"/>
      <c r="G414" s="12"/>
    </row>
    <row r="415" spans="1:7" s="720" customFormat="1">
      <c r="A415" s="732"/>
      <c r="B415" s="732"/>
      <c r="C415" s="732"/>
      <c r="D415" s="729"/>
      <c r="E415" s="729"/>
      <c r="F415" s="729"/>
    </row>
    <row r="416" spans="1:7" ht="14.25">
      <c r="B416" s="680" t="s">
        <v>318</v>
      </c>
      <c r="C416" s="261"/>
      <c r="D416" s="1866" t="s">
        <v>1328</v>
      </c>
      <c r="E416" s="1866"/>
      <c r="F416" s="1866"/>
      <c r="G416" s="12"/>
    </row>
    <row r="417" spans="1:7">
      <c r="D417" s="1866"/>
      <c r="E417" s="1866"/>
      <c r="F417" s="1866"/>
      <c r="G417" s="12"/>
    </row>
    <row r="418" spans="1:7">
      <c r="D418" s="135"/>
      <c r="E418" s="135"/>
      <c r="F418" s="135"/>
      <c r="G418" s="12"/>
    </row>
    <row r="419" spans="1:7" ht="14.25">
      <c r="B419" s="680" t="s">
        <v>318</v>
      </c>
      <c r="C419" s="261"/>
      <c r="D419" s="1866" t="s">
        <v>1329</v>
      </c>
      <c r="E419" s="1866"/>
      <c r="F419" s="1866"/>
      <c r="G419" s="12"/>
    </row>
    <row r="420" spans="1:7">
      <c r="D420" s="1866"/>
      <c r="E420" s="1866"/>
      <c r="F420" s="1866"/>
      <c r="G420" s="12"/>
    </row>
    <row r="421" spans="1:7">
      <c r="D421" s="1866"/>
      <c r="E421" s="1866"/>
      <c r="F421" s="1866"/>
      <c r="G421" s="12"/>
    </row>
    <row r="422" spans="1:7">
      <c r="D422" s="1866"/>
      <c r="E422" s="1866"/>
      <c r="F422" s="1866"/>
      <c r="G422" s="12"/>
    </row>
    <row r="423" spans="1:7">
      <c r="B423" s="680" t="s">
        <v>318</v>
      </c>
      <c r="D423" s="1866"/>
      <c r="E423" s="1866"/>
      <c r="F423" s="1866"/>
      <c r="G423" s="12"/>
    </row>
    <row r="424" spans="1:7">
      <c r="A424" s="12"/>
      <c r="B424" s="12"/>
      <c r="C424" s="12"/>
      <c r="D424" s="1866"/>
      <c r="E424" s="1866"/>
      <c r="F424" s="1866"/>
      <c r="G424" s="12"/>
    </row>
    <row r="425" spans="1:7">
      <c r="A425" s="12"/>
      <c r="C425" s="12"/>
      <c r="D425" s="1866"/>
      <c r="E425" s="1866"/>
      <c r="F425" s="1866"/>
      <c r="G425" s="12"/>
    </row>
    <row r="426" spans="1:7">
      <c r="A426" s="12"/>
      <c r="B426" s="680" t="s">
        <v>318</v>
      </c>
      <c r="C426" s="12"/>
      <c r="D426" s="1866"/>
      <c r="E426" s="1866"/>
      <c r="F426" s="1866"/>
      <c r="G426" s="12"/>
    </row>
    <row r="427" spans="1:7">
      <c r="A427" s="12"/>
      <c r="B427" s="12"/>
      <c r="C427" s="12"/>
      <c r="D427" s="1866"/>
      <c r="E427" s="1866"/>
      <c r="F427" s="1866"/>
      <c r="G427" s="12"/>
    </row>
    <row r="428" spans="1:7">
      <c r="A428" s="12"/>
      <c r="C428" s="12"/>
      <c r="D428" s="1866"/>
      <c r="E428" s="1866"/>
      <c r="F428" s="1866"/>
      <c r="G428" s="12"/>
    </row>
    <row r="429" spans="1:7">
      <c r="A429" s="12"/>
      <c r="C429" s="12"/>
      <c r="D429" s="1866"/>
      <c r="E429" s="1866"/>
      <c r="F429" s="1866"/>
      <c r="G429" s="12"/>
    </row>
    <row r="430" spans="1:7">
      <c r="A430" s="12"/>
      <c r="B430" s="680" t="s">
        <v>318</v>
      </c>
      <c r="C430" s="12"/>
      <c r="D430" s="1866"/>
      <c r="E430" s="1866"/>
      <c r="F430" s="1866"/>
      <c r="G430" s="12"/>
    </row>
    <row r="431" spans="1:7">
      <c r="A431" s="12"/>
      <c r="B431" s="12"/>
      <c r="C431" s="12"/>
      <c r="D431" s="1866"/>
      <c r="E431" s="1866"/>
      <c r="F431" s="1866"/>
      <c r="G431" s="12"/>
    </row>
    <row r="432" spans="1:7">
      <c r="A432" s="12"/>
      <c r="B432" s="680" t="s">
        <v>318</v>
      </c>
      <c r="C432" s="12"/>
      <c r="D432" s="1866"/>
      <c r="E432" s="1866"/>
      <c r="F432" s="1866"/>
      <c r="G432" s="12"/>
    </row>
    <row r="433" spans="1:7" s="720" customFormat="1">
      <c r="D433" s="730"/>
      <c r="E433" s="730"/>
      <c r="F433" s="730"/>
    </row>
    <row r="434" spans="1:7">
      <c r="A434" s="12"/>
      <c r="B434" s="719" t="s">
        <v>318</v>
      </c>
      <c r="C434" s="12"/>
      <c r="D434" s="1866" t="s">
        <v>1330</v>
      </c>
      <c r="E434" s="1866"/>
      <c r="F434" s="1866"/>
      <c r="G434" s="12"/>
    </row>
    <row r="435" spans="1:7">
      <c r="A435" s="12"/>
      <c r="B435" s="12"/>
      <c r="C435" s="12"/>
      <c r="D435" s="1866"/>
      <c r="E435" s="1866"/>
      <c r="F435" s="1866"/>
      <c r="G435" s="12"/>
    </row>
    <row r="436" spans="1:7">
      <c r="A436" s="12"/>
      <c r="B436" s="12"/>
      <c r="C436" s="12"/>
      <c r="D436" s="1866"/>
      <c r="E436" s="1866"/>
      <c r="F436" s="1866"/>
      <c r="G436" s="12"/>
    </row>
    <row r="437" spans="1:7">
      <c r="A437" s="12"/>
      <c r="B437" s="12"/>
      <c r="C437" s="12"/>
      <c r="D437" s="1866"/>
      <c r="E437" s="1866"/>
      <c r="F437" s="1866"/>
      <c r="G437" s="12"/>
    </row>
    <row r="438" spans="1:7">
      <c r="D438" s="1866"/>
      <c r="E438" s="1866"/>
      <c r="F438" s="1866"/>
    </row>
    <row r="439" spans="1:7">
      <c r="D439" s="135"/>
      <c r="E439" s="135"/>
      <c r="F439" s="135"/>
    </row>
    <row r="440" spans="1:7">
      <c r="B440" s="680" t="s">
        <v>318</v>
      </c>
      <c r="D440" s="1867" t="s">
        <v>1331</v>
      </c>
      <c r="E440" s="1867"/>
      <c r="F440" s="1867"/>
    </row>
    <row r="441" spans="1:7">
      <c r="A441" s="135"/>
      <c r="B441" s="135"/>
    </row>
    <row r="442" spans="1:7">
      <c r="A442" s="1872" t="s">
        <v>1172</v>
      </c>
      <c r="B442" s="1872"/>
      <c r="C442" s="1872"/>
      <c r="D442" s="1872"/>
      <c r="E442" s="1872"/>
      <c r="F442" s="1872"/>
      <c r="G442" s="1872"/>
    </row>
    <row r="443" spans="1:7">
      <c r="A443" s="135"/>
      <c r="B443" s="135"/>
    </row>
    <row r="444" spans="1:7">
      <c r="D444" s="1868" t="s">
        <v>952</v>
      </c>
      <c r="E444" s="1868"/>
      <c r="F444" s="1868"/>
    </row>
    <row r="445" spans="1:7" s="39" customFormat="1" ht="14.25">
      <c r="A445" s="404"/>
      <c r="B445" s="404"/>
      <c r="C445" s="273"/>
      <c r="D445" s="1869" t="s">
        <v>1332</v>
      </c>
      <c r="E445" s="1869"/>
      <c r="F445" s="1869"/>
      <c r="G445" s="130"/>
    </row>
    <row r="446" spans="1:7" s="39" customFormat="1" ht="14.25">
      <c r="A446" s="404"/>
      <c r="B446" s="404"/>
      <c r="C446" s="273"/>
      <c r="D446" s="733"/>
      <c r="E446" s="6"/>
      <c r="F446" s="6"/>
      <c r="G446" s="130"/>
    </row>
    <row r="447" spans="1:7" s="39" customFormat="1" ht="14.25">
      <c r="A447" s="261"/>
      <c r="B447" s="680" t="s">
        <v>318</v>
      </c>
      <c r="C447" s="273"/>
      <c r="D447" s="1870" t="s">
        <v>1333</v>
      </c>
      <c r="E447" s="1870"/>
      <c r="F447" s="1870"/>
      <c r="G447" s="130"/>
    </row>
    <row r="448" spans="1:7" s="39" customFormat="1" ht="14.25">
      <c r="A448" s="261"/>
      <c r="B448" s="261"/>
      <c r="C448" s="273"/>
      <c r="D448" s="1870"/>
      <c r="E448" s="1870"/>
      <c r="F448" s="1870"/>
      <c r="G448" s="130"/>
    </row>
    <row r="449" spans="1:7" s="39" customFormat="1" ht="14.25">
      <c r="A449" s="261"/>
      <c r="B449" s="261"/>
      <c r="C449" s="273"/>
      <c r="D449" s="731"/>
      <c r="E449" s="6"/>
      <c r="F449" s="6"/>
      <c r="G449" s="130"/>
    </row>
    <row r="450" spans="1:7">
      <c r="B450" s="680" t="s">
        <v>318</v>
      </c>
      <c r="D450" s="1871" t="s">
        <v>1334</v>
      </c>
      <c r="E450" s="1871"/>
      <c r="F450" s="1871"/>
    </row>
    <row r="451" spans="1:7" ht="14.25">
      <c r="A451" s="261"/>
      <c r="D451" s="1871"/>
      <c r="E451" s="1871"/>
      <c r="F451" s="1871"/>
    </row>
    <row r="452" spans="1:7" ht="14.25">
      <c r="A452" s="261"/>
      <c r="B452" s="261"/>
      <c r="D452" s="1871"/>
      <c r="E452" s="1871"/>
      <c r="F452" s="1871"/>
    </row>
    <row r="453" spans="1:7" ht="14.25">
      <c r="A453" s="261"/>
      <c r="B453" s="261"/>
      <c r="D453" s="1871"/>
      <c r="E453" s="1871"/>
      <c r="F453" s="1871"/>
    </row>
    <row r="454" spans="1:7">
      <c r="D454" s="679"/>
      <c r="E454" s="679"/>
      <c r="F454" s="679"/>
      <c r="G454" s="12"/>
    </row>
    <row r="455" spans="1:7" ht="14.25">
      <c r="A455" s="261"/>
      <c r="B455" s="680" t="s">
        <v>318</v>
      </c>
      <c r="D455" s="1853" t="s">
        <v>1335</v>
      </c>
      <c r="E455" s="1853"/>
      <c r="F455" s="1853"/>
      <c r="G455" s="12"/>
    </row>
    <row r="456" spans="1:7" ht="14.25">
      <c r="A456" s="261"/>
      <c r="B456" s="261"/>
      <c r="D456" s="1853"/>
      <c r="E456" s="1853"/>
      <c r="F456" s="1853"/>
      <c r="G456" s="12"/>
    </row>
    <row r="457" spans="1:7" ht="14.25">
      <c r="A457" s="261"/>
      <c r="D457" s="1853"/>
      <c r="E457" s="1853"/>
      <c r="F457" s="1853"/>
      <c r="G457" s="12"/>
    </row>
    <row r="458" spans="1:7" ht="14.25">
      <c r="A458" s="261"/>
      <c r="B458" s="261"/>
      <c r="D458" s="679"/>
      <c r="E458" s="679"/>
      <c r="F458" s="679"/>
      <c r="G458" s="12"/>
    </row>
    <row r="459" spans="1:7" ht="14.25">
      <c r="A459" s="261"/>
      <c r="B459" s="719" t="s">
        <v>318</v>
      </c>
      <c r="D459" s="1865" t="s">
        <v>1336</v>
      </c>
      <c r="E459" s="1865"/>
      <c r="F459" s="1865"/>
      <c r="G459" s="12"/>
    </row>
    <row r="460" spans="1:7" ht="14.25">
      <c r="A460" s="261"/>
      <c r="B460" s="261"/>
      <c r="D460" s="731"/>
      <c r="E460" s="6"/>
      <c r="F460" s="6"/>
      <c r="G460" s="12"/>
    </row>
    <row r="461" spans="1:7" ht="14.25">
      <c r="A461" s="261"/>
      <c r="B461" s="680" t="s">
        <v>318</v>
      </c>
      <c r="D461" s="1852" t="s">
        <v>1337</v>
      </c>
      <c r="E461" s="1852"/>
      <c r="F461" s="1852"/>
      <c r="G461" s="12"/>
    </row>
    <row r="462" spans="1:7" ht="14.25">
      <c r="A462" s="261"/>
      <c r="D462" s="1852"/>
      <c r="E462" s="1852"/>
      <c r="F462" s="1852"/>
      <c r="G462" s="12"/>
    </row>
    <row r="463" spans="1:7">
      <c r="A463" s="23"/>
      <c r="B463" s="676"/>
      <c r="D463" s="734"/>
      <c r="E463" s="6"/>
      <c r="F463" s="6"/>
      <c r="G463" s="12"/>
    </row>
    <row r="464" spans="1:7">
      <c r="A464" s="23"/>
      <c r="B464" s="719" t="s">
        <v>318</v>
      </c>
      <c r="D464" s="1865" t="s">
        <v>1338</v>
      </c>
      <c r="E464" s="1865"/>
      <c r="F464" s="1865"/>
      <c r="G464" s="12"/>
    </row>
    <row r="465" spans="1:7" ht="14.25">
      <c r="A465" s="261"/>
      <c r="B465" s="261"/>
      <c r="D465" s="135"/>
    </row>
    <row r="466" spans="1:7">
      <c r="A466" s="1872" t="s">
        <v>1173</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873" t="s">
        <v>855</v>
      </c>
      <c r="E468" s="1873"/>
      <c r="F468" s="1873"/>
      <c r="G468" s="182"/>
    </row>
    <row r="469" spans="1:7" customFormat="1" ht="13.15" customHeight="1">
      <c r="A469" s="260"/>
      <c r="B469" s="260"/>
      <c r="C469" s="314"/>
      <c r="D469" s="1874" t="s">
        <v>1216</v>
      </c>
      <c r="E469" s="1874"/>
      <c r="F469" s="1874"/>
      <c r="G469" s="149"/>
    </row>
    <row r="470" spans="1:7" customFormat="1">
      <c r="A470" s="260"/>
      <c r="B470" s="260"/>
      <c r="C470" s="314"/>
      <c r="D470" s="1874"/>
      <c r="E470" s="1874"/>
      <c r="F470" s="1874"/>
      <c r="G470" s="149"/>
    </row>
    <row r="471" spans="1:7" customFormat="1">
      <c r="A471" s="260"/>
      <c r="B471" s="260"/>
      <c r="C471" s="314"/>
      <c r="D471" s="1874"/>
      <c r="E471" s="1874"/>
      <c r="F471" s="1874"/>
      <c r="G471" s="149"/>
    </row>
    <row r="472" spans="1:7" customFormat="1">
      <c r="A472" s="260"/>
      <c r="B472" s="260"/>
      <c r="C472" s="314"/>
      <c r="D472" s="1874"/>
      <c r="E472" s="1874"/>
      <c r="F472" s="1874"/>
      <c r="G472" s="149"/>
    </row>
    <row r="473" spans="1:7" customFormat="1">
      <c r="A473" s="260"/>
      <c r="B473" s="260"/>
      <c r="C473" s="314"/>
      <c r="D473" s="1874"/>
      <c r="E473" s="1874"/>
      <c r="F473" s="1874"/>
      <c r="G473" s="149"/>
    </row>
    <row r="474" spans="1:7" customFormat="1">
      <c r="A474" s="260"/>
      <c r="B474" s="260"/>
      <c r="C474" s="314"/>
      <c r="D474" s="472"/>
      <c r="E474" s="149"/>
      <c r="F474" s="151"/>
      <c r="G474" s="149"/>
    </row>
    <row r="475" spans="1:7" customFormat="1" ht="14.45" customHeight="1">
      <c r="A475" s="261"/>
      <c r="B475" s="680" t="s">
        <v>318</v>
      </c>
      <c r="C475" s="314"/>
      <c r="D475" s="1914" t="s">
        <v>1207</v>
      </c>
      <c r="E475" s="1914"/>
      <c r="F475" s="1914"/>
      <c r="G475" s="149"/>
    </row>
    <row r="476" spans="1:7" customFormat="1">
      <c r="A476" s="260"/>
      <c r="B476" s="260"/>
      <c r="C476" s="314"/>
      <c r="D476" s="1914"/>
      <c r="E476" s="1914"/>
      <c r="F476" s="1914"/>
      <c r="G476" s="149"/>
    </row>
    <row r="477" spans="1:7" s="681" customFormat="1">
      <c r="A477" s="260"/>
      <c r="B477" s="260"/>
      <c r="C477" s="314"/>
      <c r="D477" s="1914"/>
      <c r="E477" s="1914"/>
      <c r="F477" s="1914"/>
      <c r="G477" s="149"/>
    </row>
    <row r="478" spans="1:7" s="681" customFormat="1">
      <c r="A478" s="260"/>
      <c r="B478" s="260"/>
      <c r="C478" s="314"/>
      <c r="D478" s="1914"/>
      <c r="E478" s="1914"/>
      <c r="F478" s="1914"/>
      <c r="G478" s="149"/>
    </row>
    <row r="479" spans="1:7" customFormat="1">
      <c r="A479" s="260"/>
      <c r="B479" s="260"/>
      <c r="C479" s="314"/>
      <c r="D479" s="1914"/>
      <c r="E479" s="1914"/>
      <c r="F479" s="1914"/>
      <c r="G479" s="149"/>
    </row>
    <row r="480" spans="1:7" customFormat="1">
      <c r="A480" s="260"/>
      <c r="B480" s="260"/>
      <c r="C480" s="314"/>
      <c r="D480" s="444"/>
      <c r="E480" s="149"/>
      <c r="F480" s="151"/>
      <c r="G480" s="149"/>
    </row>
    <row r="481" spans="1:7" customFormat="1" ht="14.45" customHeight="1">
      <c r="A481" s="261"/>
      <c r="B481" s="680" t="s">
        <v>318</v>
      </c>
      <c r="C481" s="314"/>
      <c r="D481" s="1914" t="s">
        <v>1210</v>
      </c>
      <c r="E481" s="1914"/>
      <c r="F481" s="1914"/>
      <c r="G481" s="149"/>
    </row>
    <row r="482" spans="1:7" customFormat="1">
      <c r="A482" s="260"/>
      <c r="B482" s="260"/>
      <c r="C482" s="314"/>
      <c r="D482" s="1914"/>
      <c r="E482" s="1914"/>
      <c r="F482" s="1914"/>
      <c r="G482" s="149"/>
    </row>
    <row r="483" spans="1:7" s="681" customFormat="1">
      <c r="A483" s="260"/>
      <c r="B483" s="260"/>
      <c r="C483" s="314"/>
      <c r="D483" s="1914"/>
      <c r="E483" s="1914"/>
      <c r="F483" s="1914"/>
      <c r="G483" s="149"/>
    </row>
    <row r="484" spans="1:7" customFormat="1">
      <c r="A484" s="260"/>
      <c r="B484" s="260"/>
      <c r="C484" s="314"/>
      <c r="D484" s="1914"/>
      <c r="E484" s="1914"/>
      <c r="F484" s="1914"/>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4" t="s">
        <v>1208</v>
      </c>
      <c r="E486" s="1914"/>
      <c r="F486" s="1914"/>
      <c r="G486" s="149"/>
    </row>
    <row r="487" spans="1:7" customFormat="1">
      <c r="A487" s="260"/>
      <c r="B487" s="260"/>
      <c r="C487" s="314"/>
      <c r="D487" s="1914"/>
      <c r="E487" s="1914"/>
      <c r="F487" s="1914"/>
      <c r="G487" s="149"/>
    </row>
    <row r="488" spans="1:7" customFormat="1">
      <c r="A488" s="260"/>
      <c r="B488" s="260"/>
      <c r="C488" s="314"/>
      <c r="D488" s="1914"/>
      <c r="E488" s="1914"/>
      <c r="F488" s="1914"/>
      <c r="G488" s="149"/>
    </row>
    <row r="489" spans="1:7" s="681" customFormat="1">
      <c r="A489" s="260"/>
      <c r="B489" s="260"/>
      <c r="C489" s="314"/>
      <c r="D489" s="701"/>
      <c r="E489" s="701"/>
      <c r="F489" s="701"/>
      <c r="G489" s="149"/>
    </row>
    <row r="490" spans="1:7" customFormat="1" ht="14.45" customHeight="1">
      <c r="A490" s="261"/>
      <c r="B490" s="680" t="s">
        <v>318</v>
      </c>
      <c r="C490" s="314"/>
      <c r="D490" s="1914" t="s">
        <v>1209</v>
      </c>
      <c r="E490" s="1914"/>
      <c r="F490" s="1914"/>
      <c r="G490" s="149"/>
    </row>
    <row r="491" spans="1:7" customFormat="1">
      <c r="A491" s="260"/>
      <c r="B491" s="260"/>
      <c r="C491" s="314"/>
      <c r="D491" s="1914"/>
      <c r="E491" s="1914"/>
      <c r="F491" s="1914"/>
      <c r="G491" s="149"/>
    </row>
    <row r="492" spans="1:7" customFormat="1">
      <c r="A492" s="260"/>
      <c r="B492" s="260"/>
      <c r="C492" s="314"/>
      <c r="D492" s="1914"/>
      <c r="E492" s="1914"/>
      <c r="F492" s="1914"/>
      <c r="G492" s="149"/>
    </row>
    <row r="493" spans="1:7" customFormat="1">
      <c r="A493" s="260"/>
      <c r="B493" s="260"/>
      <c r="C493" s="314"/>
      <c r="D493" s="1914"/>
      <c r="E493" s="1914"/>
      <c r="F493" s="1914"/>
      <c r="G493" s="149"/>
    </row>
    <row r="494" spans="1:7" customFormat="1">
      <c r="A494" s="260"/>
      <c r="B494" s="260"/>
      <c r="C494" s="314"/>
      <c r="D494" s="1914"/>
      <c r="E494" s="1914"/>
      <c r="F494" s="1914"/>
      <c r="G494" s="149"/>
    </row>
    <row r="495" spans="1:7" customFormat="1">
      <c r="A495" s="260"/>
      <c r="B495" s="260"/>
      <c r="C495" s="314"/>
      <c r="D495" s="1914"/>
      <c r="E495" s="1914"/>
      <c r="F495" s="1914"/>
      <c r="G495" s="149"/>
    </row>
    <row r="496" spans="1:7" customFormat="1">
      <c r="A496" s="260"/>
      <c r="B496" s="260"/>
      <c r="C496" s="314"/>
      <c r="D496" s="1914"/>
      <c r="E496" s="1914"/>
      <c r="F496" s="1914"/>
      <c r="G496" s="149"/>
    </row>
    <row r="497" spans="1:7" customFormat="1">
      <c r="A497" s="488"/>
      <c r="B497" s="488"/>
      <c r="C497" s="487"/>
      <c r="D497" s="1914"/>
      <c r="E497" s="1914"/>
      <c r="F497" s="1914"/>
      <c r="G497" s="149"/>
    </row>
    <row r="498" spans="1:7" customFormat="1">
      <c r="A498" s="488"/>
      <c r="B498" s="488"/>
      <c r="C498" s="487"/>
      <c r="D498" s="1914"/>
      <c r="E498" s="1914"/>
      <c r="F498" s="1914"/>
      <c r="G498" s="149"/>
    </row>
    <row r="499" spans="1:7" customFormat="1">
      <c r="A499" s="488"/>
      <c r="B499" s="488"/>
      <c r="C499" s="487"/>
      <c r="D499" s="444"/>
      <c r="E499" s="149"/>
      <c r="F499" s="151"/>
      <c r="G499" s="149"/>
    </row>
    <row r="500" spans="1:7" customFormat="1" ht="13.15" customHeight="1">
      <c r="A500" s="488"/>
      <c r="B500" s="680" t="s">
        <v>318</v>
      </c>
      <c r="C500" s="487"/>
      <c r="D500" s="1864" t="s">
        <v>1353</v>
      </c>
      <c r="E500" s="1864"/>
      <c r="F500" s="1864"/>
      <c r="G500" s="149"/>
    </row>
    <row r="501" spans="1:7" customFormat="1">
      <c r="A501" s="488"/>
      <c r="B501" s="488"/>
      <c r="C501" s="487"/>
      <c r="D501" s="1864"/>
      <c r="E501" s="1864"/>
      <c r="F501" s="1864"/>
      <c r="G501" s="149"/>
    </row>
    <row r="502" spans="1:7" customFormat="1">
      <c r="A502" s="488"/>
      <c r="B502" s="488"/>
      <c r="C502" s="487"/>
      <c r="D502" s="1864"/>
      <c r="E502" s="1864"/>
      <c r="F502" s="1864"/>
      <c r="G502" s="149"/>
    </row>
    <row r="503" spans="1:7" customFormat="1">
      <c r="A503" s="488"/>
      <c r="B503" s="488"/>
      <c r="C503" s="487"/>
      <c r="D503" s="1864"/>
      <c r="E503" s="1864"/>
      <c r="F503" s="1864"/>
      <c r="G503" s="149"/>
    </row>
    <row r="504" spans="1:7" customFormat="1">
      <c r="A504" s="260"/>
      <c r="B504" s="260"/>
      <c r="C504" s="314"/>
      <c r="D504" s="1864"/>
      <c r="E504" s="1864"/>
      <c r="F504" s="1864"/>
      <c r="G504" s="149"/>
    </row>
    <row r="505" spans="1:7" s="718" customFormat="1">
      <c r="A505" s="721"/>
      <c r="B505" s="721"/>
      <c r="C505" s="314"/>
      <c r="D505" s="742"/>
      <c r="E505" s="742"/>
      <c r="F505" s="742"/>
      <c r="G505" s="149"/>
    </row>
    <row r="506" spans="1:7" customFormat="1" ht="14.45" customHeight="1">
      <c r="A506" s="261"/>
      <c r="B506" s="680" t="s">
        <v>318</v>
      </c>
      <c r="C506" s="10"/>
      <c r="D506" s="1914" t="s">
        <v>1211</v>
      </c>
      <c r="E506" s="1914"/>
      <c r="F506" s="1914"/>
      <c r="G506" s="149"/>
    </row>
    <row r="507" spans="1:7" customFormat="1">
      <c r="A507" s="132"/>
      <c r="B507" s="677"/>
      <c r="C507" s="10"/>
      <c r="D507" s="1914"/>
      <c r="E507" s="1914"/>
      <c r="F507" s="1914"/>
      <c r="G507" s="149"/>
    </row>
    <row r="508" spans="1:7" customFormat="1">
      <c r="A508" s="132"/>
      <c r="B508" s="677"/>
      <c r="C508" s="10"/>
      <c r="D508" s="1914"/>
      <c r="E508" s="1914"/>
      <c r="F508" s="1914"/>
      <c r="G508" s="149"/>
    </row>
    <row r="509" spans="1:7" customFormat="1" ht="12" customHeight="1">
      <c r="A509" s="135"/>
      <c r="B509" s="135"/>
      <c r="C509" s="316"/>
      <c r="D509" s="135"/>
      <c r="E509" s="149"/>
      <c r="F509" s="315"/>
      <c r="G509" s="149"/>
    </row>
    <row r="510" spans="1:7">
      <c r="A510" s="1872" t="s">
        <v>1174</v>
      </c>
      <c r="B510" s="1872"/>
      <c r="C510" s="1872"/>
      <c r="D510" s="1872"/>
      <c r="E510" s="1872"/>
      <c r="F510" s="1872"/>
      <c r="G510" s="1872"/>
    </row>
    <row r="511" spans="1:7">
      <c r="A511" s="135"/>
      <c r="B511" s="135"/>
      <c r="C511" s="266"/>
      <c r="F511" s="134"/>
    </row>
    <row r="512" spans="1:7">
      <c r="B512" s="1900" t="s">
        <v>472</v>
      </c>
      <c r="C512" s="1900"/>
      <c r="D512" s="1900"/>
      <c r="E512" s="1900"/>
      <c r="F512" s="1900"/>
    </row>
    <row r="513" spans="1:7">
      <c r="A513" s="135"/>
      <c r="B513" s="135"/>
      <c r="C513" s="266"/>
      <c r="D513" s="135"/>
      <c r="F513" s="135"/>
    </row>
    <row r="514" spans="1:7">
      <c r="A514" s="1922" t="s">
        <v>1175</v>
      </c>
      <c r="B514" s="1922"/>
      <c r="C514" s="1922"/>
      <c r="D514" s="1922"/>
      <c r="E514" s="1922"/>
      <c r="F514" s="1922"/>
      <c r="G514" s="1922"/>
    </row>
    <row r="515" spans="1:7">
      <c r="A515" s="135"/>
      <c r="B515" s="135"/>
      <c r="C515" s="266"/>
      <c r="D515" s="135"/>
      <c r="F515" s="135"/>
    </row>
    <row r="516" spans="1:7">
      <c r="C516" s="266"/>
      <c r="D516" s="1875" t="s">
        <v>722</v>
      </c>
      <c r="E516" s="1875"/>
      <c r="F516" s="1875"/>
    </row>
    <row r="517" spans="1:7" s="683" customFormat="1">
      <c r="A517" s="700"/>
      <c r="B517" s="700"/>
      <c r="C517" s="266"/>
      <c r="D517" s="1865" t="s">
        <v>1232</v>
      </c>
      <c r="E517" s="1865"/>
      <c r="F517" s="1865"/>
      <c r="G517" s="7"/>
    </row>
    <row r="518" spans="1:7" s="683" customFormat="1">
      <c r="A518" s="700"/>
      <c r="B518" s="700"/>
      <c r="C518" s="266"/>
      <c r="D518" s="705"/>
      <c r="E518" s="705"/>
      <c r="F518" s="705"/>
      <c r="G518" s="7"/>
    </row>
    <row r="519" spans="1:7" ht="13.15" customHeight="1">
      <c r="A519" s="261"/>
      <c r="B519" s="680" t="s">
        <v>318</v>
      </c>
      <c r="C519" s="266"/>
      <c r="D519" s="1865" t="s">
        <v>953</v>
      </c>
      <c r="E519" s="1865"/>
      <c r="F519" s="1865"/>
      <c r="G519" s="12"/>
    </row>
    <row r="520" spans="1:7" ht="13.15" customHeight="1">
      <c r="A520" s="266"/>
      <c r="B520" s="266"/>
      <c r="C520" s="266"/>
      <c r="D520" s="705"/>
      <c r="E520" s="678"/>
      <c r="F520" s="678"/>
      <c r="G520" s="12"/>
    </row>
    <row r="521" spans="1:7" ht="14.25">
      <c r="A521" s="261"/>
      <c r="B521" s="680" t="s">
        <v>318</v>
      </c>
      <c r="C521" s="266"/>
      <c r="D521" s="1852" t="s">
        <v>1233</v>
      </c>
      <c r="E521" s="1852"/>
      <c r="F521" s="1852"/>
      <c r="G521" s="12"/>
    </row>
    <row r="522" spans="1:7">
      <c r="A522" s="266"/>
      <c r="B522" s="266"/>
      <c r="C522" s="266"/>
      <c r="D522" s="1852"/>
      <c r="E522" s="1852"/>
      <c r="F522" s="1852"/>
      <c r="G522" s="12"/>
    </row>
    <row r="523" spans="1:7">
      <c r="A523" s="266"/>
      <c r="B523" s="266"/>
      <c r="C523" s="266"/>
      <c r="D523" s="135"/>
      <c r="E523" s="135"/>
      <c r="F523" s="135"/>
      <c r="G523" s="12"/>
    </row>
    <row r="524" spans="1:7" ht="14.25">
      <c r="A524" s="261"/>
      <c r="B524" s="680" t="s">
        <v>318</v>
      </c>
      <c r="C524" s="266"/>
      <c r="D524" s="1852" t="s">
        <v>1234</v>
      </c>
      <c r="E524" s="1852"/>
      <c r="F524" s="1852"/>
      <c r="G524" s="12"/>
    </row>
    <row r="525" spans="1:7">
      <c r="A525" s="266"/>
      <c r="B525" s="266"/>
      <c r="C525" s="266"/>
      <c r="D525" s="1852"/>
      <c r="E525" s="1852"/>
      <c r="F525" s="1852"/>
      <c r="G525" s="12"/>
    </row>
    <row r="526" spans="1:7">
      <c r="A526" s="266"/>
      <c r="B526" s="266"/>
      <c r="C526" s="266"/>
      <c r="D526" s="135"/>
      <c r="E526" s="135"/>
      <c r="F526" s="135"/>
      <c r="G526" s="12"/>
    </row>
    <row r="527" spans="1:7" ht="14.25">
      <c r="A527" s="261"/>
      <c r="B527" s="680" t="s">
        <v>318</v>
      </c>
      <c r="C527" s="266"/>
      <c r="D527" s="1852" t="s">
        <v>1235</v>
      </c>
      <c r="E527" s="1852"/>
      <c r="F527" s="1852"/>
      <c r="G527" s="12"/>
    </row>
    <row r="528" spans="1:7">
      <c r="A528" s="266"/>
      <c r="B528" s="266"/>
      <c r="C528" s="266"/>
      <c r="D528" s="1852"/>
      <c r="E528" s="1852"/>
      <c r="F528" s="1852"/>
      <c r="G528" s="12"/>
    </row>
    <row r="529" spans="1:7">
      <c r="A529" s="266"/>
      <c r="B529" s="266"/>
      <c r="C529" s="266"/>
      <c r="D529" s="135"/>
      <c r="E529" s="135"/>
      <c r="F529" s="135"/>
      <c r="G529" s="12"/>
    </row>
    <row r="530" spans="1:7" ht="14.25">
      <c r="A530" s="261"/>
      <c r="B530" s="680" t="s">
        <v>318</v>
      </c>
      <c r="C530" s="266"/>
      <c r="D530" s="1852" t="s">
        <v>1236</v>
      </c>
      <c r="E530" s="1852"/>
      <c r="F530" s="1852"/>
      <c r="G530" s="12"/>
    </row>
    <row r="531" spans="1:7">
      <c r="A531" s="266"/>
      <c r="B531" s="266"/>
      <c r="C531" s="266"/>
      <c r="D531" s="1852"/>
      <c r="E531" s="1852"/>
      <c r="F531" s="1852"/>
      <c r="G531" s="12"/>
    </row>
    <row r="532" spans="1:7">
      <c r="A532" s="266"/>
      <c r="B532" s="266"/>
      <c r="C532" s="266"/>
      <c r="D532" s="1852"/>
      <c r="E532" s="1852"/>
      <c r="F532" s="1852"/>
      <c r="G532" s="12"/>
    </row>
    <row r="533" spans="1:7">
      <c r="A533" s="266"/>
      <c r="B533" s="266"/>
      <c r="C533" s="266"/>
      <c r="D533" s="135"/>
      <c r="E533" s="135"/>
      <c r="F533" s="135"/>
    </row>
    <row r="534" spans="1:7" ht="14.25">
      <c r="A534" s="261"/>
      <c r="B534" s="680" t="s">
        <v>318</v>
      </c>
      <c r="C534" s="266"/>
      <c r="D534" s="1887" t="s">
        <v>1354</v>
      </c>
      <c r="E534" s="1887"/>
      <c r="F534" s="1887"/>
    </row>
    <row r="535" spans="1:7">
      <c r="A535" s="266"/>
      <c r="B535" s="266"/>
      <c r="C535" s="266"/>
      <c r="D535" s="1887"/>
      <c r="E535" s="1887"/>
      <c r="F535" s="1887"/>
    </row>
    <row r="536" spans="1:7">
      <c r="A536" s="266"/>
      <c r="B536" s="266"/>
      <c r="C536" s="266"/>
      <c r="D536" s="135"/>
      <c r="E536" s="135"/>
      <c r="F536" s="135"/>
    </row>
    <row r="537" spans="1:7" ht="14.25">
      <c r="A537" s="261"/>
      <c r="B537" s="680" t="s">
        <v>318</v>
      </c>
      <c r="C537" s="266"/>
      <c r="D537" s="1887" t="s">
        <v>1237</v>
      </c>
      <c r="E537" s="1887"/>
      <c r="F537" s="1887"/>
    </row>
    <row r="538" spans="1:7">
      <c r="A538" s="266"/>
      <c r="B538" s="266"/>
      <c r="C538" s="266"/>
      <c r="D538" s="1887"/>
      <c r="E538" s="1887"/>
      <c r="F538" s="1887"/>
    </row>
    <row r="539" spans="1:7">
      <c r="A539" s="266"/>
      <c r="B539" s="266"/>
      <c r="C539" s="266"/>
      <c r="D539" s="135"/>
      <c r="E539" s="135"/>
      <c r="F539" s="135"/>
    </row>
    <row r="540" spans="1:7" ht="14.25">
      <c r="A540" s="261"/>
      <c r="B540" s="680" t="s">
        <v>318</v>
      </c>
      <c r="C540" s="266"/>
      <c r="D540" s="1852" t="s">
        <v>1238</v>
      </c>
      <c r="E540" s="1852"/>
      <c r="F540" s="1852"/>
    </row>
    <row r="541" spans="1:7">
      <c r="A541" s="266"/>
      <c r="B541" s="266"/>
      <c r="C541" s="266"/>
      <c r="D541" s="1852"/>
      <c r="E541" s="1852"/>
      <c r="F541" s="1852"/>
      <c r="G541" s="57"/>
    </row>
    <row r="542" spans="1:7">
      <c r="A542" s="266"/>
      <c r="B542" s="266"/>
      <c r="C542" s="266"/>
      <c r="D542" s="135"/>
      <c r="E542" s="135"/>
      <c r="F542" s="135"/>
      <c r="G542" s="57"/>
    </row>
    <row r="543" spans="1:7" ht="14.25">
      <c r="A543" s="261"/>
      <c r="B543" s="680" t="s">
        <v>318</v>
      </c>
      <c r="C543" s="266"/>
      <c r="D543" s="1865" t="s">
        <v>1239</v>
      </c>
      <c r="E543" s="1865"/>
      <c r="F543" s="1865"/>
      <c r="G543" s="57"/>
    </row>
    <row r="544" spans="1:7">
      <c r="A544" s="23"/>
      <c r="B544" s="676"/>
      <c r="C544" s="266"/>
      <c r="D544" s="1865" t="s">
        <v>885</v>
      </c>
      <c r="E544" s="1865"/>
      <c r="F544" s="1865"/>
      <c r="G544" s="57"/>
    </row>
    <row r="545" spans="1:7">
      <c r="A545" s="23"/>
      <c r="B545" s="676"/>
      <c r="C545" s="266"/>
      <c r="D545" s="6"/>
      <c r="E545" s="1883" t="s">
        <v>1240</v>
      </c>
      <c r="F545" s="1883"/>
      <c r="G545" s="57"/>
    </row>
    <row r="546" spans="1:7" ht="14.25">
      <c r="A546" s="261"/>
      <c r="B546" s="261"/>
      <c r="C546" s="266"/>
      <c r="E546" s="135"/>
      <c r="F546" s="135"/>
      <c r="G546" s="57"/>
    </row>
    <row r="547" spans="1:7" ht="14.25">
      <c r="A547" s="261"/>
      <c r="B547" s="680" t="s">
        <v>318</v>
      </c>
      <c r="C547" s="266"/>
      <c r="D547" s="1927" t="s">
        <v>1241</v>
      </c>
      <c r="E547" s="1927"/>
      <c r="F547" s="1927"/>
      <c r="G547" s="57"/>
    </row>
    <row r="548" spans="1:7">
      <c r="C548" s="266"/>
      <c r="D548" s="1852" t="s">
        <v>1242</v>
      </c>
      <c r="E548" s="1852"/>
      <c r="F548" s="1852"/>
      <c r="G548" s="57"/>
    </row>
    <row r="549" spans="1:7">
      <c r="A549" s="266"/>
      <c r="B549" s="266"/>
      <c r="C549" s="266"/>
      <c r="D549" s="1852"/>
      <c r="E549" s="1852"/>
      <c r="F549" s="1852"/>
      <c r="G549" s="57"/>
    </row>
    <row r="550" spans="1:7">
      <c r="A550" s="266"/>
      <c r="B550" s="266"/>
      <c r="C550" s="266"/>
      <c r="D550" s="1852"/>
      <c r="E550" s="1852"/>
      <c r="F550" s="1852"/>
      <c r="G550" s="57"/>
    </row>
    <row r="551" spans="1:7">
      <c r="A551" s="266"/>
      <c r="B551" s="266"/>
      <c r="C551" s="266"/>
      <c r="D551" s="135"/>
      <c r="E551" s="135"/>
      <c r="F551" s="135"/>
      <c r="G551" s="57"/>
    </row>
    <row r="552" spans="1:7" ht="14.25">
      <c r="A552" s="261"/>
      <c r="B552" s="680" t="s">
        <v>318</v>
      </c>
      <c r="C552" s="266"/>
      <c r="D552" s="1852" t="s">
        <v>1243</v>
      </c>
      <c r="E552" s="1852"/>
      <c r="F552" s="1852"/>
      <c r="G552" s="57"/>
    </row>
    <row r="553" spans="1:7" ht="14.25">
      <c r="A553" s="261"/>
      <c r="B553" s="261"/>
      <c r="C553" s="266"/>
      <c r="D553" s="1852"/>
      <c r="E553" s="1852"/>
      <c r="F553" s="1852"/>
      <c r="G553" s="57"/>
    </row>
    <row r="554" spans="1:7" ht="14.25">
      <c r="A554" s="261"/>
      <c r="B554" s="261"/>
      <c r="C554" s="266"/>
      <c r="D554" s="1852"/>
      <c r="E554" s="1852"/>
      <c r="F554" s="1852"/>
      <c r="G554" s="57"/>
    </row>
    <row r="555" spans="1:7" ht="14.25">
      <c r="A555" s="261"/>
      <c r="B555" s="261"/>
      <c r="C555" s="266"/>
      <c r="D555" s="1852"/>
      <c r="E555" s="1852"/>
      <c r="F555" s="1852"/>
      <c r="G555" s="57"/>
    </row>
    <row r="556" spans="1:7" ht="14.25">
      <c r="A556" s="261"/>
      <c r="B556" s="261"/>
      <c r="C556" s="266"/>
      <c r="D556" s="135"/>
      <c r="E556" s="135"/>
      <c r="F556" s="135"/>
      <c r="G556" s="57"/>
    </row>
    <row r="557" spans="1:7">
      <c r="A557" s="1872" t="s">
        <v>1176</v>
      </c>
      <c r="B557" s="1872"/>
      <c r="C557" s="1872"/>
      <c r="D557" s="1872"/>
      <c r="E557" s="1872"/>
      <c r="F557" s="1872"/>
      <c r="G557" s="1872"/>
    </row>
    <row r="558" spans="1:7">
      <c r="A558" s="266"/>
      <c r="B558" s="266"/>
      <c r="C558" s="266"/>
      <c r="E558" s="135"/>
      <c r="F558" s="135"/>
      <c r="G558" s="57"/>
    </row>
    <row r="559" spans="1:7" ht="12.75" customHeight="1">
      <c r="C559" s="255"/>
      <c r="D559" s="1901" t="s">
        <v>217</v>
      </c>
      <c r="E559" s="1901"/>
      <c r="F559" s="1901"/>
      <c r="G559" s="57"/>
    </row>
    <row r="560" spans="1:7">
      <c r="A560" s="260"/>
      <c r="B560" s="260"/>
      <c r="C560" s="260"/>
      <c r="D560" s="1895" t="s">
        <v>1192</v>
      </c>
      <c r="E560" s="1895"/>
      <c r="F560" s="1895"/>
      <c r="G560" s="57"/>
    </row>
    <row r="561" spans="1:7">
      <c r="A561" s="12"/>
      <c r="B561" s="12"/>
      <c r="C561" s="260"/>
      <c r="D561" s="378"/>
      <c r="G561" s="57"/>
    </row>
    <row r="562" spans="1:7">
      <c r="A562" s="260"/>
      <c r="B562" s="680" t="s">
        <v>318</v>
      </c>
      <c r="D562" s="1895" t="s">
        <v>959</v>
      </c>
      <c r="E562" s="1895"/>
      <c r="F562" s="1895"/>
      <c r="G562" s="57"/>
    </row>
    <row r="563" spans="1:7">
      <c r="A563" s="23"/>
      <c r="B563" s="676"/>
      <c r="D563" s="326"/>
    </row>
    <row r="564" spans="1:7">
      <c r="A564" s="23"/>
      <c r="B564" s="680" t="s">
        <v>318</v>
      </c>
      <c r="D564" s="1871" t="s">
        <v>1193</v>
      </c>
      <c r="E564" s="1871"/>
      <c r="F564" s="1871"/>
    </row>
    <row r="565" spans="1:7">
      <c r="A565" s="23"/>
      <c r="B565" s="676"/>
      <c r="D565" s="1871"/>
      <c r="E565" s="1871"/>
      <c r="F565" s="1871"/>
    </row>
    <row r="566" spans="1:7">
      <c r="A566" s="23"/>
      <c r="B566" s="689"/>
      <c r="D566" s="1871"/>
      <c r="E566" s="1871"/>
      <c r="F566" s="1871"/>
    </row>
    <row r="567" spans="1:7">
      <c r="A567" s="23"/>
      <c r="B567" s="676"/>
      <c r="D567" s="479"/>
    </row>
    <row r="568" spans="1:7" s="683" customFormat="1">
      <c r="A568" s="689"/>
      <c r="B568" s="680" t="s">
        <v>318</v>
      </c>
      <c r="C568" s="690"/>
      <c r="D568" s="1871" t="s">
        <v>1194</v>
      </c>
      <c r="E568" s="1871"/>
      <c r="F568" s="1871"/>
      <c r="G568" s="7"/>
    </row>
    <row r="569" spans="1:7" s="683" customFormat="1">
      <c r="A569" s="689"/>
      <c r="B569" s="689"/>
      <c r="C569" s="690"/>
      <c r="D569" s="1871"/>
      <c r="E569" s="1871"/>
      <c r="F569" s="1871"/>
      <c r="G569" s="7"/>
    </row>
    <row r="570" spans="1:7" s="683" customFormat="1">
      <c r="A570" s="689"/>
      <c r="B570" s="689"/>
      <c r="C570" s="690"/>
      <c r="D570" s="1871"/>
      <c r="E570" s="1871"/>
      <c r="F570" s="1871"/>
      <c r="G570" s="7"/>
    </row>
    <row r="571" spans="1:7" s="683" customFormat="1">
      <c r="A571" s="689"/>
      <c r="B571" s="689"/>
      <c r="C571" s="690"/>
      <c r="D571" s="1871"/>
      <c r="E571" s="1871"/>
      <c r="F571" s="1871"/>
      <c r="G571" s="7"/>
    </row>
    <row r="572" spans="1:7" s="683" customFormat="1">
      <c r="A572" s="689"/>
      <c r="B572" s="689"/>
      <c r="C572" s="690"/>
      <c r="D572" s="695"/>
      <c r="E572" s="695"/>
      <c r="F572" s="695"/>
      <c r="G572" s="7"/>
    </row>
    <row r="573" spans="1:7">
      <c r="A573" s="23"/>
      <c r="B573" s="680" t="s">
        <v>318</v>
      </c>
      <c r="D573" s="1871" t="s">
        <v>1195</v>
      </c>
      <c r="E573" s="1871"/>
      <c r="F573" s="1871"/>
    </row>
    <row r="574" spans="1:7">
      <c r="A574" s="23"/>
      <c r="B574" s="676"/>
      <c r="D574" s="1871"/>
      <c r="E574" s="1871"/>
      <c r="F574" s="1871"/>
    </row>
    <row r="575" spans="1:7">
      <c r="A575" s="23"/>
      <c r="B575" s="676"/>
      <c r="D575" s="378"/>
    </row>
    <row r="576" spans="1:7" s="683" customFormat="1">
      <c r="A576" s="689"/>
      <c r="B576" s="680" t="s">
        <v>318</v>
      </c>
      <c r="C576" s="690"/>
      <c r="D576" s="1895" t="s">
        <v>1196</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ht="14.25">
      <c r="A579" s="261"/>
      <c r="B579" s="680" t="s">
        <v>318</v>
      </c>
      <c r="D579" s="1895" t="s">
        <v>954</v>
      </c>
      <c r="E579" s="1895"/>
      <c r="F579" s="1895"/>
    </row>
    <row r="580" spans="1:7" ht="14.25">
      <c r="A580" s="261"/>
      <c r="B580" s="261"/>
      <c r="D580" s="378"/>
    </row>
    <row r="581" spans="1:7" ht="14.25">
      <c r="A581" s="261"/>
      <c r="B581" s="680" t="s">
        <v>318</v>
      </c>
      <c r="D581" s="1895" t="s">
        <v>1197</v>
      </c>
      <c r="E581" s="1895"/>
      <c r="F581" s="1895"/>
    </row>
    <row r="582" spans="1:7" ht="14.25">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2" t="s">
        <v>1177</v>
      </c>
      <c r="B588" s="1872"/>
      <c r="C588" s="1872"/>
      <c r="D588" s="1872"/>
      <c r="E588" s="1872"/>
      <c r="F588" s="1872"/>
      <c r="G588" s="1872"/>
    </row>
    <row r="589" spans="1:7"/>
    <row r="590" spans="1:7">
      <c r="D590" s="1889" t="s">
        <v>1277</v>
      </c>
      <c r="E590" s="1889"/>
      <c r="F590" s="1889"/>
    </row>
    <row r="591" spans="1:7">
      <c r="D591" s="1928" t="s">
        <v>1278</v>
      </c>
      <c r="E591" s="1928"/>
      <c r="F591" s="1928"/>
    </row>
    <row r="592" spans="1:7" s="720" customFormat="1">
      <c r="A592" s="706"/>
      <c r="B592" s="706"/>
      <c r="C592" s="706"/>
      <c r="D592" s="724"/>
      <c r="E592" s="723"/>
      <c r="F592" s="723"/>
      <c r="G592" s="7"/>
    </row>
    <row r="593" spans="1:7" s="39" customFormat="1" ht="14.25">
      <c r="A593" s="404"/>
      <c r="B593" s="680" t="s">
        <v>318</v>
      </c>
      <c r="C593" s="273"/>
      <c r="D593" s="1891" t="s">
        <v>1279</v>
      </c>
      <c r="E593" s="1891"/>
      <c r="F593" s="1891"/>
      <c r="G593" s="130"/>
    </row>
    <row r="594" spans="1:7">
      <c r="D594" s="1891"/>
      <c r="E594" s="1891"/>
      <c r="F594" s="1891"/>
    </row>
    <row r="595" spans="1:7">
      <c r="D595" s="1891"/>
      <c r="E595" s="1891"/>
      <c r="F595" s="1891"/>
    </row>
    <row r="596" spans="1:7"/>
    <row r="597" spans="1:7">
      <c r="A597" s="1872" t="s">
        <v>1178</v>
      </c>
      <c r="B597" s="1872"/>
      <c r="C597" s="1872"/>
      <c r="D597" s="1872"/>
      <c r="E597" s="1872"/>
      <c r="F597" s="1872"/>
      <c r="G597" s="1872"/>
    </row>
    <row r="598" spans="1:7">
      <c r="A598" s="135"/>
      <c r="B598" s="135"/>
      <c r="G598" s="57"/>
    </row>
    <row r="599" spans="1:7">
      <c r="A599" s="257"/>
      <c r="B599" s="675"/>
      <c r="C599" s="255"/>
      <c r="D599" s="1929" t="s">
        <v>1280</v>
      </c>
      <c r="E599" s="1929"/>
      <c r="F599" s="1929"/>
      <c r="G599" s="57"/>
    </row>
    <row r="600" spans="1:7">
      <c r="A600" s="257"/>
      <c r="B600" s="675"/>
      <c r="C600" s="255"/>
      <c r="D600" s="1929"/>
      <c r="E600" s="1929"/>
      <c r="F600" s="1929"/>
      <c r="G600" s="57"/>
    </row>
    <row r="601" spans="1:7">
      <c r="C601" s="260"/>
      <c r="D601" s="1928" t="s">
        <v>1281</v>
      </c>
      <c r="E601" s="1928"/>
      <c r="F601" s="1928"/>
      <c r="G601" s="57"/>
    </row>
    <row r="602" spans="1:7" s="720" customFormat="1">
      <c r="A602" s="706"/>
      <c r="B602" s="706"/>
      <c r="C602" s="721"/>
      <c r="D602" s="725"/>
      <c r="E602" s="725"/>
      <c r="F602" s="725"/>
      <c r="G602" s="57"/>
    </row>
    <row r="603" spans="1:7">
      <c r="A603" s="23"/>
      <c r="B603" s="680" t="s">
        <v>318</v>
      </c>
      <c r="D603" s="1928" t="s">
        <v>455</v>
      </c>
      <c r="E603" s="1928"/>
      <c r="F603" s="1928"/>
      <c r="G603" s="57"/>
    </row>
    <row r="604" spans="1:7">
      <c r="C604" s="268"/>
      <c r="E604" s="12"/>
      <c r="G604" s="57"/>
    </row>
    <row r="605" spans="1:7">
      <c r="A605" s="23"/>
      <c r="B605" s="680" t="s">
        <v>318</v>
      </c>
      <c r="D605" s="1888" t="s">
        <v>1282</v>
      </c>
      <c r="E605" s="1888"/>
      <c r="F605" s="1888"/>
      <c r="G605" s="57"/>
    </row>
    <row r="606" spans="1:7">
      <c r="D606" s="1888"/>
      <c r="E606" s="1888"/>
      <c r="F606" s="1888"/>
      <c r="G606" s="57"/>
    </row>
    <row r="607" spans="1:7">
      <c r="D607" s="12"/>
      <c r="G607" s="57"/>
    </row>
    <row r="608" spans="1:7">
      <c r="B608" s="680" t="s">
        <v>318</v>
      </c>
      <c r="D608" s="1888" t="s">
        <v>1283</v>
      </c>
      <c r="E608" s="1888"/>
      <c r="F608" s="1888"/>
      <c r="G608" s="57"/>
    </row>
    <row r="609" spans="1:7">
      <c r="C609" s="268"/>
      <c r="D609" s="1888"/>
      <c r="E609" s="1888"/>
      <c r="F609" s="1888"/>
      <c r="G609" s="57"/>
    </row>
    <row r="610" spans="1:7">
      <c r="C610" s="268"/>
      <c r="G610" s="57"/>
    </row>
    <row r="611" spans="1:7">
      <c r="B611" s="680" t="s">
        <v>318</v>
      </c>
      <c r="C611" s="268"/>
      <c r="D611" s="1888" t="s">
        <v>1284</v>
      </c>
      <c r="E611" s="1888"/>
      <c r="F611" s="1888"/>
      <c r="G611" s="57"/>
    </row>
    <row r="612" spans="1:7">
      <c r="C612" s="268"/>
      <c r="D612" s="1888"/>
      <c r="E612" s="1888"/>
      <c r="F612" s="1888"/>
      <c r="G612" s="57"/>
    </row>
    <row r="613" spans="1:7">
      <c r="C613" s="268"/>
      <c r="G613" s="57"/>
    </row>
    <row r="614" spans="1:7">
      <c r="A614" s="1872" t="s">
        <v>1179</v>
      </c>
      <c r="B614" s="1872"/>
      <c r="C614" s="1872"/>
      <c r="D614" s="1872"/>
      <c r="E614" s="1872"/>
      <c r="F614" s="1872"/>
      <c r="G614" s="1872"/>
    </row>
    <row r="615" spans="1:7">
      <c r="A615" s="267"/>
      <c r="B615" s="267"/>
      <c r="C615" s="267"/>
      <c r="G615" s="57"/>
    </row>
    <row r="616" spans="1:7">
      <c r="C616" s="23"/>
      <c r="D616" s="1889" t="s">
        <v>1285</v>
      </c>
      <c r="E616" s="1889"/>
      <c r="F616" s="1889"/>
      <c r="G616" s="57"/>
    </row>
    <row r="617" spans="1:7">
      <c r="A617" s="23"/>
      <c r="B617" s="676"/>
      <c r="C617" s="265"/>
      <c r="D617" s="50"/>
      <c r="G617" s="57"/>
    </row>
    <row r="618" spans="1:7" ht="14.25">
      <c r="A618" s="261"/>
      <c r="B618" s="680" t="s">
        <v>318</v>
      </c>
      <c r="C618" s="265"/>
      <c r="D618" s="1890" t="s">
        <v>1286</v>
      </c>
      <c r="E618" s="1890"/>
      <c r="F618" s="1890"/>
      <c r="G618" s="57"/>
    </row>
    <row r="619" spans="1:7">
      <c r="C619" s="265"/>
      <c r="D619" s="1890"/>
      <c r="E619" s="1890"/>
      <c r="F619" s="1890"/>
      <c r="G619" s="57"/>
    </row>
    <row r="620" spans="1:7">
      <c r="C620" s="265"/>
      <c r="D620" s="1890"/>
      <c r="E620" s="1890"/>
      <c r="F620" s="1890"/>
      <c r="G620" s="57"/>
    </row>
    <row r="621" spans="1:7">
      <c r="C621" s="265"/>
      <c r="D621" s="1890"/>
      <c r="E621" s="1890"/>
      <c r="F621" s="1890"/>
      <c r="G621" s="57"/>
    </row>
    <row r="622" spans="1:7">
      <c r="C622" s="265"/>
      <c r="D622" s="1890"/>
      <c r="E622" s="1890"/>
      <c r="F622" s="1890"/>
      <c r="G622" s="57"/>
    </row>
    <row r="623" spans="1:7">
      <c r="C623" s="265"/>
      <c r="D623" s="1890"/>
      <c r="E623" s="1890"/>
      <c r="F623" s="1890"/>
      <c r="G623" s="57"/>
    </row>
    <row r="624" spans="1:7" s="720" customFormat="1">
      <c r="A624" s="706"/>
      <c r="B624" s="706"/>
      <c r="C624" s="265"/>
      <c r="D624" s="726"/>
      <c r="E624" s="726"/>
      <c r="F624" s="726"/>
      <c r="G624" s="57"/>
    </row>
    <row r="625" spans="1:7" ht="14.25">
      <c r="A625" s="261"/>
      <c r="B625" s="680" t="s">
        <v>318</v>
      </c>
      <c r="C625" s="265"/>
      <c r="D625" s="1890" t="s">
        <v>1287</v>
      </c>
      <c r="E625" s="1890"/>
      <c r="F625" s="1890"/>
      <c r="G625" s="57"/>
    </row>
    <row r="626" spans="1:7">
      <c r="A626" s="266"/>
      <c r="B626" s="266"/>
      <c r="C626" s="266"/>
      <c r="D626" s="1890"/>
      <c r="E626" s="1890"/>
      <c r="F626" s="1890"/>
      <c r="G626" s="57"/>
    </row>
    <row r="627" spans="1:7">
      <c r="A627" s="266"/>
      <c r="B627" s="266"/>
      <c r="C627" s="266"/>
      <c r="D627" s="151"/>
      <c r="E627" s="147"/>
      <c r="F627" s="147"/>
      <c r="G627" s="57"/>
    </row>
    <row r="628" spans="1:7" ht="14.25">
      <c r="A628" s="261"/>
      <c r="B628" s="680" t="s">
        <v>318</v>
      </c>
      <c r="C628" s="266"/>
      <c r="D628" s="1891" t="s">
        <v>1288</v>
      </c>
      <c r="E628" s="1891"/>
      <c r="F628" s="1891"/>
      <c r="G628" s="57"/>
    </row>
    <row r="629" spans="1:7" ht="14.25">
      <c r="A629" s="261"/>
      <c r="B629" s="261"/>
      <c r="C629" s="266"/>
      <c r="D629" s="1891"/>
      <c r="E629" s="1891"/>
      <c r="F629" s="1891"/>
      <c r="G629" s="57"/>
    </row>
    <row r="630" spans="1:7" ht="14.25">
      <c r="A630" s="261"/>
      <c r="B630" s="261"/>
      <c r="C630" s="266"/>
      <c r="D630" s="1891"/>
      <c r="E630" s="1891"/>
      <c r="F630" s="1891"/>
      <c r="G630" s="57"/>
    </row>
    <row r="631" spans="1:7">
      <c r="A631" s="266"/>
      <c r="B631" s="266"/>
      <c r="C631" s="266"/>
      <c r="D631" s="1891"/>
      <c r="E631" s="1891"/>
      <c r="F631" s="1891"/>
      <c r="G631" s="57"/>
    </row>
    <row r="632" spans="1:7" s="720" customFormat="1">
      <c r="A632" s="266"/>
      <c r="B632" s="266"/>
      <c r="C632" s="266"/>
      <c r="D632" s="727"/>
      <c r="E632" s="727"/>
      <c r="F632" s="727"/>
      <c r="G632" s="57"/>
    </row>
    <row r="633" spans="1:7">
      <c r="A633" s="266"/>
      <c r="B633" s="680" t="s">
        <v>318</v>
      </c>
      <c r="C633" s="266"/>
      <c r="D633" s="1892" t="s">
        <v>1289</v>
      </c>
      <c r="E633" s="1892"/>
      <c r="F633" s="1892"/>
      <c r="G633" s="57"/>
    </row>
    <row r="634" spans="1:7">
      <c r="A634" s="266"/>
      <c r="B634" s="266"/>
      <c r="C634" s="266"/>
      <c r="D634" s="728"/>
      <c r="E634" s="728"/>
      <c r="F634" s="728"/>
      <c r="G634" s="57"/>
    </row>
    <row r="635" spans="1:7">
      <c r="A635" s="1872" t="s">
        <v>1180</v>
      </c>
      <c r="B635" s="1872"/>
      <c r="C635" s="1872"/>
      <c r="D635" s="1872"/>
      <c r="E635" s="1872"/>
      <c r="F635" s="1872"/>
      <c r="G635" s="1872"/>
    </row>
    <row r="636" spans="1:7">
      <c r="A636" s="135"/>
      <c r="B636" s="135"/>
      <c r="C636" s="266"/>
      <c r="D636" s="147"/>
      <c r="E636" s="147"/>
      <c r="F636" s="147"/>
      <c r="G636" s="57"/>
    </row>
    <row r="637" spans="1:7">
      <c r="C637" s="267"/>
      <c r="D637" s="1893" t="s">
        <v>1339</v>
      </c>
      <c r="E637" s="1893"/>
      <c r="F637" s="1893"/>
      <c r="G637" s="57"/>
    </row>
    <row r="638" spans="1:7">
      <c r="A638" s="260"/>
      <c r="B638" s="260"/>
      <c r="C638" s="260"/>
      <c r="D638" s="1894" t="s">
        <v>1340</v>
      </c>
      <c r="E638" s="1894"/>
      <c r="F638" s="1894"/>
      <c r="G638" s="57"/>
    </row>
    <row r="639" spans="1:7" s="720" customFormat="1">
      <c r="A639" s="721"/>
      <c r="B639" s="721"/>
      <c r="C639" s="721"/>
      <c r="D639" s="735"/>
      <c r="E639" s="735"/>
      <c r="F639" s="735"/>
      <c r="G639" s="57"/>
    </row>
    <row r="640" spans="1:7" ht="14.45" customHeight="1">
      <c r="A640" s="261"/>
      <c r="B640" s="680" t="s">
        <v>318</v>
      </c>
      <c r="C640" s="266"/>
      <c r="D640" s="1850" t="s">
        <v>1341</v>
      </c>
      <c r="E640" s="1850"/>
      <c r="F640" s="1850"/>
      <c r="G640" s="57"/>
    </row>
    <row r="641" spans="1:11" ht="14.25">
      <c r="A641" s="261"/>
      <c r="B641" s="261"/>
      <c r="C641" s="266"/>
      <c r="D641" s="1850"/>
      <c r="E641" s="1850"/>
      <c r="F641" s="1850"/>
      <c r="G641" s="57"/>
    </row>
    <row r="642" spans="1:11" ht="14.25">
      <c r="A642" s="261"/>
      <c r="B642" s="261"/>
      <c r="C642" s="266"/>
      <c r="D642" s="1850"/>
      <c r="E642" s="1850"/>
      <c r="F642" s="1850"/>
      <c r="G642" s="57"/>
    </row>
    <row r="643" spans="1:11" ht="14.25">
      <c r="A643" s="261"/>
      <c r="B643" s="261"/>
      <c r="C643" s="266"/>
      <c r="D643" s="1850"/>
      <c r="E643" s="1850"/>
      <c r="F643" s="1850"/>
      <c r="G643" s="57"/>
    </row>
    <row r="644" spans="1:11" s="683" customFormat="1" ht="14.25">
      <c r="A644" s="261"/>
      <c r="B644" s="261"/>
      <c r="C644" s="266"/>
      <c r="D644" s="1850"/>
      <c r="E644" s="1850"/>
      <c r="F644" s="1850"/>
      <c r="G644" s="57"/>
    </row>
    <row r="645" spans="1:11" s="720" customFormat="1" ht="14.25">
      <c r="A645" s="715"/>
      <c r="B645" s="715"/>
      <c r="C645" s="266"/>
      <c r="D645" s="737"/>
      <c r="E645" s="737"/>
      <c r="F645" s="737"/>
      <c r="G645" s="57"/>
    </row>
    <row r="646" spans="1:11" s="683" customFormat="1" ht="14.25">
      <c r="A646" s="261"/>
      <c r="B646" s="680" t="s">
        <v>318</v>
      </c>
      <c r="C646" s="266"/>
      <c r="D646" s="1911" t="s">
        <v>1191</v>
      </c>
      <c r="E646" s="1911"/>
      <c r="F646" s="1911"/>
      <c r="G646" s="57"/>
    </row>
    <row r="647" spans="1:11" s="683" customFormat="1" ht="14.25">
      <c r="A647" s="261"/>
      <c r="B647" s="261"/>
      <c r="C647" s="266"/>
      <c r="D647" s="1912" t="s">
        <v>1342</v>
      </c>
      <c r="E647" s="1912"/>
      <c r="F647" s="1912"/>
      <c r="G647" s="57"/>
    </row>
    <row r="648" spans="1:11" s="683" customFormat="1" ht="14.25">
      <c r="A648" s="261"/>
      <c r="B648" s="261"/>
      <c r="C648" s="266"/>
      <c r="D648" s="1912"/>
      <c r="E648" s="1912"/>
      <c r="F648" s="1912"/>
      <c r="G648" s="57"/>
    </row>
    <row r="649" spans="1:11" s="683" customFormat="1" ht="14.25">
      <c r="A649" s="261"/>
      <c r="B649" s="261"/>
      <c r="C649" s="266"/>
      <c r="D649" s="1912"/>
      <c r="E649" s="1912"/>
      <c r="F649" s="1912"/>
      <c r="G649" s="57"/>
    </row>
    <row r="650" spans="1:11" s="683" customFormat="1" ht="14.25">
      <c r="A650" s="261"/>
      <c r="B650" s="261"/>
      <c r="C650" s="266"/>
      <c r="D650" s="1912"/>
      <c r="E650" s="1912"/>
      <c r="F650" s="1912"/>
      <c r="G650" s="57"/>
    </row>
    <row r="651" spans="1:11" s="683" customFormat="1" ht="14.25">
      <c r="A651" s="261"/>
      <c r="B651" s="261"/>
      <c r="C651" s="266"/>
      <c r="D651" s="1912"/>
      <c r="E651" s="1912"/>
      <c r="F651" s="1912"/>
      <c r="G651" s="57"/>
    </row>
    <row r="652" spans="1:11" s="683" customFormat="1" ht="14.25">
      <c r="A652" s="261"/>
      <c r="B652" s="261"/>
      <c r="C652" s="266"/>
      <c r="D652" s="1913" t="s">
        <v>1343</v>
      </c>
      <c r="E652" s="1913"/>
      <c r="F652" s="1913"/>
      <c r="G652" s="57"/>
    </row>
    <row r="653" spans="1:11">
      <c r="A653" s="266"/>
      <c r="B653" s="266"/>
      <c r="C653" s="266"/>
      <c r="D653" s="147"/>
      <c r="E653" s="147"/>
      <c r="F653" s="147"/>
      <c r="G653" s="57"/>
    </row>
    <row r="654" spans="1:11">
      <c r="A654" s="1872" t="s">
        <v>1181</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5" t="s">
        <v>104</v>
      </c>
      <c r="E656" s="1875"/>
      <c r="F656" s="1875"/>
      <c r="G656" s="57"/>
      <c r="H656" s="269"/>
      <c r="I656" s="269"/>
      <c r="J656" s="269"/>
      <c r="K656" s="269"/>
    </row>
    <row r="657" spans="1:11">
      <c r="A657" s="267"/>
      <c r="B657" s="267"/>
      <c r="C657" s="267"/>
      <c r="D657" s="1875" t="s">
        <v>128</v>
      </c>
      <c r="E657" s="1875"/>
      <c r="F657" s="1875"/>
      <c r="G657" s="57"/>
      <c r="H657" s="269"/>
      <c r="I657" s="269"/>
      <c r="J657" s="269"/>
      <c r="K657" s="269"/>
    </row>
    <row r="658" spans="1:11">
      <c r="A658" s="260"/>
      <c r="B658" s="260"/>
      <c r="C658" s="260"/>
      <c r="D658" s="1865" t="s">
        <v>1217</v>
      </c>
      <c r="E658" s="1865"/>
      <c r="F658" s="1865"/>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5" t="s">
        <v>955</v>
      </c>
      <c r="E660" s="1865"/>
      <c r="F660" s="1865"/>
      <c r="G660" s="57"/>
      <c r="H660" s="269"/>
      <c r="I660" s="269"/>
      <c r="J660" s="269"/>
      <c r="K660" s="269"/>
    </row>
    <row r="661" spans="1:11">
      <c r="A661" s="260"/>
      <c r="B661" s="260"/>
      <c r="C661" s="260"/>
      <c r="D661" s="1865" t="s">
        <v>966</v>
      </c>
      <c r="E661" s="1865"/>
      <c r="F661" s="1865"/>
      <c r="G661" s="57"/>
      <c r="H661" s="269"/>
      <c r="I661" s="269"/>
      <c r="J661" s="269"/>
      <c r="K661" s="269"/>
    </row>
    <row r="662" spans="1:11">
      <c r="A662" s="260"/>
      <c r="B662" s="260"/>
      <c r="C662" s="260"/>
      <c r="D662" s="6"/>
      <c r="E662" s="1861" t="s">
        <v>1218</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2" t="s">
        <v>1219</v>
      </c>
      <c r="E665" s="1852"/>
      <c r="F665" s="1852"/>
      <c r="G665" s="57"/>
      <c r="H665" s="269"/>
      <c r="I665" s="269"/>
      <c r="J665" s="269"/>
      <c r="K665" s="269"/>
    </row>
    <row r="666" spans="1:11">
      <c r="A666" s="23"/>
      <c r="B666" s="676"/>
      <c r="C666" s="260"/>
      <c r="D666" s="1852"/>
      <c r="E666" s="1852"/>
      <c r="F666" s="1852"/>
      <c r="G666" s="57"/>
      <c r="H666" s="269"/>
      <c r="I666" s="269"/>
      <c r="J666" s="269"/>
      <c r="K666" s="269"/>
    </row>
    <row r="667" spans="1:11">
      <c r="A667" s="260"/>
      <c r="B667" s="260"/>
      <c r="C667" s="260"/>
      <c r="D667" s="1852"/>
      <c r="E667" s="1852"/>
      <c r="F667" s="1852"/>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5" t="s">
        <v>995</v>
      </c>
      <c r="E669" s="1865"/>
      <c r="F669" s="1865"/>
      <c r="G669" s="57"/>
      <c r="H669" s="269"/>
      <c r="I669" s="269"/>
      <c r="J669" s="269"/>
      <c r="K669" s="269"/>
    </row>
    <row r="670" spans="1:11" ht="14.25">
      <c r="A670" s="261"/>
      <c r="B670" s="261"/>
      <c r="C670" s="260"/>
      <c r="D670" s="1865" t="s">
        <v>966</v>
      </c>
      <c r="E670" s="1865"/>
      <c r="F670" s="1865"/>
      <c r="G670" s="57"/>
      <c r="H670" s="269"/>
      <c r="I670" s="269"/>
      <c r="J670" s="269"/>
      <c r="K670" s="269"/>
    </row>
    <row r="671" spans="1:11">
      <c r="A671" s="260"/>
      <c r="B671" s="260"/>
      <c r="C671" s="260"/>
      <c r="D671" s="6"/>
      <c r="E671" s="1883" t="s">
        <v>1220</v>
      </c>
      <c r="F671" s="1883"/>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7" t="s">
        <v>1230</v>
      </c>
      <c r="E673" s="1887"/>
      <c r="F673" s="1887"/>
      <c r="G673" s="57"/>
      <c r="H673" s="269"/>
      <c r="I673" s="269"/>
      <c r="J673" s="269"/>
      <c r="K673" s="269"/>
    </row>
    <row r="674" spans="1:11">
      <c r="A674" s="260"/>
      <c r="B674" s="260"/>
      <c r="C674" s="260"/>
      <c r="D674" s="1887"/>
      <c r="E674" s="1887"/>
      <c r="F674" s="1887"/>
      <c r="G674" s="57"/>
      <c r="H674" s="269"/>
      <c r="I674" s="269"/>
      <c r="J674" s="269"/>
      <c r="K674" s="269"/>
    </row>
    <row r="675" spans="1:11">
      <c r="A675" s="260"/>
      <c r="B675" s="260"/>
      <c r="C675" s="260"/>
      <c r="D675" s="1887"/>
      <c r="E675" s="1887"/>
      <c r="F675" s="1887"/>
      <c r="G675" s="57"/>
      <c r="H675" s="269"/>
      <c r="I675" s="269"/>
      <c r="J675" s="269"/>
      <c r="K675" s="269"/>
    </row>
    <row r="676" spans="1:11">
      <c r="A676" s="260"/>
      <c r="B676" s="260"/>
      <c r="C676" s="260"/>
      <c r="D676" s="1887"/>
      <c r="E676" s="1887"/>
      <c r="F676" s="1887"/>
      <c r="G676" s="57"/>
      <c r="H676" s="269"/>
      <c r="I676" s="269"/>
      <c r="J676" s="269"/>
      <c r="K676" s="269"/>
    </row>
    <row r="677" spans="1:11">
      <c r="A677" s="260"/>
      <c r="B677" s="260"/>
      <c r="C677" s="260"/>
      <c r="D677" s="1887"/>
      <c r="E677" s="1887"/>
      <c r="F677" s="1887"/>
      <c r="G677" s="57"/>
      <c r="H677" s="269"/>
      <c r="I677" s="269"/>
      <c r="J677" s="269"/>
      <c r="K677" s="269"/>
    </row>
    <row r="678" spans="1:11" s="39" customFormat="1">
      <c r="A678" s="488"/>
      <c r="B678" s="488"/>
      <c r="C678" s="488"/>
      <c r="D678" s="1887"/>
      <c r="E678" s="1887"/>
      <c r="F678" s="1887"/>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7" t="s">
        <v>1221</v>
      </c>
      <c r="E680" s="1887"/>
      <c r="F680" s="1887"/>
      <c r="G680" s="57"/>
      <c r="H680" s="269"/>
      <c r="I680" s="269"/>
      <c r="J680" s="269"/>
      <c r="K680" s="269"/>
    </row>
    <row r="681" spans="1:11">
      <c r="A681" s="260"/>
      <c r="B681" s="260"/>
      <c r="C681" s="260"/>
      <c r="D681" s="1887"/>
      <c r="E681" s="1887"/>
      <c r="F681" s="1887"/>
      <c r="G681" s="57"/>
      <c r="H681" s="269"/>
      <c r="I681" s="269"/>
      <c r="J681" s="269"/>
      <c r="K681" s="269"/>
    </row>
    <row r="682" spans="1:11">
      <c r="A682" s="260"/>
      <c r="B682" s="260"/>
      <c r="C682" s="260"/>
      <c r="D682" s="1887"/>
      <c r="E682" s="1887"/>
      <c r="F682" s="1887"/>
      <c r="G682" s="57"/>
      <c r="H682" s="269"/>
      <c r="I682" s="269"/>
      <c r="J682" s="269"/>
      <c r="K682" s="269"/>
    </row>
    <row r="683" spans="1:11" ht="15" customHeight="1">
      <c r="A683" s="260"/>
      <c r="B683" s="260"/>
      <c r="C683" s="260"/>
      <c r="D683" s="1887"/>
      <c r="E683" s="1887"/>
      <c r="F683" s="1887"/>
      <c r="G683" s="57"/>
      <c r="H683" s="269"/>
      <c r="I683" s="269"/>
      <c r="J683" s="269"/>
      <c r="K683" s="269"/>
    </row>
    <row r="684" spans="1:11" ht="15" customHeight="1">
      <c r="A684" s="260"/>
      <c r="B684" s="260"/>
      <c r="C684" s="260"/>
      <c r="D684" s="1887"/>
      <c r="E684" s="1887"/>
      <c r="F684" s="1887"/>
      <c r="G684" s="57"/>
      <c r="H684" s="269"/>
      <c r="I684" s="269"/>
      <c r="J684" s="269"/>
      <c r="K684" s="269"/>
    </row>
    <row r="685" spans="1:11">
      <c r="A685" s="260"/>
      <c r="B685" s="260"/>
      <c r="C685" s="260"/>
      <c r="D685" s="1887"/>
      <c r="E685" s="1887"/>
      <c r="F685" s="1887"/>
      <c r="G685" s="57"/>
      <c r="H685" s="269"/>
      <c r="I685" s="269"/>
      <c r="J685" s="269"/>
      <c r="K685" s="269"/>
    </row>
    <row r="686" spans="1:11">
      <c r="A686" s="260"/>
      <c r="B686" s="260"/>
      <c r="C686" s="260"/>
      <c r="D686" s="1887"/>
      <c r="E686" s="1887"/>
      <c r="F686" s="1887"/>
      <c r="G686" s="57"/>
      <c r="H686" s="269"/>
      <c r="I686" s="269"/>
      <c r="J686" s="269"/>
      <c r="K686" s="269"/>
    </row>
    <row r="687" spans="1:11">
      <c r="A687" s="260"/>
      <c r="B687" s="260"/>
      <c r="C687" s="260"/>
      <c r="D687" s="1887"/>
      <c r="E687" s="1887"/>
      <c r="F687" s="1887"/>
      <c r="G687" s="57"/>
      <c r="H687" s="269"/>
      <c r="I687" s="269"/>
      <c r="J687" s="269"/>
      <c r="K687" s="269"/>
    </row>
    <row r="688" spans="1:11" ht="15" customHeight="1">
      <c r="A688" s="260"/>
      <c r="B688" s="260"/>
      <c r="C688" s="260"/>
      <c r="D688" s="1887"/>
      <c r="E688" s="1887"/>
      <c r="F688" s="1887"/>
      <c r="G688" s="57"/>
      <c r="H688" s="269"/>
      <c r="I688" s="269"/>
      <c r="J688" s="269"/>
      <c r="K688" s="269"/>
    </row>
    <row r="689" spans="1:11">
      <c r="A689" s="260"/>
      <c r="B689" s="260"/>
      <c r="C689" s="260"/>
      <c r="D689" s="1887"/>
      <c r="E689" s="1887"/>
      <c r="F689" s="1887"/>
      <c r="G689" s="57"/>
      <c r="H689" s="269"/>
      <c r="I689" s="269"/>
      <c r="J689" s="269"/>
      <c r="K689" s="269"/>
    </row>
    <row r="690" spans="1:11">
      <c r="A690" s="260"/>
      <c r="B690" s="260"/>
      <c r="C690" s="260"/>
      <c r="D690" s="1887"/>
      <c r="E690" s="1887"/>
      <c r="F690" s="1887"/>
      <c r="G690" s="57"/>
      <c r="H690" s="269"/>
      <c r="I690" s="269"/>
      <c r="J690" s="269"/>
      <c r="K690" s="269"/>
    </row>
    <row r="691" spans="1:11">
      <c r="A691" s="260"/>
      <c r="B691" s="260"/>
      <c r="C691" s="260"/>
      <c r="D691" s="1887"/>
      <c r="E691" s="1887"/>
      <c r="F691" s="1887"/>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7" t="s">
        <v>1231</v>
      </c>
      <c r="E693" s="1887"/>
      <c r="F693" s="1887"/>
      <c r="G693" s="57"/>
      <c r="H693" s="269"/>
      <c r="I693" s="269"/>
      <c r="J693" s="269"/>
      <c r="K693" s="269"/>
    </row>
    <row r="694" spans="1:11">
      <c r="A694" s="260"/>
      <c r="B694" s="260"/>
      <c r="C694" s="260"/>
      <c r="D694" s="1887"/>
      <c r="E694" s="1887"/>
      <c r="F694" s="1887"/>
      <c r="G694" s="57"/>
      <c r="H694" s="269"/>
      <c r="I694" s="269"/>
      <c r="J694" s="269"/>
      <c r="K694" s="269"/>
    </row>
    <row r="695" spans="1:11">
      <c r="A695" s="260"/>
      <c r="B695" s="260"/>
      <c r="C695" s="260"/>
      <c r="D695" s="1887"/>
      <c r="E695" s="1887"/>
      <c r="F695" s="1887"/>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7" t="s">
        <v>1228</v>
      </c>
      <c r="E697" s="1887"/>
      <c r="F697" s="1887"/>
      <c r="G697" s="57"/>
      <c r="H697" s="269"/>
      <c r="I697" s="269"/>
      <c r="J697" s="269"/>
      <c r="K697" s="269"/>
    </row>
    <row r="698" spans="1:11" s="683" customFormat="1">
      <c r="A698" s="260"/>
      <c r="B698" s="260"/>
      <c r="C698" s="260"/>
      <c r="D698" s="1887"/>
      <c r="E698" s="1887"/>
      <c r="F698" s="1887"/>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7" t="s">
        <v>1229</v>
      </c>
      <c r="E700" s="1887"/>
      <c r="F700" s="1887"/>
      <c r="G700" s="57"/>
      <c r="H700" s="269"/>
      <c r="I700" s="269"/>
      <c r="J700" s="269"/>
      <c r="K700" s="269"/>
    </row>
    <row r="701" spans="1:11" s="683" customFormat="1">
      <c r="A701" s="260"/>
      <c r="B701" s="260"/>
      <c r="C701" s="260"/>
      <c r="D701" s="1887"/>
      <c r="E701" s="1887"/>
      <c r="F701" s="1887"/>
      <c r="G701" s="57"/>
      <c r="H701" s="269"/>
      <c r="I701" s="269"/>
      <c r="J701" s="269"/>
      <c r="K701" s="269"/>
    </row>
    <row r="702" spans="1:11" s="683" customFormat="1">
      <c r="A702" s="260"/>
      <c r="B702" s="260"/>
      <c r="C702" s="260"/>
      <c r="D702" s="1887"/>
      <c r="E702" s="1887"/>
      <c r="F702" s="1887"/>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7" t="s">
        <v>1222</v>
      </c>
      <c r="E704" s="1887"/>
      <c r="F704" s="1887"/>
      <c r="G704" s="57"/>
      <c r="H704" s="269"/>
      <c r="I704" s="269"/>
      <c r="J704" s="269"/>
      <c r="K704" s="269"/>
    </row>
    <row r="705" spans="1:11">
      <c r="A705" s="260"/>
      <c r="B705" s="260"/>
      <c r="C705" s="260"/>
      <c r="D705" s="1887"/>
      <c r="E705" s="1887"/>
      <c r="F705" s="1887"/>
      <c r="G705" s="57"/>
      <c r="H705" s="269"/>
      <c r="I705" s="269"/>
      <c r="J705" s="269"/>
      <c r="K705" s="269"/>
    </row>
    <row r="706" spans="1:11">
      <c r="A706" s="260"/>
      <c r="B706" s="260"/>
      <c r="C706" s="260"/>
      <c r="D706" s="1887"/>
      <c r="E706" s="1887"/>
      <c r="F706" s="1887"/>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7" t="s">
        <v>1223</v>
      </c>
      <c r="E708" s="1887"/>
      <c r="F708" s="1887"/>
      <c r="G708" s="57"/>
      <c r="H708" s="269"/>
      <c r="I708" s="269"/>
      <c r="J708" s="269"/>
      <c r="K708" s="269"/>
    </row>
    <row r="709" spans="1:11">
      <c r="A709" s="260"/>
      <c r="B709" s="260"/>
      <c r="C709" s="260"/>
      <c r="D709" s="1887"/>
      <c r="E709" s="1887"/>
      <c r="F709" s="1887"/>
      <c r="G709" s="57"/>
      <c r="H709" s="269"/>
      <c r="I709" s="269"/>
      <c r="J709" s="269"/>
      <c r="K709" s="269"/>
    </row>
    <row r="710" spans="1:11">
      <c r="A710" s="260"/>
      <c r="B710" s="260"/>
      <c r="C710" s="260"/>
      <c r="D710" s="1887"/>
      <c r="E710" s="1887"/>
      <c r="F710" s="1887"/>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2" t="s">
        <v>1224</v>
      </c>
      <c r="E712" s="1852"/>
      <c r="F712" s="1852"/>
      <c r="G712" s="57"/>
      <c r="H712" s="269"/>
      <c r="I712" s="269"/>
      <c r="J712" s="269"/>
      <c r="K712" s="269"/>
    </row>
    <row r="713" spans="1:11">
      <c r="A713" s="260"/>
      <c r="B713" s="260"/>
      <c r="C713" s="260"/>
      <c r="D713" s="1852"/>
      <c r="E713" s="1852"/>
      <c r="F713" s="1852"/>
      <c r="G713" s="57"/>
      <c r="H713" s="269"/>
      <c r="I713" s="269"/>
      <c r="J713" s="269"/>
      <c r="K713" s="269"/>
    </row>
    <row r="714" spans="1:11">
      <c r="A714" s="260"/>
      <c r="B714" s="260"/>
      <c r="C714" s="260"/>
      <c r="D714" s="1852"/>
      <c r="E714" s="1852"/>
      <c r="F714" s="1852"/>
      <c r="G714" s="57"/>
      <c r="H714" s="269"/>
      <c r="I714" s="269"/>
      <c r="J714" s="269"/>
      <c r="K714" s="269"/>
    </row>
    <row r="715" spans="1:11">
      <c r="A715" s="260"/>
      <c r="B715" s="260"/>
      <c r="C715" s="260"/>
      <c r="D715" s="1852"/>
      <c r="E715" s="1852"/>
      <c r="F715" s="1852"/>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7" t="s">
        <v>1357</v>
      </c>
      <c r="E717" s="1887"/>
      <c r="F717" s="1887"/>
      <c r="G717" s="57"/>
      <c r="H717" s="269"/>
      <c r="I717" s="269"/>
      <c r="J717" s="269"/>
      <c r="K717" s="269"/>
    </row>
    <row r="718" spans="1:11">
      <c r="A718" s="260"/>
      <c r="B718" s="260"/>
      <c r="C718" s="260"/>
      <c r="D718" s="1887"/>
      <c r="E718" s="1887"/>
      <c r="F718" s="1887"/>
      <c r="G718" s="57"/>
      <c r="H718" s="269"/>
      <c r="I718" s="269"/>
      <c r="J718" s="269"/>
      <c r="K718" s="269"/>
    </row>
    <row r="719" spans="1:11">
      <c r="A719" s="260"/>
      <c r="B719" s="260"/>
      <c r="C719" s="260"/>
      <c r="D719" s="1887"/>
      <c r="E719" s="1887"/>
      <c r="F719" s="1887"/>
      <c r="G719" s="57"/>
      <c r="H719" s="269"/>
      <c r="I719" s="269"/>
      <c r="J719" s="269"/>
      <c r="K719" s="269"/>
    </row>
    <row r="720" spans="1:11">
      <c r="A720" s="260"/>
      <c r="B720" s="260"/>
      <c r="C720" s="260"/>
      <c r="D720" s="1887"/>
      <c r="E720" s="1887"/>
      <c r="F720" s="1887"/>
      <c r="G720" s="57"/>
      <c r="H720" s="269"/>
      <c r="I720" s="269"/>
      <c r="J720" s="269"/>
      <c r="K720" s="269"/>
    </row>
    <row r="721" spans="1:11">
      <c r="A721" s="260"/>
      <c r="B721" s="260"/>
      <c r="C721" s="260"/>
      <c r="D721" s="1887"/>
      <c r="E721" s="1887"/>
      <c r="F721" s="1887"/>
      <c r="G721" s="57"/>
      <c r="H721" s="269"/>
      <c r="I721" s="269"/>
      <c r="J721" s="269"/>
      <c r="K721" s="269"/>
    </row>
    <row r="722" spans="1:11">
      <c r="A722" s="260"/>
      <c r="B722" s="260"/>
      <c r="C722" s="260"/>
      <c r="D722" s="1887"/>
      <c r="E722" s="1887"/>
      <c r="F722" s="1887"/>
      <c r="G722" s="57"/>
      <c r="H722" s="269"/>
      <c r="I722" s="269"/>
      <c r="J722" s="269"/>
      <c r="K722" s="269"/>
    </row>
    <row r="723" spans="1:11">
      <c r="A723" s="260"/>
      <c r="B723" s="260"/>
      <c r="C723" s="260"/>
      <c r="D723" s="1887"/>
      <c r="E723" s="1887"/>
      <c r="F723" s="1887"/>
      <c r="G723" s="57"/>
      <c r="H723" s="269"/>
      <c r="I723" s="269"/>
      <c r="J723" s="269"/>
      <c r="K723" s="269"/>
    </row>
    <row r="724" spans="1:11">
      <c r="A724" s="260"/>
      <c r="B724" s="260"/>
      <c r="C724" s="260"/>
      <c r="D724" s="1920" t="s">
        <v>1225</v>
      </c>
      <c r="E724" s="1920"/>
      <c r="F724" s="1920"/>
      <c r="G724" s="57"/>
      <c r="H724" s="269"/>
      <c r="I724" s="269"/>
      <c r="J724" s="269"/>
      <c r="K724" s="269"/>
    </row>
    <row r="725" spans="1:11" s="683" customFormat="1">
      <c r="A725" s="260"/>
      <c r="B725" s="260"/>
      <c r="C725" s="260"/>
      <c r="D725" s="534"/>
      <c r="E725" s="7"/>
      <c r="F725" s="7"/>
      <c r="G725" s="57"/>
      <c r="H725" s="269"/>
      <c r="I725" s="269"/>
      <c r="J725" s="269"/>
      <c r="K725" s="269"/>
    </row>
    <row r="726" spans="1:11">
      <c r="A726" s="1922" t="s">
        <v>1182</v>
      </c>
      <c r="B726" s="1922"/>
      <c r="C726" s="1922"/>
      <c r="D726" s="1922"/>
      <c r="E726" s="1922"/>
      <c r="F726" s="1922"/>
      <c r="G726" s="1922"/>
      <c r="H726" s="269"/>
      <c r="I726" s="269"/>
      <c r="J726" s="269"/>
      <c r="K726" s="269"/>
    </row>
    <row r="727" spans="1:11">
      <c r="A727" s="260"/>
      <c r="B727" s="260"/>
      <c r="C727" s="260"/>
      <c r="D727" s="263"/>
      <c r="G727" s="271"/>
      <c r="H727" s="269"/>
      <c r="I727" s="269"/>
      <c r="J727" s="269"/>
      <c r="K727" s="269"/>
    </row>
    <row r="728" spans="1:11" ht="13.15" customHeight="1">
      <c r="C728" s="260"/>
      <c r="D728" s="1901" t="s">
        <v>1198</v>
      </c>
      <c r="E728" s="1901"/>
      <c r="F728" s="1901"/>
      <c r="G728" s="271"/>
      <c r="H728" s="269"/>
      <c r="I728" s="269"/>
      <c r="J728" s="269"/>
      <c r="K728" s="269"/>
    </row>
    <row r="729" spans="1:11">
      <c r="A729" s="260"/>
      <c r="B729" s="260"/>
      <c r="C729" s="260"/>
      <c r="D729" s="1918" t="s">
        <v>1199</v>
      </c>
      <c r="E729" s="1918"/>
      <c r="F729" s="1918"/>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2" t="s">
        <v>1200</v>
      </c>
      <c r="E731" s="1852"/>
      <c r="F731" s="1852"/>
      <c r="G731" s="271"/>
      <c r="H731" s="272"/>
      <c r="I731" s="272"/>
      <c r="J731" s="272"/>
      <c r="K731" s="272"/>
    </row>
    <row r="732" spans="1:11" s="39" customFormat="1" ht="10.5" customHeight="1">
      <c r="A732" s="132"/>
      <c r="B732" s="677"/>
      <c r="C732" s="132"/>
      <c r="D732" s="1852"/>
      <c r="E732" s="1852"/>
      <c r="F732" s="1852"/>
      <c r="G732" s="271"/>
      <c r="H732" s="272"/>
      <c r="I732" s="272"/>
      <c r="J732" s="272"/>
      <c r="K732" s="272"/>
    </row>
    <row r="733" spans="1:11" s="39" customFormat="1">
      <c r="A733" s="132"/>
      <c r="B733" s="677"/>
      <c r="C733" s="132"/>
      <c r="D733" s="1852"/>
      <c r="E733" s="1852"/>
      <c r="F733" s="1852"/>
      <c r="G733" s="271"/>
      <c r="H733" s="272"/>
      <c r="I733" s="272"/>
      <c r="J733" s="272"/>
      <c r="K733" s="272"/>
    </row>
    <row r="734" spans="1:11">
      <c r="D734" s="1852"/>
      <c r="E734" s="1852"/>
      <c r="F734" s="1852"/>
      <c r="G734" s="271"/>
      <c r="H734" s="269"/>
      <c r="I734" s="269"/>
      <c r="J734" s="269"/>
      <c r="K734" s="269"/>
    </row>
    <row r="735" spans="1:11">
      <c r="A735" s="273"/>
      <c r="B735" s="273"/>
      <c r="C735" s="273"/>
      <c r="D735" s="1852"/>
      <c r="E735" s="1852"/>
      <c r="F735" s="1852"/>
      <c r="G735" s="275"/>
      <c r="H735" s="269"/>
      <c r="I735" s="269"/>
      <c r="J735" s="269"/>
      <c r="K735" s="269"/>
    </row>
    <row r="736" spans="1:11" ht="15.6" customHeight="1">
      <c r="A736" s="273"/>
      <c r="B736" s="273"/>
      <c r="C736" s="273"/>
      <c r="D736" s="1852"/>
      <c r="E736" s="1852"/>
      <c r="F736" s="1852"/>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3" t="s">
        <v>1201</v>
      </c>
      <c r="E738" s="1853"/>
      <c r="F738" s="1853"/>
      <c r="G738" s="312"/>
    </row>
    <row r="739" spans="1:11" s="410" customFormat="1">
      <c r="A739" s="409"/>
      <c r="B739" s="409"/>
      <c r="C739" s="409"/>
      <c r="D739" s="1853"/>
      <c r="E739" s="1853"/>
      <c r="F739" s="1853"/>
      <c r="G739" s="312"/>
    </row>
    <row r="740" spans="1:11" s="410" customFormat="1">
      <c r="A740" s="409"/>
      <c r="B740" s="409"/>
      <c r="C740" s="409"/>
      <c r="D740" s="1853"/>
      <c r="E740" s="1853"/>
      <c r="F740" s="1853"/>
      <c r="G740" s="312"/>
    </row>
    <row r="741" spans="1:11" s="410" customFormat="1">
      <c r="A741" s="409"/>
      <c r="B741" s="409"/>
      <c r="C741" s="409"/>
      <c r="D741" s="1853"/>
      <c r="E741" s="1853"/>
      <c r="F741" s="1853"/>
      <c r="G741" s="312"/>
    </row>
    <row r="742" spans="1:11" s="410" customFormat="1">
      <c r="A742" s="409"/>
      <c r="B742" s="409"/>
      <c r="C742" s="409"/>
      <c r="D742" s="378"/>
      <c r="E742" s="312"/>
      <c r="F742" s="312"/>
      <c r="G742" s="312"/>
    </row>
    <row r="743" spans="1:11" s="410" customFormat="1" ht="14.25">
      <c r="A743" s="261"/>
      <c r="B743" s="680" t="s">
        <v>318</v>
      </c>
      <c r="C743" s="409"/>
      <c r="D743" s="1919" t="s">
        <v>1202</v>
      </c>
      <c r="E743" s="1919"/>
      <c r="F743" s="1919"/>
      <c r="G743" s="312"/>
    </row>
    <row r="744" spans="1:11" s="410" customFormat="1">
      <c r="A744" s="409"/>
      <c r="B744" s="409"/>
      <c r="C744" s="409"/>
      <c r="D744" s="1919"/>
      <c r="E744" s="1919"/>
      <c r="F744" s="1919"/>
      <c r="G744" s="312"/>
    </row>
    <row r="745" spans="1:11" s="410" customFormat="1">
      <c r="A745" s="409"/>
      <c r="B745" s="409"/>
      <c r="C745" s="409"/>
      <c r="D745" s="1919"/>
      <c r="E745" s="1919"/>
      <c r="F745" s="1919"/>
      <c r="G745" s="312"/>
    </row>
    <row r="746" spans="1:11">
      <c r="A746" s="273"/>
      <c r="B746" s="273"/>
      <c r="C746" s="273"/>
      <c r="D746" s="378"/>
      <c r="E746" s="274"/>
      <c r="F746" s="274"/>
      <c r="G746" s="275"/>
      <c r="H746" s="269"/>
      <c r="I746" s="269"/>
      <c r="J746" s="269"/>
      <c r="K746" s="269"/>
    </row>
    <row r="747" spans="1:11" ht="14.25">
      <c r="A747" s="261"/>
      <c r="B747" s="680" t="s">
        <v>318</v>
      </c>
      <c r="C747" s="273"/>
      <c r="D747" s="1853" t="s">
        <v>1203</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3" t="s">
        <v>1204</v>
      </c>
      <c r="E750" s="1853"/>
      <c r="F750" s="1853"/>
      <c r="G750" s="275"/>
      <c r="H750" s="269"/>
      <c r="I750" s="269"/>
      <c r="J750" s="269"/>
      <c r="K750" s="269"/>
    </row>
    <row r="751" spans="1:11" s="683" customFormat="1">
      <c r="A751" s="273"/>
      <c r="B751" s="273"/>
      <c r="C751" s="273"/>
      <c r="D751" s="1853"/>
      <c r="E751" s="1853"/>
      <c r="F751" s="1853"/>
      <c r="G751" s="275"/>
      <c r="H751" s="269"/>
      <c r="I751" s="269"/>
      <c r="J751" s="269"/>
      <c r="K751" s="269"/>
    </row>
    <row r="752" spans="1:11" s="683" customFormat="1">
      <c r="A752" s="273"/>
      <c r="B752" s="273"/>
      <c r="C752" s="273"/>
      <c r="D752" s="1853"/>
      <c r="E752" s="1853"/>
      <c r="F752" s="1853"/>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4" t="s">
        <v>1205</v>
      </c>
      <c r="B754" s="1924"/>
      <c r="C754" s="1924"/>
      <c r="D754" s="1924"/>
      <c r="E754" s="1924"/>
      <c r="F754" s="1924"/>
      <c r="G754" s="1924"/>
    </row>
    <row r="755" spans="1:11">
      <c r="A755" s="260"/>
      <c r="B755" s="260"/>
      <c r="C755" s="260"/>
      <c r="D755" s="276"/>
      <c r="F755" s="147"/>
      <c r="G755" s="271"/>
    </row>
    <row r="756" spans="1:11">
      <c r="A756" s="273"/>
      <c r="B756" s="273"/>
      <c r="C756" s="443"/>
      <c r="D756" s="1925" t="s">
        <v>1189</v>
      </c>
      <c r="E756" s="1925"/>
      <c r="F756" s="1925"/>
      <c r="G756" s="271"/>
    </row>
    <row r="757" spans="1:11">
      <c r="A757" s="504"/>
      <c r="B757" s="504"/>
      <c r="C757" s="503"/>
      <c r="D757" s="1915" t="s">
        <v>1206</v>
      </c>
      <c r="E757" s="1915"/>
      <c r="F757" s="1915"/>
      <c r="G757" s="271"/>
    </row>
    <row r="758" spans="1:11">
      <c r="A758" s="273"/>
      <c r="B758" s="273"/>
      <c r="C758" s="443"/>
      <c r="D758" s="694"/>
      <c r="E758" s="694"/>
      <c r="F758" s="694"/>
      <c r="G758" s="271"/>
    </row>
    <row r="759" spans="1:11" ht="14.25">
      <c r="A759" s="261"/>
      <c r="B759" s="680" t="s">
        <v>318</v>
      </c>
      <c r="C759" s="443"/>
      <c r="D759" s="1916" t="s">
        <v>1074</v>
      </c>
      <c r="E759" s="1916"/>
      <c r="F759" s="1916"/>
      <c r="G759" s="271"/>
    </row>
    <row r="760" spans="1:11">
      <c r="A760" s="273"/>
      <c r="B760" s="273"/>
      <c r="C760" s="443"/>
      <c r="D760" s="693"/>
      <c r="E760" s="1917" t="s">
        <v>1190</v>
      </c>
      <c r="F760" s="1917"/>
      <c r="G760" s="271"/>
    </row>
    <row r="761" spans="1:11">
      <c r="A761" s="267"/>
      <c r="B761" s="267"/>
      <c r="C761" s="267"/>
      <c r="D761" s="135"/>
      <c r="F761" s="57"/>
      <c r="G761" s="271"/>
    </row>
    <row r="762" spans="1:11">
      <c r="A762" s="1921" t="s">
        <v>473</v>
      </c>
      <c r="B762" s="1921"/>
      <c r="C762" s="1921"/>
      <c r="D762" s="1921"/>
      <c r="E762" s="1921"/>
      <c r="F762" s="1921"/>
      <c r="G762" s="1921"/>
    </row>
    <row r="763" spans="1:11">
      <c r="A763" s="255"/>
      <c r="B763" s="674"/>
      <c r="C763" s="266"/>
      <c r="D763" s="271"/>
      <c r="E763" s="271"/>
      <c r="F763" s="271"/>
      <c r="G763" s="271"/>
    </row>
    <row r="764" spans="1:11">
      <c r="A764" s="135"/>
      <c r="B764" s="1923" t="s">
        <v>1073</v>
      </c>
      <c r="C764" s="1923"/>
      <c r="D764" s="1923"/>
      <c r="E764" s="1923"/>
      <c r="F764" s="1923"/>
      <c r="G764" s="271"/>
    </row>
    <row r="765" spans="1:11">
      <c r="A765" s="23"/>
      <c r="B765" s="676"/>
      <c r="G765" s="271"/>
    </row>
    <row r="766" spans="1:11">
      <c r="A766" s="1921" t="s">
        <v>474</v>
      </c>
      <c r="B766" s="1921"/>
      <c r="C766" s="1921"/>
      <c r="D766" s="1921"/>
      <c r="E766" s="1921"/>
      <c r="F766" s="1921"/>
      <c r="G766" s="1921"/>
    </row>
    <row r="767" spans="1:11">
      <c r="A767" s="255"/>
      <c r="B767" s="674"/>
      <c r="C767" s="255"/>
      <c r="D767" s="263"/>
      <c r="G767" s="271"/>
    </row>
    <row r="768" spans="1:11">
      <c r="A768" s="135"/>
      <c r="B768" s="1867" t="s">
        <v>472</v>
      </c>
      <c r="C768" s="1867"/>
      <c r="D768" s="1867"/>
      <c r="E768" s="1867"/>
      <c r="F768" s="1867"/>
      <c r="G768" s="271"/>
    </row>
    <row r="769" spans="1:7" ht="14.25">
      <c r="A769" s="261"/>
      <c r="B769" s="261"/>
      <c r="D769" s="135"/>
      <c r="E769" s="135"/>
      <c r="F769" s="271"/>
      <c r="G769" s="271"/>
    </row>
    <row r="770" spans="1:7">
      <c r="A770" s="1921" t="s">
        <v>475</v>
      </c>
      <c r="B770" s="1921"/>
      <c r="C770" s="1921"/>
      <c r="D770" s="1921"/>
      <c r="E770" s="1921"/>
      <c r="F770" s="1921"/>
      <c r="G770" s="1921"/>
    </row>
    <row r="771" spans="1:7">
      <c r="C771" s="260"/>
      <c r="D771" s="259"/>
      <c r="E771" s="135"/>
      <c r="F771" s="271"/>
      <c r="G771" s="271"/>
    </row>
    <row r="772" spans="1:7">
      <c r="A772" s="135"/>
      <c r="B772" s="1867" t="s">
        <v>472</v>
      </c>
      <c r="C772" s="1867"/>
      <c r="D772" s="1867"/>
      <c r="E772" s="1867"/>
      <c r="F772" s="1867"/>
      <c r="G772" s="271"/>
    </row>
    <row r="773" spans="1:7">
      <c r="A773" s="135"/>
      <c r="B773" s="135"/>
      <c r="C773" s="266"/>
      <c r="D773" s="271"/>
      <c r="E773" s="271"/>
      <c r="F773" s="271"/>
      <c r="G773" s="271"/>
    </row>
    <row r="774" spans="1:7">
      <c r="A774" s="1921" t="s">
        <v>476</v>
      </c>
      <c r="B774" s="1921"/>
      <c r="C774" s="1921"/>
      <c r="D774" s="1921"/>
      <c r="E774" s="1921"/>
      <c r="F774" s="1921"/>
      <c r="G774" s="1921"/>
    </row>
    <row r="775" spans="1:7">
      <c r="A775" s="135"/>
      <c r="B775" s="135"/>
    </row>
    <row r="776" spans="1:7">
      <c r="A776" s="135"/>
      <c r="B776" s="1867" t="s">
        <v>472</v>
      </c>
      <c r="C776" s="1867"/>
      <c r="D776" s="1867"/>
      <c r="E776" s="1867"/>
      <c r="F776" s="1867"/>
    </row>
    <row r="777" spans="1:7">
      <c r="A777" s="266"/>
      <c r="B777" s="266"/>
      <c r="C777" s="266"/>
      <c r="D777" s="258"/>
      <c r="F777" s="271"/>
    </row>
    <row r="778" spans="1:7">
      <c r="A778" s="1921" t="s">
        <v>477</v>
      </c>
      <c r="B778" s="1921"/>
      <c r="C778" s="1921"/>
      <c r="D778" s="1921"/>
      <c r="E778" s="1921"/>
      <c r="F778" s="1921"/>
      <c r="G778" s="1921"/>
    </row>
    <row r="779" spans="1:7">
      <c r="A779" s="135"/>
      <c r="B779" s="135"/>
    </row>
    <row r="780" spans="1:7">
      <c r="A780" s="135"/>
      <c r="B780" s="1867" t="s">
        <v>472</v>
      </c>
      <c r="C780" s="1867"/>
      <c r="D780" s="1867"/>
      <c r="E780" s="1867"/>
      <c r="F780" s="1867"/>
    </row>
    <row r="781" spans="1:7">
      <c r="A781" s="266"/>
      <c r="B781" s="266"/>
      <c r="C781" s="266"/>
      <c r="D781" s="258"/>
      <c r="F781" s="271"/>
    </row>
    <row r="782" spans="1:7">
      <c r="A782" s="1921" t="s">
        <v>478</v>
      </c>
      <c r="B782" s="1921"/>
      <c r="C782" s="1921"/>
      <c r="D782" s="1921"/>
      <c r="E782" s="1921"/>
      <c r="F782" s="1921"/>
      <c r="G782" s="1921"/>
    </row>
    <row r="783" spans="1:7">
      <c r="A783" s="135"/>
      <c r="B783" s="135"/>
    </row>
    <row r="784" spans="1:7">
      <c r="A784" s="135"/>
      <c r="B784" s="1867" t="s">
        <v>472</v>
      </c>
      <c r="C784" s="1867"/>
      <c r="D784" s="1867"/>
      <c r="E784" s="1867"/>
      <c r="F784" s="1867"/>
    </row>
    <row r="785" spans="1:7">
      <c r="A785" s="265"/>
      <c r="B785" s="265"/>
      <c r="C785" s="265"/>
      <c r="D785" s="277"/>
      <c r="E785" s="57"/>
      <c r="F785" s="57"/>
      <c r="G785" s="57"/>
    </row>
    <row r="786" spans="1:7">
      <c r="A786" s="1921" t="s">
        <v>192</v>
      </c>
      <c r="B786" s="1921"/>
      <c r="C786" s="1921"/>
      <c r="D786" s="1921"/>
      <c r="E786" s="1921"/>
      <c r="F786" s="1921"/>
      <c r="G786" s="1921"/>
    </row>
    <row r="787" spans="1:7">
      <c r="A787" s="135"/>
      <c r="B787" s="135"/>
    </row>
    <row r="788" spans="1:7">
      <c r="A788" s="135"/>
      <c r="B788" s="1867" t="s">
        <v>472</v>
      </c>
      <c r="C788" s="1867"/>
      <c r="D788" s="1867"/>
      <c r="E788" s="1867"/>
      <c r="F788" s="1867"/>
    </row>
    <row r="789" spans="1:7">
      <c r="A789" s="135"/>
      <c r="B789" s="135"/>
      <c r="D789" s="258"/>
    </row>
    <row r="790" spans="1:7">
      <c r="A790" s="1921" t="s">
        <v>942</v>
      </c>
      <c r="B790" s="1921"/>
      <c r="C790" s="1921"/>
      <c r="D790" s="1921"/>
      <c r="E790" s="1921"/>
      <c r="F790" s="1921"/>
      <c r="G790" s="1921"/>
    </row>
    <row r="791" spans="1:7">
      <c r="A791" s="135"/>
      <c r="B791" s="135"/>
    </row>
    <row r="792" spans="1:7">
      <c r="A792" s="135"/>
      <c r="B792" s="1867" t="s">
        <v>472</v>
      </c>
      <c r="C792" s="1867"/>
      <c r="D792" s="1867"/>
      <c r="E792" s="1867"/>
      <c r="F792" s="1867"/>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0" t="s">
        <v>2437</v>
      </c>
      <c r="B2" s="1931"/>
      <c r="C2" s="1931"/>
      <c r="D2" s="1931"/>
      <c r="E2" s="1931"/>
      <c r="F2" s="1931"/>
      <c r="G2" s="1931"/>
      <c r="H2" s="1931"/>
      <c r="I2" s="1931"/>
      <c r="J2" s="1931"/>
    </row>
    <row r="3" spans="1:10" ht="15.75">
      <c r="A3" s="1935" t="s">
        <v>685</v>
      </c>
      <c r="B3" s="1936"/>
      <c r="C3" s="1936"/>
      <c r="D3" s="1936"/>
      <c r="E3" s="1936"/>
      <c r="F3" s="1936"/>
      <c r="G3" s="1936"/>
      <c r="H3" s="1936"/>
      <c r="I3" s="1936"/>
      <c r="J3" s="1936"/>
    </row>
    <row r="4" spans="1:10" ht="15">
      <c r="A4" s="1937" t="s">
        <v>1510</v>
      </c>
      <c r="B4" s="1936"/>
      <c r="C4" s="1936"/>
      <c r="D4" s="1936"/>
      <c r="E4" s="1936"/>
      <c r="F4" s="1936"/>
      <c r="G4" s="1936"/>
      <c r="H4" s="1936"/>
      <c r="I4" s="1936"/>
      <c r="J4" s="1936"/>
    </row>
    <row r="5" spans="1:10" ht="12.75"/>
    <row r="6" spans="1:10" ht="12.75">
      <c r="A6" s="1932" t="s">
        <v>1532</v>
      </c>
      <c r="B6" s="1933"/>
      <c r="C6" s="1933"/>
      <c r="D6" s="1933"/>
      <c r="E6" s="1933"/>
      <c r="F6" s="1933"/>
      <c r="G6" s="1933"/>
      <c r="H6" s="1933"/>
      <c r="I6" s="1933"/>
      <c r="J6" s="1933"/>
    </row>
    <row r="7" spans="1:10" ht="12.75">
      <c r="A7" s="1933"/>
      <c r="B7" s="1933"/>
      <c r="C7" s="1933"/>
      <c r="D7" s="1933"/>
      <c r="E7" s="1933"/>
      <c r="F7" s="1933"/>
      <c r="G7" s="1933"/>
      <c r="H7" s="1933"/>
      <c r="I7" s="1933"/>
      <c r="J7" s="1933"/>
    </row>
    <row r="8" spans="1:10" ht="12.75">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2.75">
      <c r="A10" s="773"/>
      <c r="B10" s="773"/>
      <c r="C10" s="773"/>
      <c r="D10" s="773"/>
      <c r="E10" s="773"/>
      <c r="F10" s="773"/>
      <c r="G10" s="773"/>
      <c r="H10" s="773"/>
      <c r="I10" s="773"/>
      <c r="J10" s="773"/>
    </row>
    <row r="11" spans="1:10" ht="12.75">
      <c r="A11" s="1938" t="s">
        <v>1396</v>
      </c>
      <c r="B11" s="1939"/>
      <c r="C11" s="1939"/>
      <c r="D11" s="1939"/>
      <c r="E11" s="1939"/>
      <c r="F11" s="1939"/>
      <c r="G11" s="1939"/>
      <c r="H11" s="1939"/>
      <c r="I11" s="1939"/>
      <c r="J11" s="1939"/>
    </row>
    <row r="12" spans="1:10" ht="12.75">
      <c r="A12" s="1939"/>
      <c r="B12" s="1939"/>
      <c r="C12" s="1939"/>
      <c r="D12" s="1939"/>
      <c r="E12" s="1939"/>
      <c r="F12" s="1939"/>
      <c r="G12" s="1939"/>
      <c r="H12" s="1939"/>
      <c r="I12" s="1939"/>
      <c r="J12" s="1939"/>
    </row>
    <row r="13" spans="1:10" ht="12.75">
      <c r="A13" s="1939"/>
      <c r="B13" s="1939"/>
      <c r="C13" s="1939"/>
      <c r="D13" s="1939"/>
      <c r="E13" s="1939"/>
      <c r="F13" s="1939"/>
      <c r="G13" s="1939"/>
      <c r="H13" s="1939"/>
      <c r="I13" s="1939"/>
      <c r="J13" s="1939"/>
    </row>
    <row r="14" spans="1:10" ht="12.75"/>
    <row r="15" spans="1:10" ht="12.75" customHeight="1">
      <c r="A15" s="1940" t="s">
        <v>1483</v>
      </c>
      <c r="B15" s="1940"/>
      <c r="C15" s="1940"/>
      <c r="D15" s="1940"/>
      <c r="E15" s="1940"/>
      <c r="F15" s="1940"/>
      <c r="G15" s="1940"/>
      <c r="H15" s="1940"/>
      <c r="I15" s="1940"/>
      <c r="J15" s="1940"/>
    </row>
    <row r="16" spans="1:10" ht="12.75">
      <c r="A16" s="1940"/>
      <c r="B16" s="1940"/>
      <c r="C16" s="1940"/>
      <c r="D16" s="1940"/>
      <c r="E16" s="1940"/>
      <c r="F16" s="1940"/>
      <c r="G16" s="1940"/>
      <c r="H16" s="1940"/>
      <c r="I16" s="1940"/>
      <c r="J16" s="1940"/>
    </row>
    <row r="17" spans="1:10" ht="12.75">
      <c r="A17" s="1940"/>
      <c r="B17" s="1940"/>
      <c r="C17" s="1940"/>
      <c r="D17" s="1940"/>
      <c r="E17" s="1940"/>
      <c r="F17" s="1940"/>
      <c r="G17" s="1940"/>
      <c r="H17" s="1940"/>
      <c r="I17" s="1940"/>
      <c r="J17" s="1940"/>
    </row>
    <row r="18" spans="1:10" ht="12.75">
      <c r="A18" s="1941"/>
      <c r="B18" s="1941"/>
      <c r="C18" s="1941"/>
      <c r="D18" s="1941"/>
      <c r="E18" s="1941"/>
      <c r="F18" s="1941"/>
      <c r="G18" s="1941"/>
      <c r="H18" s="1941"/>
      <c r="I18" s="1941"/>
      <c r="J18" s="1941"/>
    </row>
    <row r="19" spans="1:10" ht="12.75">
      <c r="A19" s="1941"/>
      <c r="B19" s="1941"/>
      <c r="C19" s="1941"/>
      <c r="D19" s="1941"/>
      <c r="E19" s="1941"/>
      <c r="F19" s="1941"/>
      <c r="G19" s="1941"/>
      <c r="H19" s="1941"/>
      <c r="I19" s="1941"/>
      <c r="J19" s="1941"/>
    </row>
    <row r="20" spans="1:10" ht="12.75">
      <c r="A20" s="1941"/>
      <c r="B20" s="1941"/>
      <c r="C20" s="1941"/>
      <c r="D20" s="1941"/>
      <c r="E20" s="1941"/>
      <c r="F20" s="1941"/>
      <c r="G20" s="1941"/>
      <c r="H20" s="1941"/>
      <c r="I20" s="1941"/>
      <c r="J20" s="1941"/>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2" t="s">
        <v>1398</v>
      </c>
      <c r="B23" s="1936"/>
      <c r="C23" s="1936"/>
      <c r="D23" s="1936"/>
      <c r="E23" s="193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2" t="s">
        <v>1399</v>
      </c>
      <c r="B60" s="1933"/>
      <c r="C60" s="1933"/>
      <c r="D60" s="1933"/>
      <c r="E60" s="1933"/>
      <c r="F60" s="1933"/>
      <c r="G60" s="1933"/>
      <c r="H60" s="1933"/>
      <c r="I60" s="1933"/>
      <c r="J60" s="1933"/>
    </row>
    <row r="61" spans="1:10" ht="12.75">
      <c r="A61" s="1933"/>
      <c r="B61" s="1933"/>
      <c r="C61" s="1933"/>
      <c r="D61" s="1933"/>
      <c r="E61" s="1933"/>
      <c r="F61" s="1933"/>
      <c r="G61" s="1933"/>
      <c r="H61" s="1933"/>
      <c r="I61" s="1933"/>
      <c r="J61" s="1933"/>
    </row>
    <row r="62" spans="1:10" ht="12.75">
      <c r="A62" s="1933"/>
      <c r="B62" s="1933"/>
      <c r="C62" s="1933"/>
      <c r="D62" s="1933"/>
      <c r="E62" s="1933"/>
      <c r="F62" s="1933"/>
      <c r="G62" s="1933"/>
      <c r="H62" s="1933"/>
      <c r="I62" s="1933"/>
      <c r="J62" s="1933"/>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4" t="s">
        <v>1400</v>
      </c>
      <c r="B75" s="1934"/>
      <c r="C75" s="1934"/>
      <c r="D75" s="1934"/>
      <c r="E75" s="1934"/>
      <c r="F75" s="1934"/>
      <c r="G75" s="1934"/>
      <c r="H75" s="1934"/>
      <c r="I75" s="1934"/>
    </row>
    <row r="76" spans="1:9" ht="12.75">
      <c r="A76" s="1858" t="s">
        <v>1098</v>
      </c>
      <c r="B76" s="1858"/>
      <c r="C76" s="1858"/>
      <c r="D76" s="1858"/>
      <c r="E76" s="1858"/>
    </row>
    <row r="77" spans="1:9" ht="12.75">
      <c r="A77" s="1858" t="s">
        <v>1401</v>
      </c>
      <c r="B77" s="1858"/>
      <c r="C77" s="1858"/>
      <c r="D77" s="1858"/>
      <c r="E77" s="1858"/>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A67" sqref="A67:XFD67"/>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3" t="s">
        <v>2258</v>
      </c>
      <c r="B2" s="1973"/>
      <c r="C2" s="1974"/>
      <c r="D2" s="1974"/>
      <c r="E2" s="1974"/>
      <c r="F2" s="1974"/>
      <c r="G2" s="1974"/>
    </row>
    <row r="3" spans="1:9">
      <c r="A3" s="1980" t="s">
        <v>2259</v>
      </c>
      <c r="B3" s="1980"/>
      <c r="C3" s="1974"/>
      <c r="D3" s="1974"/>
      <c r="E3" s="1974"/>
      <c r="F3" s="1974"/>
      <c r="G3" s="1974"/>
      <c r="I3" s="694"/>
    </row>
    <row r="4" spans="1:9">
      <c r="A4" s="1977"/>
      <c r="B4" s="1977"/>
      <c r="C4" s="1981"/>
      <c r="D4" s="1981"/>
      <c r="E4" s="1981"/>
      <c r="F4" s="1981"/>
      <c r="G4" s="1981"/>
      <c r="I4" s="694"/>
    </row>
    <row r="5" spans="1:9" s="792" customFormat="1">
      <c r="A5" s="1977"/>
      <c r="B5" s="1977"/>
      <c r="C5" s="1978"/>
      <c r="D5" s="1978"/>
      <c r="E5" s="1978"/>
      <c r="F5" s="1978"/>
      <c r="G5" s="1978"/>
    </row>
    <row r="6" spans="1:9" s="792" customFormat="1">
      <c r="A6" s="1975" t="s">
        <v>1259</v>
      </c>
      <c r="B6" s="1975"/>
      <c r="C6" s="1976"/>
      <c r="D6" s="1976"/>
      <c r="E6" s="1976"/>
      <c r="F6" s="1976"/>
      <c r="G6" s="1976"/>
    </row>
    <row r="7" spans="1:9" s="792" customFormat="1">
      <c r="A7" s="1975" t="s">
        <v>1260</v>
      </c>
      <c r="B7" s="1975"/>
      <c r="C7" s="1976"/>
      <c r="D7" s="1976"/>
      <c r="E7" s="1976"/>
      <c r="F7" s="1976"/>
      <c r="G7" s="1976"/>
    </row>
    <row r="8" spans="1:9">
      <c r="A8" s="793"/>
      <c r="B8" s="793"/>
      <c r="C8" s="794"/>
      <c r="D8" s="794"/>
      <c r="E8" s="794"/>
      <c r="F8" s="794"/>
    </row>
    <row r="9" spans="1:9">
      <c r="A9" s="1908" t="s">
        <v>1262</v>
      </c>
      <c r="B9" s="1908"/>
      <c r="C9" s="1908"/>
      <c r="D9" s="1908"/>
      <c r="E9" s="1908"/>
      <c r="F9" s="1908"/>
      <c r="G9" s="1908"/>
    </row>
    <row r="10" spans="1:9">
      <c r="A10" s="794"/>
      <c r="B10" s="794"/>
      <c r="E10" s="795"/>
    </row>
    <row r="11" spans="1:9" ht="13.7" customHeight="1">
      <c r="C11" s="794"/>
      <c r="D11" s="1998" t="s">
        <v>1261</v>
      </c>
      <c r="E11" s="1998"/>
      <c r="F11" s="1998"/>
    </row>
    <row r="12" spans="1:9">
      <c r="C12" s="794"/>
      <c r="D12" s="1998"/>
      <c r="E12" s="1998"/>
      <c r="F12" s="1998"/>
    </row>
    <row r="13" spans="1:9">
      <c r="A13" s="796"/>
      <c r="B13" s="796"/>
      <c r="C13" s="796"/>
      <c r="D13" s="1892" t="s">
        <v>1244</v>
      </c>
      <c r="E13" s="1892"/>
      <c r="F13" s="1892"/>
    </row>
    <row r="14" spans="1:9">
      <c r="A14" s="796"/>
      <c r="B14" s="796"/>
      <c r="C14" s="796"/>
      <c r="D14" s="797"/>
    </row>
    <row r="15" spans="1:9" ht="14.25">
      <c r="A15" s="798"/>
      <c r="B15" s="799" t="s">
        <v>2615</v>
      </c>
      <c r="C15" s="800"/>
      <c r="D15" s="1890" t="s">
        <v>1245</v>
      </c>
      <c r="E15" s="1890"/>
      <c r="F15" s="1890"/>
    </row>
    <row r="16" spans="1:9">
      <c r="A16" s="796"/>
      <c r="B16" s="796"/>
      <c r="C16" s="800"/>
      <c r="D16" s="1890"/>
      <c r="E16" s="1890"/>
      <c r="F16" s="1890"/>
    </row>
    <row r="17" spans="1:7">
      <c r="A17" s="796"/>
      <c r="B17" s="796"/>
      <c r="C17" s="800"/>
      <c r="D17" s="1890"/>
      <c r="E17" s="1890"/>
      <c r="F17" s="1890"/>
    </row>
    <row r="18" spans="1:7">
      <c r="A18" s="796"/>
      <c r="B18" s="796"/>
      <c r="C18" s="796"/>
    </row>
    <row r="19" spans="1:7" ht="14.25">
      <c r="A19" s="798"/>
      <c r="B19" s="799" t="s">
        <v>2615</v>
      </c>
      <c r="D19" s="1916" t="s">
        <v>1246</v>
      </c>
      <c r="E19" s="1916"/>
      <c r="F19" s="1916"/>
    </row>
    <row r="20" spans="1:7" ht="14.25">
      <c r="A20" s="798"/>
      <c r="B20" s="798"/>
      <c r="D20" s="801"/>
    </row>
    <row r="21" spans="1:7" ht="14.25">
      <c r="A21" s="798"/>
      <c r="B21" s="799" t="s">
        <v>2467</v>
      </c>
      <c r="D21" s="1890" t="s">
        <v>1247</v>
      </c>
      <c r="E21" s="1890"/>
      <c r="F21" s="1890"/>
    </row>
    <row r="22" spans="1:7" ht="14.25">
      <c r="A22" s="798"/>
      <c r="B22" s="798"/>
      <c r="D22" s="1890"/>
      <c r="E22" s="1890"/>
      <c r="F22" s="1890"/>
    </row>
    <row r="23" spans="1:7"/>
    <row r="24" spans="1:7" ht="14.25">
      <c r="A24" s="798"/>
      <c r="B24" s="799" t="s">
        <v>2615</v>
      </c>
      <c r="D24" s="1970" t="s">
        <v>1248</v>
      </c>
      <c r="E24" s="1970"/>
      <c r="F24" s="1970"/>
    </row>
    <row r="25" spans="1:7">
      <c r="D25" s="1970"/>
      <c r="E25" s="1970"/>
      <c r="F25" s="1970"/>
    </row>
    <row r="26" spans="1:7">
      <c r="D26" s="1970"/>
      <c r="E26" s="1970"/>
      <c r="F26" s="1970"/>
    </row>
    <row r="27" spans="1:7">
      <c r="D27" s="1970"/>
      <c r="E27" s="1970"/>
      <c r="F27" s="1970"/>
    </row>
    <row r="28" spans="1:7">
      <c r="D28" s="1970"/>
      <c r="E28" s="1970"/>
      <c r="F28" s="1970"/>
    </row>
    <row r="29" spans="1:7" s="792" customFormat="1">
      <c r="A29" s="802"/>
      <c r="B29" s="802"/>
      <c r="C29" s="802"/>
      <c r="D29" s="734"/>
      <c r="E29" s="803"/>
      <c r="F29" s="803"/>
      <c r="G29" s="803"/>
    </row>
    <row r="30" spans="1:7" s="792" customFormat="1">
      <c r="A30" s="802"/>
      <c r="B30" s="799" t="s">
        <v>2467</v>
      </c>
      <c r="C30" s="802"/>
      <c r="D30" s="1891" t="s">
        <v>1249</v>
      </c>
      <c r="E30" s="1891"/>
      <c r="F30" s="1891"/>
      <c r="G30" s="803"/>
    </row>
    <row r="31" spans="1:7" s="792" customFormat="1">
      <c r="A31" s="802"/>
      <c r="B31" s="802"/>
      <c r="C31" s="802"/>
      <c r="D31" s="1891"/>
      <c r="E31" s="1891"/>
      <c r="F31" s="1891"/>
      <c r="G31" s="803"/>
    </row>
    <row r="32" spans="1:7" ht="14.25">
      <c r="A32" s="798"/>
      <c r="B32" s="798"/>
      <c r="D32" s="804"/>
    </row>
    <row r="33" spans="1:6" ht="14.45" customHeight="1">
      <c r="A33" s="798"/>
      <c r="B33" s="799" t="s">
        <v>2467</v>
      </c>
      <c r="D33" s="1891" t="s">
        <v>1432</v>
      </c>
      <c r="E33" s="1891"/>
      <c r="F33" s="1891"/>
    </row>
    <row r="34" spans="1:6" ht="14.25">
      <c r="A34" s="798"/>
      <c r="B34" s="798"/>
      <c r="D34" s="1891"/>
      <c r="E34" s="1891"/>
      <c r="F34" s="1891"/>
    </row>
    <row r="35" spans="1:6" ht="14.25">
      <c r="A35" s="798"/>
      <c r="B35" s="798"/>
      <c r="D35" s="1891"/>
      <c r="E35" s="1891"/>
      <c r="F35" s="1891"/>
    </row>
    <row r="36" spans="1:6" ht="14.25">
      <c r="A36" s="798"/>
      <c r="B36" s="798"/>
      <c r="D36" s="1891"/>
      <c r="E36" s="1891"/>
      <c r="F36" s="1891"/>
    </row>
    <row r="37" spans="1:6" ht="14.25">
      <c r="A37" s="798"/>
      <c r="B37" s="798"/>
      <c r="D37" s="791"/>
    </row>
    <row r="38" spans="1:6" ht="14.25">
      <c r="A38" s="798"/>
      <c r="B38" s="799" t="s">
        <v>2467</v>
      </c>
      <c r="D38" s="1891" t="s">
        <v>1251</v>
      </c>
      <c r="E38" s="1891"/>
      <c r="F38" s="1891"/>
    </row>
    <row r="39" spans="1:6" ht="14.25">
      <c r="A39" s="798"/>
      <c r="B39" s="798"/>
      <c r="D39" s="1891"/>
      <c r="E39" s="1891"/>
      <c r="F39" s="1891"/>
    </row>
    <row r="40" spans="1:6" ht="14.25">
      <c r="A40" s="798"/>
      <c r="B40" s="798"/>
      <c r="D40" s="1891"/>
      <c r="E40" s="1891"/>
      <c r="F40" s="1891"/>
    </row>
    <row r="41" spans="1:6" ht="14.25">
      <c r="A41" s="798"/>
      <c r="B41" s="798"/>
      <c r="D41" s="1891"/>
      <c r="E41" s="1891"/>
      <c r="F41" s="1891"/>
    </row>
    <row r="42" spans="1:6" ht="14.25">
      <c r="A42" s="798"/>
      <c r="B42" s="798"/>
      <c r="D42" s="1891"/>
      <c r="E42" s="1891"/>
      <c r="F42" s="1891"/>
    </row>
    <row r="43" spans="1:6" ht="14.25">
      <c r="A43" s="798"/>
      <c r="B43" s="798"/>
      <c r="D43" s="782"/>
      <c r="E43" s="782"/>
      <c r="F43" s="782"/>
    </row>
    <row r="44" spans="1:6" ht="14.25">
      <c r="A44" s="798"/>
      <c r="B44" s="799" t="s">
        <v>2467</v>
      </c>
      <c r="D44" s="1891" t="s">
        <v>1252</v>
      </c>
      <c r="E44" s="1891"/>
      <c r="F44" s="1891"/>
    </row>
    <row r="45" spans="1:6" ht="14.25">
      <c r="A45" s="798"/>
      <c r="B45" s="798"/>
      <c r="D45" s="1891"/>
      <c r="E45" s="1891"/>
      <c r="F45" s="1891"/>
    </row>
    <row r="46" spans="1:6" ht="14.25">
      <c r="A46" s="798"/>
      <c r="B46" s="798"/>
      <c r="D46" s="1891"/>
      <c r="E46" s="1891"/>
      <c r="F46" s="1891"/>
    </row>
    <row r="47" spans="1:6" ht="23.25" customHeight="1">
      <c r="A47" s="798"/>
      <c r="B47" s="798"/>
      <c r="D47" s="1891"/>
      <c r="E47" s="1891"/>
      <c r="F47" s="1891"/>
    </row>
    <row r="48" spans="1:6" ht="14.25">
      <c r="A48" s="798"/>
      <c r="B48" s="798"/>
      <c r="D48" s="786"/>
    </row>
    <row r="49" spans="1:7" ht="14.45" customHeight="1">
      <c r="A49" s="798"/>
      <c r="B49" s="799" t="s">
        <v>2467</v>
      </c>
      <c r="D49" s="1891" t="s">
        <v>1253</v>
      </c>
      <c r="E49" s="1891"/>
      <c r="F49" s="1891"/>
    </row>
    <row r="50" spans="1:7" ht="14.25">
      <c r="A50" s="798"/>
      <c r="B50" s="798"/>
      <c r="D50" s="1891"/>
      <c r="E50" s="1891"/>
      <c r="F50" s="1891"/>
    </row>
    <row r="51" spans="1:7" ht="14.25">
      <c r="A51" s="798"/>
      <c r="B51" s="798"/>
      <c r="D51" s="1891"/>
      <c r="E51" s="1891"/>
      <c r="F51" s="1891"/>
    </row>
    <row r="52" spans="1:7" s="619" customFormat="1" ht="14.25">
      <c r="A52" s="798"/>
      <c r="B52" s="798"/>
      <c r="C52" s="805"/>
      <c r="D52" s="803"/>
      <c r="E52" s="694"/>
      <c r="F52" s="694"/>
      <c r="G52" s="694"/>
    </row>
    <row r="53" spans="1:7" s="619" customFormat="1" ht="14.25">
      <c r="A53" s="806"/>
      <c r="B53" s="799" t="s">
        <v>2615</v>
      </c>
      <c r="C53" s="807"/>
      <c r="D53" s="1891" t="s">
        <v>1254</v>
      </c>
      <c r="E53" s="1891"/>
      <c r="F53" s="1891"/>
      <c r="G53" s="694"/>
    </row>
    <row r="54" spans="1:7" s="619" customFormat="1" ht="14.25">
      <c r="A54" s="806"/>
      <c r="B54" s="806"/>
      <c r="C54" s="807"/>
      <c r="D54" s="1891"/>
      <c r="E54" s="1891"/>
      <c r="F54" s="1891"/>
      <c r="G54" s="694"/>
    </row>
    <row r="55" spans="1:7" s="792" customFormat="1">
      <c r="A55" s="802"/>
      <c r="B55" s="802"/>
      <c r="C55" s="802"/>
      <c r="D55" s="734"/>
      <c r="E55" s="803"/>
      <c r="F55" s="803"/>
      <c r="G55" s="803"/>
    </row>
    <row r="56" spans="1:7" ht="14.25">
      <c r="A56" s="798"/>
      <c r="B56" s="799" t="s">
        <v>2467</v>
      </c>
      <c r="D56" s="1891" t="s">
        <v>1255</v>
      </c>
      <c r="E56" s="1891"/>
      <c r="F56" s="1891"/>
    </row>
    <row r="57" spans="1:7">
      <c r="D57" s="1891"/>
      <c r="E57" s="1891"/>
      <c r="F57" s="1891"/>
    </row>
    <row r="58" spans="1:7">
      <c r="D58" s="1891"/>
      <c r="E58" s="1891"/>
      <c r="F58" s="1891"/>
    </row>
    <row r="59" spans="1:7">
      <c r="D59" s="694"/>
    </row>
    <row r="60" spans="1:7" ht="14.25">
      <c r="A60" s="798"/>
      <c r="B60" s="799" t="s">
        <v>2467</v>
      </c>
      <c r="D60" s="1891" t="s">
        <v>1256</v>
      </c>
      <c r="E60" s="1891"/>
      <c r="F60" s="1891"/>
    </row>
    <row r="61" spans="1:7">
      <c r="D61" s="1891"/>
      <c r="E61" s="1891"/>
      <c r="F61" s="1891"/>
    </row>
    <row r="62" spans="1:7"/>
    <row r="63" spans="1:7" ht="14.25">
      <c r="A63" s="798"/>
      <c r="B63" s="799" t="s">
        <v>2615</v>
      </c>
      <c r="D63" s="1891" t="s">
        <v>1257</v>
      </c>
      <c r="E63" s="1891"/>
      <c r="F63" s="1891"/>
    </row>
    <row r="64" spans="1:7">
      <c r="D64" s="1891"/>
      <c r="E64" s="1891"/>
      <c r="F64" s="1891"/>
    </row>
    <row r="65" spans="1:7">
      <c r="D65" s="1891"/>
      <c r="E65" s="1891"/>
      <c r="F65" s="1891"/>
    </row>
    <row r="66" spans="1:7">
      <c r="D66" s="791"/>
    </row>
    <row r="67" spans="1:7" ht="14.25">
      <c r="A67" s="798"/>
      <c r="B67" s="799" t="s">
        <v>2615</v>
      </c>
      <c r="D67" s="1890" t="s">
        <v>1258</v>
      </c>
      <c r="E67" s="1890"/>
      <c r="F67" s="1890"/>
    </row>
    <row r="68" spans="1:7">
      <c r="D68" s="1890"/>
      <c r="E68" s="1890"/>
      <c r="F68" s="1890"/>
    </row>
    <row r="69" spans="1:7" ht="14.25">
      <c r="A69" s="798"/>
      <c r="B69" s="798"/>
      <c r="D69" s="801"/>
    </row>
    <row r="70" spans="1:7">
      <c r="A70" s="1872" t="s">
        <v>1165</v>
      </c>
      <c r="B70" s="1872"/>
      <c r="C70" s="1872"/>
      <c r="D70" s="1872"/>
      <c r="E70" s="1872"/>
      <c r="F70" s="1872"/>
      <c r="G70" s="1872"/>
    </row>
    <row r="71" spans="1:7"/>
    <row r="72" spans="1:7">
      <c r="C72" s="808"/>
      <c r="D72" s="1967" t="s">
        <v>1263</v>
      </c>
      <c r="E72" s="1967"/>
      <c r="F72" s="1967"/>
    </row>
    <row r="73" spans="1:7">
      <c r="A73" s="801"/>
      <c r="B73" s="801"/>
      <c r="D73" s="1890" t="s">
        <v>1290</v>
      </c>
      <c r="E73" s="1890"/>
      <c r="F73" s="1890"/>
    </row>
    <row r="74" spans="1:7">
      <c r="A74" s="801"/>
      <c r="B74" s="801"/>
    </row>
    <row r="75" spans="1:7" ht="13.7" customHeight="1">
      <c r="A75" s="798"/>
      <c r="B75" s="799" t="s">
        <v>2615</v>
      </c>
      <c r="D75" s="1890" t="s">
        <v>1482</v>
      </c>
      <c r="E75" s="1890"/>
      <c r="F75" s="1890"/>
    </row>
    <row r="76" spans="1:7" ht="14.25">
      <c r="A76" s="798"/>
      <c r="B76" s="798"/>
      <c r="D76" s="1890"/>
      <c r="E76" s="1890"/>
      <c r="F76" s="1890"/>
    </row>
    <row r="77" spans="1:7" ht="14.25">
      <c r="A77" s="798"/>
      <c r="B77" s="798"/>
      <c r="D77" s="1890"/>
      <c r="E77" s="1890"/>
      <c r="F77" s="1890"/>
    </row>
    <row r="78" spans="1:7" ht="14.25">
      <c r="A78" s="798"/>
      <c r="B78" s="798"/>
      <c r="D78" s="1890"/>
      <c r="E78" s="1890"/>
      <c r="F78" s="1890"/>
    </row>
    <row r="79" spans="1:7" ht="14.25">
      <c r="A79" s="798"/>
      <c r="B79" s="798"/>
      <c r="D79" s="1890"/>
      <c r="E79" s="1890"/>
      <c r="F79" s="1890"/>
    </row>
    <row r="80" spans="1:7" ht="14.25">
      <c r="A80" s="798"/>
      <c r="B80" s="798"/>
      <c r="D80" s="1890"/>
      <c r="E80" s="1890"/>
      <c r="F80" s="1890"/>
    </row>
    <row r="81" spans="1:6" ht="14.25">
      <c r="A81" s="798"/>
      <c r="B81" s="798"/>
      <c r="D81" s="1890"/>
      <c r="E81" s="1890"/>
      <c r="F81" s="1890"/>
    </row>
    <row r="82" spans="1:6" ht="14.25">
      <c r="A82" s="798"/>
      <c r="B82" s="798"/>
      <c r="D82" s="1890"/>
      <c r="E82" s="1890"/>
      <c r="F82" s="1890"/>
    </row>
    <row r="83" spans="1:6" ht="14.25">
      <c r="A83" s="798"/>
      <c r="B83" s="798"/>
      <c r="D83" s="880"/>
      <c r="E83" s="880"/>
      <c r="F83" s="880"/>
    </row>
    <row r="84" spans="1:6" ht="15" customHeight="1">
      <c r="A84" s="798"/>
      <c r="B84" s="799" t="s">
        <v>2615</v>
      </c>
      <c r="D84" s="1890" t="s">
        <v>2260</v>
      </c>
      <c r="E84" s="1890"/>
      <c r="F84" s="1890"/>
    </row>
    <row r="85" spans="1:6" ht="14.25">
      <c r="A85" s="798"/>
      <c r="B85" s="798"/>
      <c r="D85" s="1890"/>
      <c r="E85" s="1890"/>
      <c r="F85" s="1890"/>
    </row>
    <row r="86" spans="1:6" ht="14.25">
      <c r="A86" s="798"/>
      <c r="B86" s="798"/>
      <c r="D86" s="1719"/>
      <c r="E86" s="1719"/>
      <c r="F86" s="1719"/>
    </row>
    <row r="87" spans="1:6" ht="14.25">
      <c r="A87" s="798"/>
      <c r="B87" s="799" t="s">
        <v>2615</v>
      </c>
      <c r="D87" s="1890" t="s">
        <v>2264</v>
      </c>
      <c r="E87" s="1890"/>
      <c r="F87" s="1890"/>
    </row>
    <row r="88" spans="1:6" ht="14.25">
      <c r="A88" s="798"/>
      <c r="B88" s="798"/>
      <c r="D88" s="1890"/>
      <c r="E88" s="1890"/>
      <c r="F88" s="1890"/>
    </row>
    <row r="89" spans="1:6" ht="14.25">
      <c r="A89" s="798"/>
      <c r="B89" s="798"/>
      <c r="D89" s="1890"/>
      <c r="E89" s="1890"/>
      <c r="F89" s="1890"/>
    </row>
    <row r="90" spans="1:6" ht="14.25">
      <c r="A90" s="798"/>
      <c r="B90" s="798"/>
      <c r="D90" s="1719"/>
      <c r="E90" s="1719"/>
      <c r="F90" s="1719"/>
    </row>
    <row r="91" spans="1:6" ht="14.25">
      <c r="A91" s="798"/>
      <c r="B91" s="799" t="s">
        <v>2615</v>
      </c>
      <c r="D91" s="1890" t="s">
        <v>2262</v>
      </c>
      <c r="E91" s="1890"/>
      <c r="F91" s="1890"/>
    </row>
    <row r="92" spans="1:6" s="1736" customFormat="1" ht="14.25">
      <c r="A92" s="1734"/>
      <c r="B92" s="1734"/>
      <c r="C92" s="1735"/>
      <c r="D92" s="1890"/>
      <c r="E92" s="1890"/>
      <c r="F92" s="1890"/>
    </row>
    <row r="93" spans="1:6" ht="14.25">
      <c r="A93" s="798"/>
      <c r="B93" s="798"/>
      <c r="D93" s="1725"/>
      <c r="E93" s="1726" t="s">
        <v>2263</v>
      </c>
      <c r="F93" s="1719"/>
    </row>
    <row r="94" spans="1:6" ht="14.25">
      <c r="A94" s="798"/>
      <c r="B94" s="798"/>
      <c r="D94" s="880"/>
      <c r="E94" s="880"/>
      <c r="F94" s="880"/>
    </row>
    <row r="95" spans="1:6" ht="14.25">
      <c r="A95" s="798"/>
      <c r="B95" s="799" t="s">
        <v>2467</v>
      </c>
      <c r="D95" s="1890" t="s">
        <v>2261</v>
      </c>
      <c r="E95" s="1890"/>
      <c r="F95" s="1890"/>
    </row>
    <row r="96" spans="1:6" ht="14.25">
      <c r="A96" s="798"/>
      <c r="B96" s="798"/>
      <c r="D96" s="1890"/>
      <c r="E96" s="1890"/>
      <c r="F96" s="1890"/>
    </row>
    <row r="97" spans="1:7" ht="14.25">
      <c r="A97" s="798"/>
      <c r="B97" s="798"/>
      <c r="D97" s="1719"/>
      <c r="E97" s="1719"/>
      <c r="F97" s="1719"/>
    </row>
    <row r="98" spans="1:7" ht="14.45" customHeight="1">
      <c r="A98" s="798"/>
      <c r="B98" s="799" t="s">
        <v>2467</v>
      </c>
      <c r="D98" s="1890" t="s">
        <v>1407</v>
      </c>
      <c r="E98" s="1890"/>
      <c r="F98" s="1890"/>
      <c r="G98" s="791"/>
    </row>
    <row r="99" spans="1:7" ht="14.25">
      <c r="A99" s="798"/>
      <c r="B99" s="798"/>
      <c r="D99" s="1890"/>
      <c r="E99" s="1890"/>
      <c r="F99" s="1890"/>
      <c r="G99" s="791"/>
    </row>
    <row r="100" spans="1:7" ht="14.25">
      <c r="A100" s="798"/>
      <c r="B100" s="798"/>
      <c r="D100" s="1890"/>
      <c r="E100" s="1890"/>
      <c r="F100" s="1890"/>
      <c r="G100" s="791"/>
    </row>
    <row r="101" spans="1:7" ht="14.25">
      <c r="A101" s="798"/>
      <c r="B101" s="798"/>
      <c r="D101" s="1890"/>
      <c r="E101" s="1890"/>
      <c r="F101" s="1890"/>
      <c r="G101" s="791"/>
    </row>
    <row r="102" spans="1:7" ht="14.25">
      <c r="A102" s="798"/>
      <c r="B102" s="798"/>
      <c r="D102" s="1890"/>
      <c r="E102" s="1890"/>
      <c r="F102" s="1890"/>
      <c r="G102" s="791"/>
    </row>
    <row r="103" spans="1:7" ht="14.25">
      <c r="A103" s="798"/>
      <c r="B103" s="798"/>
      <c r="D103" s="1890"/>
      <c r="E103" s="1890"/>
      <c r="F103" s="1890"/>
      <c r="G103" s="791"/>
    </row>
    <row r="104" spans="1:7" ht="14.25">
      <c r="A104" s="798"/>
      <c r="B104" s="798"/>
      <c r="D104" s="1890"/>
      <c r="E104" s="1890"/>
      <c r="F104" s="1890"/>
      <c r="G104" s="791"/>
    </row>
    <row r="105" spans="1:7" ht="14.25">
      <c r="A105" s="798"/>
      <c r="B105" s="798"/>
      <c r="D105" s="1890"/>
      <c r="E105" s="1890"/>
      <c r="F105" s="1890"/>
      <c r="G105" s="791"/>
    </row>
    <row r="106" spans="1:7" ht="14.25">
      <c r="A106" s="798"/>
      <c r="B106" s="798"/>
      <c r="D106" s="1890"/>
      <c r="E106" s="1890"/>
      <c r="F106" s="1890"/>
      <c r="G106" s="791"/>
    </row>
    <row r="107" spans="1:7" ht="14.25">
      <c r="A107" s="798"/>
      <c r="B107" s="798"/>
      <c r="D107" s="1890"/>
      <c r="E107" s="1890"/>
      <c r="F107" s="1890"/>
      <c r="G107" s="791"/>
    </row>
    <row r="108" spans="1:7" ht="14.25">
      <c r="A108" s="798"/>
      <c r="B108" s="798"/>
      <c r="D108" s="1890"/>
      <c r="E108" s="1890"/>
      <c r="F108" s="1890"/>
      <c r="G108" s="791"/>
    </row>
    <row r="109" spans="1:7" ht="14.25">
      <c r="A109" s="798"/>
      <c r="B109" s="798"/>
      <c r="D109" s="1890"/>
      <c r="E109" s="1890"/>
      <c r="F109" s="1890"/>
      <c r="G109" s="791"/>
    </row>
    <row r="110" spans="1:7" ht="14.25">
      <c r="A110" s="798"/>
      <c r="B110" s="798"/>
      <c r="D110" s="1890"/>
      <c r="E110" s="1890"/>
      <c r="F110" s="1890"/>
      <c r="G110" s="791"/>
    </row>
    <row r="111" spans="1:7" ht="14.25">
      <c r="A111" s="798"/>
      <c r="B111" s="798"/>
      <c r="D111" s="1890"/>
      <c r="E111" s="1890"/>
      <c r="F111" s="1890"/>
    </row>
    <row r="112" spans="1:7" ht="14.25">
      <c r="A112" s="798"/>
      <c r="B112" s="798"/>
      <c r="D112" s="1890"/>
      <c r="E112" s="1890"/>
      <c r="F112" s="1890"/>
    </row>
    <row r="113" spans="1:11" ht="14.25">
      <c r="A113" s="798"/>
      <c r="B113" s="798"/>
      <c r="D113" s="906"/>
      <c r="E113" s="906"/>
      <c r="F113" s="906"/>
    </row>
    <row r="114" spans="1:11" ht="14.25" customHeight="1">
      <c r="A114" s="798"/>
      <c r="B114" s="799" t="s">
        <v>2467</v>
      </c>
      <c r="D114" s="1910" t="s">
        <v>1265</v>
      </c>
      <c r="E114" s="1910"/>
      <c r="F114" s="1910"/>
    </row>
    <row r="115" spans="1:11" ht="14.25">
      <c r="A115" s="798"/>
      <c r="B115" s="798"/>
      <c r="D115" s="1910"/>
      <c r="E115" s="1910"/>
      <c r="F115" s="1910"/>
    </row>
    <row r="116" spans="1:11" ht="14.25">
      <c r="A116" s="798"/>
      <c r="B116" s="798"/>
      <c r="D116" s="1910"/>
      <c r="E116" s="1910"/>
      <c r="F116" s="1910"/>
    </row>
    <row r="117" spans="1:11" ht="14.25">
      <c r="A117" s="798"/>
      <c r="B117" s="798"/>
      <c r="D117" s="1910"/>
      <c r="E117" s="1910"/>
      <c r="F117" s="1910"/>
    </row>
    <row r="118" spans="1:11" ht="14.25">
      <c r="A118" s="798"/>
      <c r="B118" s="798"/>
      <c r="D118" s="1910"/>
      <c r="E118" s="1910"/>
      <c r="F118" s="1910"/>
    </row>
    <row r="119" spans="1:11" ht="14.25">
      <c r="A119" s="798"/>
      <c r="B119" s="798"/>
      <c r="D119" s="1910"/>
      <c r="E119" s="1910"/>
      <c r="F119" s="1910"/>
    </row>
    <row r="120" spans="1:11" ht="14.25">
      <c r="A120" s="798"/>
      <c r="B120" s="798"/>
      <c r="D120" s="1910"/>
      <c r="E120" s="1910"/>
      <c r="F120" s="1910"/>
    </row>
    <row r="121" spans="1:11" ht="14.25">
      <c r="A121" s="798"/>
      <c r="B121" s="798"/>
      <c r="D121" s="1910"/>
      <c r="E121" s="1910"/>
      <c r="F121" s="1910"/>
    </row>
    <row r="122" spans="1:11">
      <c r="C122" s="723"/>
      <c r="D122" s="907"/>
      <c r="E122" s="907"/>
      <c r="F122" s="907"/>
      <c r="G122" s="723"/>
      <c r="H122" s="723"/>
      <c r="I122" s="723"/>
      <c r="J122" s="723"/>
      <c r="K122" s="723"/>
    </row>
    <row r="123" spans="1:11" ht="14.25">
      <c r="A123" s="798"/>
      <c r="B123" s="799" t="s">
        <v>2615</v>
      </c>
      <c r="C123" s="723"/>
      <c r="D123" s="1910" t="s">
        <v>1267</v>
      </c>
      <c r="E123" s="1910"/>
      <c r="F123" s="1910"/>
      <c r="G123" s="723"/>
      <c r="H123" s="723"/>
      <c r="I123" s="723"/>
      <c r="J123" s="723"/>
      <c r="K123" s="723"/>
    </row>
    <row r="124" spans="1:11" ht="14.25">
      <c r="A124" s="798"/>
      <c r="B124" s="798"/>
      <c r="C124" s="723"/>
      <c r="D124" s="1910"/>
      <c r="E124" s="1910"/>
      <c r="F124" s="1910"/>
      <c r="G124" s="723"/>
      <c r="H124" s="723"/>
      <c r="I124" s="723"/>
      <c r="J124" s="723"/>
      <c r="K124" s="723"/>
    </row>
    <row r="125" spans="1:11"/>
    <row r="126" spans="1:11" ht="14.25">
      <c r="A126" s="798"/>
      <c r="B126" s="799" t="s">
        <v>2467</v>
      </c>
      <c r="C126" s="805"/>
      <c r="D126" s="1890" t="s">
        <v>1268</v>
      </c>
      <c r="E126" s="1890"/>
      <c r="F126" s="1890"/>
    </row>
    <row r="127" spans="1:11">
      <c r="C127" s="805"/>
      <c r="D127" s="1890"/>
      <c r="E127" s="1890"/>
      <c r="F127" s="1890"/>
    </row>
    <row r="128" spans="1:11">
      <c r="C128" s="805"/>
      <c r="D128" s="1890"/>
      <c r="E128" s="1890"/>
      <c r="F128" s="1890"/>
    </row>
    <row r="129" spans="1:7">
      <c r="C129" s="805"/>
      <c r="D129" s="1890"/>
      <c r="E129" s="1890"/>
      <c r="F129" s="1890"/>
    </row>
    <row r="130" spans="1:7">
      <c r="C130" s="805"/>
      <c r="D130" s="1890"/>
      <c r="E130" s="1890"/>
      <c r="F130" s="1890"/>
    </row>
    <row r="131" spans="1:7">
      <c r="C131" s="805"/>
      <c r="D131" s="673"/>
      <c r="E131" s="673"/>
      <c r="F131" s="673"/>
    </row>
    <row r="132" spans="1:7" s="723" customFormat="1" ht="14.25">
      <c r="A132" s="798"/>
      <c r="B132" s="799" t="s">
        <v>2615</v>
      </c>
      <c r="C132" s="805"/>
      <c r="D132" s="1891" t="s">
        <v>1269</v>
      </c>
      <c r="E132" s="1891"/>
      <c r="F132" s="1891"/>
      <c r="G132" s="673"/>
    </row>
    <row r="133" spans="1:7" s="813" customFormat="1" ht="13.7" customHeight="1">
      <c r="A133" s="810"/>
      <c r="B133" s="810"/>
      <c r="C133" s="811"/>
      <c r="D133" s="1891"/>
      <c r="E133" s="1891"/>
      <c r="F133" s="1891"/>
      <c r="G133" s="812"/>
    </row>
    <row r="134" spans="1:7" s="723" customFormat="1" ht="13.7" customHeight="1">
      <c r="A134" s="789"/>
      <c r="B134" s="789"/>
      <c r="C134" s="805"/>
      <c r="D134" s="1891"/>
      <c r="E134" s="1891"/>
      <c r="F134" s="1891"/>
      <c r="G134" s="673"/>
    </row>
    <row r="135" spans="1:7" s="723" customFormat="1" ht="13.7" customHeight="1">
      <c r="A135" s="789"/>
      <c r="B135" s="789"/>
      <c r="C135" s="805"/>
      <c r="D135" s="1891"/>
      <c r="E135" s="1891"/>
      <c r="F135" s="1891"/>
      <c r="G135" s="673"/>
    </row>
    <row r="136" spans="1:7" s="723" customFormat="1" ht="13.7" customHeight="1">
      <c r="A136" s="789"/>
      <c r="B136" s="789"/>
      <c r="C136" s="805"/>
      <c r="D136" s="1891"/>
      <c r="E136" s="1891"/>
      <c r="F136" s="1891"/>
      <c r="G136" s="673"/>
    </row>
    <row r="137" spans="1:7" s="723" customFormat="1" ht="13.7" customHeight="1">
      <c r="A137" s="814"/>
      <c r="B137" s="814"/>
      <c r="C137" s="805"/>
      <c r="D137" s="1891"/>
      <c r="E137" s="1891"/>
      <c r="F137" s="1891"/>
      <c r="G137" s="673"/>
    </row>
    <row r="138" spans="1:7" s="619" customFormat="1" ht="13.7" customHeight="1">
      <c r="A138" s="802"/>
      <c r="B138" s="802"/>
      <c r="C138" s="807"/>
      <c r="D138" s="1891"/>
      <c r="E138" s="1891"/>
      <c r="F138" s="1891"/>
      <c r="G138" s="694"/>
    </row>
    <row r="139" spans="1:7" s="619" customFormat="1" ht="13.7" customHeight="1">
      <c r="A139" s="802"/>
      <c r="B139" s="802"/>
      <c r="C139" s="807"/>
      <c r="D139" s="1891"/>
      <c r="E139" s="1891"/>
      <c r="F139" s="1891"/>
      <c r="G139" s="694"/>
    </row>
    <row r="140" spans="1:7" s="723" customFormat="1" ht="13.7" customHeight="1">
      <c r="A140" s="789"/>
      <c r="B140" s="789"/>
      <c r="C140" s="805"/>
      <c r="D140" s="1891"/>
      <c r="E140" s="1891"/>
      <c r="F140" s="1891"/>
      <c r="G140" s="673"/>
    </row>
    <row r="141" spans="1:7" s="723" customFormat="1" ht="13.7" customHeight="1">
      <c r="A141" s="789"/>
      <c r="B141" s="789"/>
      <c r="C141" s="805"/>
      <c r="D141" s="1891"/>
      <c r="E141" s="1891"/>
      <c r="F141" s="1891"/>
      <c r="G141" s="673"/>
    </row>
    <row r="142" spans="1:7" s="723" customFormat="1" ht="13.7" customHeight="1">
      <c r="A142" s="789"/>
      <c r="B142" s="789"/>
      <c r="C142" s="805"/>
      <c r="D142" s="1891"/>
      <c r="E142" s="1891"/>
      <c r="F142" s="1891"/>
      <c r="G142" s="673"/>
    </row>
    <row r="143" spans="1:7" s="723" customFormat="1" ht="13.7" customHeight="1">
      <c r="A143" s="789"/>
      <c r="B143" s="789"/>
      <c r="C143" s="805"/>
      <c r="D143" s="1891"/>
      <c r="E143" s="1891"/>
      <c r="F143" s="1891"/>
      <c r="G143" s="673"/>
    </row>
    <row r="144" spans="1:7" s="723" customFormat="1" ht="13.7" customHeight="1">
      <c r="A144" s="789"/>
      <c r="B144" s="789"/>
      <c r="C144" s="805"/>
      <c r="D144" s="797"/>
      <c r="E144" s="786"/>
      <c r="F144" s="786"/>
      <c r="G144" s="673"/>
    </row>
    <row r="145" spans="1:7" s="723" customFormat="1" ht="13.7" customHeight="1">
      <c r="A145" s="789"/>
      <c r="B145" s="799" t="s">
        <v>2615</v>
      </c>
      <c r="C145" s="805"/>
      <c r="D145" s="1983" t="s">
        <v>1377</v>
      </c>
      <c r="E145" s="1983"/>
      <c r="F145" s="1983"/>
      <c r="G145" s="673"/>
    </row>
    <row r="146" spans="1:7" s="723" customFormat="1" ht="13.7" customHeight="1">
      <c r="A146" s="789"/>
      <c r="B146" s="789"/>
      <c r="C146" s="805"/>
      <c r="D146" s="1983"/>
      <c r="E146" s="1983"/>
      <c r="F146" s="1983"/>
      <c r="G146" s="673"/>
    </row>
    <row r="147" spans="1:7" s="723" customFormat="1" ht="13.7" customHeight="1">
      <c r="A147" s="789"/>
      <c r="B147" s="789"/>
      <c r="C147" s="805"/>
      <c r="D147" s="1983"/>
      <c r="E147" s="1983"/>
      <c r="F147" s="1983"/>
      <c r="G147" s="673"/>
    </row>
    <row r="148" spans="1:7" s="723" customFormat="1" ht="13.7" customHeight="1">
      <c r="A148" s="789"/>
      <c r="B148" s="789"/>
      <c r="C148" s="805"/>
      <c r="D148" s="1983"/>
      <c r="E148" s="1983"/>
      <c r="F148" s="1983"/>
      <c r="G148" s="673"/>
    </row>
    <row r="149" spans="1:7" s="723" customFormat="1" ht="13.7" customHeight="1">
      <c r="A149" s="789"/>
      <c r="B149" s="789"/>
      <c r="C149" s="805"/>
      <c r="D149" s="1983"/>
      <c r="E149" s="1983"/>
      <c r="F149" s="1983"/>
      <c r="G149" s="673"/>
    </row>
    <row r="150" spans="1:7" s="723" customFormat="1" ht="13.7" customHeight="1">
      <c r="A150" s="789"/>
      <c r="B150" s="789"/>
      <c r="C150" s="805"/>
      <c r="D150" s="1983"/>
      <c r="E150" s="1983"/>
      <c r="F150" s="1983"/>
      <c r="G150" s="673"/>
    </row>
    <row r="151" spans="1:7" s="723" customFormat="1" ht="13.7" customHeight="1">
      <c r="A151" s="789"/>
      <c r="B151" s="789"/>
      <c r="C151" s="805"/>
      <c r="D151" s="1983"/>
      <c r="E151" s="1983"/>
      <c r="F151" s="1983"/>
      <c r="G151" s="673"/>
    </row>
    <row r="152" spans="1:7" s="723" customFormat="1" ht="13.7" customHeight="1">
      <c r="A152" s="789"/>
      <c r="B152" s="789"/>
      <c r="C152" s="805"/>
      <c r="D152" s="1983"/>
      <c r="E152" s="1983"/>
      <c r="F152" s="1983"/>
      <c r="G152" s="673"/>
    </row>
    <row r="153" spans="1:7" s="723" customFormat="1" ht="13.7" customHeight="1">
      <c r="A153" s="789"/>
      <c r="B153" s="789"/>
      <c r="C153" s="805"/>
      <c r="D153" s="1983"/>
      <c r="E153" s="1983"/>
      <c r="F153" s="1983"/>
      <c r="G153" s="673"/>
    </row>
    <row r="154" spans="1:7" s="723" customFormat="1" ht="13.7" customHeight="1">
      <c r="A154" s="789"/>
      <c r="B154" s="789"/>
      <c r="C154" s="805"/>
      <c r="D154" s="1983"/>
      <c r="E154" s="1983"/>
      <c r="F154" s="1983"/>
      <c r="G154" s="673"/>
    </row>
    <row r="155" spans="1:7" s="723" customFormat="1" ht="13.7" customHeight="1">
      <c r="A155" s="789"/>
      <c r="B155" s="789"/>
      <c r="C155" s="805"/>
      <c r="D155" s="1983"/>
      <c r="E155" s="1983"/>
      <c r="F155" s="1983"/>
      <c r="G155" s="673"/>
    </row>
    <row r="156" spans="1:7" s="723" customFormat="1" ht="13.7" customHeight="1">
      <c r="A156" s="789"/>
      <c r="B156" s="789"/>
      <c r="C156" s="805"/>
      <c r="D156" s="1983"/>
      <c r="E156" s="1983"/>
      <c r="F156" s="1983"/>
      <c r="G156" s="673"/>
    </row>
    <row r="157" spans="1:7" s="723" customFormat="1" ht="13.7" customHeight="1">
      <c r="A157" s="789"/>
      <c r="B157" s="789"/>
      <c r="C157" s="805"/>
      <c r="D157" s="1983"/>
      <c r="E157" s="1983"/>
      <c r="F157" s="1983"/>
      <c r="G157" s="673"/>
    </row>
    <row r="158" spans="1:7" s="723" customFormat="1" ht="13.7" customHeight="1">
      <c r="A158" s="789"/>
      <c r="B158" s="789"/>
      <c r="C158" s="805"/>
      <c r="D158" s="1983"/>
      <c r="E158" s="1983"/>
      <c r="F158" s="1983"/>
      <c r="G158" s="673"/>
    </row>
    <row r="159" spans="1:7" s="723" customFormat="1" ht="13.7" customHeight="1">
      <c r="A159" s="789"/>
      <c r="B159" s="789"/>
      <c r="C159" s="805"/>
      <c r="D159" s="1983"/>
      <c r="E159" s="1983"/>
      <c r="F159" s="1983"/>
      <c r="G159" s="673"/>
    </row>
    <row r="160" spans="1:7" s="723" customFormat="1" ht="13.7" customHeight="1">
      <c r="A160" s="789"/>
      <c r="B160" s="789"/>
      <c r="C160" s="805"/>
      <c r="D160" s="1983"/>
      <c r="E160" s="1983"/>
      <c r="F160" s="1983"/>
      <c r="G160" s="673"/>
    </row>
    <row r="161" spans="1:7" s="723" customFormat="1" ht="13.7" customHeight="1">
      <c r="A161" s="789"/>
      <c r="B161" s="789"/>
      <c r="C161" s="805"/>
      <c r="D161" s="1983"/>
      <c r="E161" s="1983"/>
      <c r="F161" s="1983"/>
      <c r="G161" s="673"/>
    </row>
    <row r="162" spans="1:7" s="723" customFormat="1" ht="13.7" customHeight="1">
      <c r="A162" s="789"/>
      <c r="B162" s="789"/>
      <c r="C162" s="805"/>
      <c r="D162" s="1983"/>
      <c r="E162" s="1983"/>
      <c r="F162" s="1983"/>
      <c r="G162" s="673"/>
    </row>
    <row r="163" spans="1:7" s="723" customFormat="1" ht="13.7" customHeight="1">
      <c r="A163" s="789"/>
      <c r="B163" s="789"/>
      <c r="C163" s="805"/>
      <c r="D163" s="1984" t="s">
        <v>1415</v>
      </c>
      <c r="E163" s="1984"/>
      <c r="F163" s="1984"/>
      <c r="G163" s="858"/>
    </row>
    <row r="164" spans="1:7" s="723" customFormat="1" ht="13.7" customHeight="1">
      <c r="A164" s="789"/>
      <c r="B164" s="789"/>
      <c r="C164" s="805"/>
      <c r="D164" s="1982"/>
      <c r="E164" s="1982"/>
      <c r="F164" s="1982"/>
      <c r="G164" s="1982"/>
    </row>
    <row r="165" spans="1:7" s="723" customFormat="1" ht="14.45" customHeight="1">
      <c r="A165" s="814"/>
      <c r="B165" s="799" t="s">
        <v>2467</v>
      </c>
      <c r="C165" s="815"/>
      <c r="D165" s="1864" t="s">
        <v>1443</v>
      </c>
      <c r="E165" s="1864"/>
      <c r="F165" s="1864"/>
      <c r="G165" s="816"/>
    </row>
    <row r="166" spans="1:7" s="723" customFormat="1" ht="14.45" customHeight="1">
      <c r="A166" s="814"/>
      <c r="B166" s="814"/>
      <c r="C166" s="815"/>
      <c r="D166" s="1864"/>
      <c r="E166" s="1864"/>
      <c r="F166" s="1864"/>
      <c r="G166" s="816"/>
    </row>
    <row r="167" spans="1:7" s="723" customFormat="1" ht="13.7" customHeight="1">
      <c r="A167" s="814"/>
      <c r="B167" s="814"/>
      <c r="C167" s="815"/>
      <c r="D167" s="1864"/>
      <c r="E167" s="1864"/>
      <c r="F167" s="1864"/>
      <c r="G167" s="816"/>
    </row>
    <row r="168" spans="1:7" s="723" customFormat="1" ht="13.7" customHeight="1">
      <c r="A168" s="814"/>
      <c r="B168" s="814"/>
      <c r="C168" s="815"/>
      <c r="D168" s="797"/>
      <c r="E168" s="815"/>
      <c r="F168" s="815"/>
      <c r="G168" s="816"/>
    </row>
    <row r="169" spans="1:7" s="723" customFormat="1" ht="13.7" customHeight="1">
      <c r="A169" s="814"/>
      <c r="B169" s="799" t="s">
        <v>2467</v>
      </c>
      <c r="C169" s="815"/>
      <c r="D169" s="1860" t="s">
        <v>1271</v>
      </c>
      <c r="E169" s="1860"/>
      <c r="F169" s="1860"/>
      <c r="G169" s="816"/>
    </row>
    <row r="170" spans="1:7" s="723" customFormat="1" ht="13.7" customHeight="1">
      <c r="A170" s="814"/>
      <c r="B170" s="814"/>
      <c r="C170" s="815"/>
      <c r="D170" s="1860"/>
      <c r="E170" s="1860"/>
      <c r="F170" s="1860"/>
      <c r="G170" s="816"/>
    </row>
    <row r="171" spans="1:7" s="723" customFormat="1" ht="13.7" customHeight="1">
      <c r="A171" s="814"/>
      <c r="B171" s="814"/>
      <c r="C171" s="815"/>
      <c r="D171" s="1860"/>
      <c r="E171" s="1860"/>
      <c r="F171" s="1860"/>
      <c r="G171" s="816"/>
    </row>
    <row r="172" spans="1:7" s="723" customFormat="1" ht="13.7" customHeight="1">
      <c r="A172" s="814"/>
      <c r="B172" s="814"/>
      <c r="C172" s="815"/>
      <c r="D172" s="1860"/>
      <c r="E172" s="1860"/>
      <c r="F172" s="1860"/>
      <c r="G172" s="816"/>
    </row>
    <row r="173" spans="1:7" s="723" customFormat="1" ht="13.7" customHeight="1">
      <c r="A173" s="789"/>
      <c r="B173" s="789"/>
      <c r="C173" s="805"/>
      <c r="D173" s="786"/>
      <c r="E173" s="786"/>
      <c r="F173" s="786"/>
      <c r="G173" s="673"/>
    </row>
    <row r="174" spans="1:7" s="723" customFormat="1" ht="13.7" customHeight="1">
      <c r="A174" s="789"/>
      <c r="B174" s="799" t="s">
        <v>2467</v>
      </c>
      <c r="C174" s="805"/>
      <c r="D174" s="1895" t="s">
        <v>1272</v>
      </c>
      <c r="E174" s="1895"/>
      <c r="F174" s="1895"/>
      <c r="G174" s="673"/>
    </row>
    <row r="175" spans="1:7" s="723" customFormat="1" ht="13.7" customHeight="1">
      <c r="A175" s="789"/>
      <c r="B175" s="789"/>
      <c r="C175" s="805"/>
      <c r="D175" s="1895"/>
      <c r="E175" s="1895"/>
      <c r="F175" s="1895"/>
      <c r="G175" s="673"/>
    </row>
    <row r="176" spans="1:7" s="723" customFormat="1" ht="13.7" customHeight="1">
      <c r="A176" s="789"/>
      <c r="B176" s="789"/>
      <c r="C176" s="805"/>
      <c r="D176" s="1895"/>
      <c r="E176" s="1895"/>
      <c r="F176" s="1895"/>
      <c r="G176" s="673"/>
    </row>
    <row r="177" spans="1:7" s="723" customFormat="1" ht="13.7" customHeight="1">
      <c r="A177" s="817"/>
      <c r="B177" s="817"/>
      <c r="C177" s="805"/>
      <c r="D177" s="790"/>
      <c r="E177" s="786"/>
      <c r="F177" s="786"/>
      <c r="G177" s="673"/>
    </row>
    <row r="178" spans="1:7">
      <c r="A178" s="1872" t="s">
        <v>1166</v>
      </c>
      <c r="B178" s="1872"/>
      <c r="C178" s="1872"/>
      <c r="D178" s="1872"/>
      <c r="E178" s="1872"/>
      <c r="F178" s="1872"/>
      <c r="G178" s="1872"/>
    </row>
    <row r="179" spans="1:7" ht="12" customHeight="1">
      <c r="D179" s="801"/>
      <c r="E179" s="801"/>
      <c r="F179" s="801"/>
    </row>
    <row r="180" spans="1:7">
      <c r="B180" s="1968" t="s">
        <v>472</v>
      </c>
      <c r="C180" s="1968"/>
      <c r="D180" s="1968"/>
      <c r="E180" s="1968"/>
      <c r="F180" s="1968"/>
    </row>
    <row r="181" spans="1:7" ht="12" customHeight="1">
      <c r="A181" s="794"/>
      <c r="B181" s="794"/>
      <c r="C181" s="794"/>
    </row>
    <row r="182" spans="1:7">
      <c r="A182" s="1872" t="s">
        <v>1167</v>
      </c>
      <c r="B182" s="1872"/>
      <c r="C182" s="1872"/>
      <c r="D182" s="1872"/>
      <c r="E182" s="1872"/>
      <c r="F182" s="1872"/>
      <c r="G182" s="1872"/>
    </row>
    <row r="183" spans="1:7" ht="12" customHeight="1">
      <c r="A183" s="818"/>
      <c r="B183" s="818"/>
      <c r="C183" s="819"/>
      <c r="D183" s="820"/>
      <c r="E183" s="821"/>
      <c r="F183" s="820"/>
      <c r="G183" s="820"/>
    </row>
    <row r="184" spans="1:7" ht="13.7" customHeight="1">
      <c r="A184" s="818"/>
      <c r="B184" s="818"/>
      <c r="C184" s="819"/>
      <c r="D184" s="1896" t="s">
        <v>2265</v>
      </c>
      <c r="E184" s="1896"/>
      <c r="F184" s="1896"/>
      <c r="G184" s="820"/>
    </row>
    <row r="185" spans="1:7">
      <c r="A185" s="818"/>
      <c r="B185" s="818"/>
      <c r="C185" s="819"/>
      <c r="D185" s="1896"/>
      <c r="E185" s="1896"/>
      <c r="F185" s="1896"/>
      <c r="G185" s="820"/>
    </row>
    <row r="186" spans="1:7">
      <c r="A186" s="818"/>
      <c r="B186" s="818"/>
      <c r="C186" s="819"/>
      <c r="D186" s="1897" t="s">
        <v>1408</v>
      </c>
      <c r="E186" s="1897"/>
      <c r="F186" s="1897"/>
      <c r="G186" s="820"/>
    </row>
    <row r="187" spans="1:7">
      <c r="A187" s="818"/>
      <c r="B187" s="818"/>
      <c r="C187" s="819"/>
      <c r="D187" s="1720"/>
      <c r="E187" s="1720"/>
      <c r="F187" s="1720"/>
      <c r="G187" s="820"/>
    </row>
    <row r="188" spans="1:7">
      <c r="A188" s="818"/>
      <c r="B188" s="799" t="s">
        <v>2615</v>
      </c>
      <c r="C188" s="819"/>
      <c r="D188" s="1865" t="s">
        <v>2266</v>
      </c>
      <c r="E188" s="1865"/>
      <c r="F188" s="1865"/>
      <c r="G188" s="820"/>
    </row>
    <row r="189" spans="1:7">
      <c r="A189" s="818"/>
      <c r="B189" s="818"/>
      <c r="C189" s="819"/>
      <c r="D189" s="1918" t="s">
        <v>2267</v>
      </c>
      <c r="E189" s="1918"/>
      <c r="F189" s="1918"/>
      <c r="G189" s="820"/>
    </row>
    <row r="190" spans="1:7">
      <c r="A190" s="818"/>
      <c r="B190" s="818"/>
      <c r="C190" s="819"/>
      <c r="D190" s="1737" t="s">
        <v>2268</v>
      </c>
      <c r="E190" s="1946" t="s">
        <v>2269</v>
      </c>
      <c r="F190" s="1946"/>
      <c r="G190" s="820"/>
    </row>
    <row r="191" spans="1:7">
      <c r="A191" s="818"/>
      <c r="B191" s="818"/>
      <c r="C191" s="819"/>
      <c r="D191" s="155"/>
      <c r="E191" s="155"/>
      <c r="F191" s="155"/>
      <c r="G191" s="820"/>
    </row>
    <row r="192" spans="1:7">
      <c r="A192" s="818"/>
      <c r="B192" s="799" t="s">
        <v>2467</v>
      </c>
      <c r="C192" s="819"/>
      <c r="D192" s="1918" t="s">
        <v>2270</v>
      </c>
      <c r="E192" s="1918"/>
      <c r="F192" s="1918"/>
      <c r="G192" s="820"/>
    </row>
    <row r="193" spans="1:7">
      <c r="A193" s="818"/>
      <c r="B193" s="818"/>
      <c r="C193" s="819"/>
      <c r="D193" s="1865" t="s">
        <v>2267</v>
      </c>
      <c r="E193" s="1865"/>
      <c r="F193" s="1865"/>
      <c r="G193" s="820"/>
    </row>
    <row r="194" spans="1:7">
      <c r="A194" s="818"/>
      <c r="B194" s="818"/>
      <c r="C194" s="819"/>
      <c r="D194" s="1718" t="s">
        <v>2271</v>
      </c>
      <c r="E194" s="1966" t="s">
        <v>2272</v>
      </c>
      <c r="F194" s="1966"/>
      <c r="G194" s="820"/>
    </row>
    <row r="195" spans="1:7">
      <c r="A195" s="818"/>
      <c r="B195" s="818"/>
      <c r="C195" s="819"/>
      <c r="D195" s="155"/>
      <c r="E195" s="155"/>
      <c r="F195" s="155"/>
      <c r="G195" s="820"/>
    </row>
    <row r="196" spans="1:7">
      <c r="A196" s="818"/>
      <c r="B196" s="799" t="s">
        <v>2467</v>
      </c>
      <c r="C196" s="819"/>
      <c r="D196" s="1918" t="s">
        <v>2273</v>
      </c>
      <c r="E196" s="1918"/>
      <c r="F196" s="1918"/>
      <c r="G196" s="820"/>
    </row>
    <row r="197" spans="1:7">
      <c r="A197" s="818"/>
      <c r="B197" s="818"/>
      <c r="C197" s="819"/>
      <c r="D197" s="1713" t="s">
        <v>2267</v>
      </c>
      <c r="E197" s="155"/>
      <c r="F197" s="155"/>
      <c r="G197" s="820"/>
    </row>
    <row r="198" spans="1:7">
      <c r="A198" s="818"/>
      <c r="B198" s="818"/>
      <c r="C198" s="819"/>
      <c r="D198" s="1718" t="s">
        <v>2268</v>
      </c>
      <c r="E198" s="1966" t="s">
        <v>2274</v>
      </c>
      <c r="F198" s="1966"/>
      <c r="G198" s="820"/>
    </row>
    <row r="199" spans="1:7">
      <c r="A199" s="818"/>
      <c r="B199" s="818"/>
      <c r="C199" s="819"/>
      <c r="D199" s="1720"/>
      <c r="E199" s="1720"/>
      <c r="F199" s="1720"/>
      <c r="G199" s="820"/>
    </row>
    <row r="200" spans="1:7" ht="14.25">
      <c r="A200" s="798"/>
      <c r="B200" s="799" t="s">
        <v>2467</v>
      </c>
      <c r="C200" s="819"/>
      <c r="D200" s="1890" t="s">
        <v>2275</v>
      </c>
      <c r="E200" s="1890"/>
      <c r="F200" s="1890"/>
      <c r="G200" s="820"/>
    </row>
    <row r="201" spans="1:7" ht="14.25">
      <c r="A201" s="798"/>
      <c r="B201" s="798"/>
      <c r="C201" s="819"/>
      <c r="D201" s="1890"/>
      <c r="E201" s="1890"/>
      <c r="F201" s="1890"/>
      <c r="G201" s="820"/>
    </row>
    <row r="202" spans="1:7">
      <c r="A202" s="819"/>
      <c r="B202" s="819"/>
      <c r="C202" s="819"/>
      <c r="D202" s="1890"/>
      <c r="E202" s="1890"/>
      <c r="F202" s="1890"/>
    </row>
    <row r="203" spans="1:7">
      <c r="A203" s="819"/>
      <c r="B203" s="819"/>
      <c r="C203" s="819"/>
      <c r="D203" s="804"/>
      <c r="E203" s="820"/>
      <c r="F203" s="820"/>
    </row>
    <row r="204" spans="1:7">
      <c r="A204" s="819"/>
      <c r="B204" s="799" t="s">
        <v>2467</v>
      </c>
      <c r="C204" s="819"/>
      <c r="D204" s="1918" t="s">
        <v>2276</v>
      </c>
      <c r="E204" s="1918"/>
      <c r="F204" s="1918"/>
    </row>
    <row r="205" spans="1:7">
      <c r="A205" s="819"/>
      <c r="B205" s="819"/>
      <c r="C205" s="819"/>
      <c r="D205" s="1918" t="s">
        <v>2267</v>
      </c>
      <c r="E205" s="1918"/>
      <c r="F205" s="1918"/>
    </row>
    <row r="206" spans="1:7">
      <c r="A206" s="819"/>
      <c r="B206" s="819"/>
      <c r="C206" s="819"/>
      <c r="D206" s="1718" t="s">
        <v>2268</v>
      </c>
      <c r="E206" s="1966" t="s">
        <v>2277</v>
      </c>
      <c r="F206" s="1966"/>
    </row>
    <row r="207" spans="1:7">
      <c r="A207" s="819"/>
      <c r="B207" s="819"/>
      <c r="C207" s="819"/>
      <c r="D207" s="780"/>
      <c r="E207" s="780"/>
      <c r="F207" s="780"/>
    </row>
    <row r="208" spans="1:7" s="619" customFormat="1" ht="14.25">
      <c r="A208" s="798"/>
      <c r="B208" s="799" t="s">
        <v>2467</v>
      </c>
      <c r="C208" s="807"/>
      <c r="D208" s="1890" t="s">
        <v>1434</v>
      </c>
      <c r="E208" s="1890"/>
      <c r="F208" s="1890"/>
      <c r="G208" s="694"/>
    </row>
    <row r="209" spans="1:7" s="619" customFormat="1" ht="14.45" customHeight="1">
      <c r="A209" s="798"/>
      <c r="C209" s="807"/>
      <c r="D209" s="1890"/>
      <c r="E209" s="1890"/>
      <c r="F209" s="1890"/>
      <c r="G209" s="694"/>
    </row>
    <row r="210" spans="1:7" s="619" customFormat="1" ht="14.25">
      <c r="A210" s="798"/>
      <c r="B210" s="819"/>
      <c r="C210" s="807"/>
      <c r="D210" s="1890"/>
      <c r="E210" s="1890"/>
      <c r="F210" s="1890"/>
      <c r="G210" s="694"/>
    </row>
    <row r="211" spans="1:7" s="619" customFormat="1" ht="14.25">
      <c r="A211" s="798"/>
      <c r="B211" s="819"/>
      <c r="C211" s="807"/>
      <c r="D211" s="1890"/>
      <c r="E211" s="1890"/>
      <c r="F211" s="1890"/>
      <c r="G211" s="694"/>
    </row>
    <row r="212" spans="1:7">
      <c r="A212" s="819"/>
      <c r="B212" s="819"/>
      <c r="C212" s="819"/>
      <c r="D212" s="780"/>
      <c r="E212" s="780"/>
      <c r="F212" s="780"/>
    </row>
    <row r="213" spans="1:7">
      <c r="A213" s="1872" t="s">
        <v>1168</v>
      </c>
      <c r="B213" s="1872"/>
      <c r="C213" s="1872"/>
      <c r="D213" s="1872"/>
      <c r="E213" s="1872"/>
      <c r="F213" s="1872"/>
      <c r="G213" s="1872"/>
    </row>
    <row r="214" spans="1:7" ht="12" customHeight="1">
      <c r="D214" s="801"/>
      <c r="E214" s="801"/>
      <c r="F214" s="801"/>
    </row>
    <row r="215" spans="1:7">
      <c r="C215" s="808"/>
      <c r="D215" s="1979" t="s">
        <v>214</v>
      </c>
      <c r="E215" s="1979"/>
      <c r="F215" s="1979"/>
    </row>
    <row r="216" spans="1:7">
      <c r="A216" s="794"/>
      <c r="B216" s="794"/>
      <c r="C216" s="794"/>
      <c r="D216" s="1988" t="s">
        <v>1297</v>
      </c>
      <c r="E216" s="1988"/>
      <c r="F216" s="1988"/>
    </row>
    <row r="217" spans="1:7" ht="12" customHeight="1">
      <c r="A217" s="817"/>
      <c r="B217" s="817"/>
      <c r="C217" s="817"/>
    </row>
    <row r="218" spans="1:7" ht="13.7" customHeight="1">
      <c r="A218" s="817"/>
      <c r="C218" s="817"/>
      <c r="D218" s="1889" t="s">
        <v>581</v>
      </c>
      <c r="E218" s="1889"/>
      <c r="F218" s="1889"/>
    </row>
    <row r="219" spans="1:7" ht="14.25">
      <c r="A219" s="798"/>
      <c r="B219" s="799" t="s">
        <v>2615</v>
      </c>
      <c r="D219" s="1890" t="s">
        <v>2278</v>
      </c>
      <c r="E219" s="1890"/>
      <c r="F219" s="1890"/>
    </row>
    <row r="220" spans="1:7" ht="14.25" customHeight="1">
      <c r="A220" s="798"/>
      <c r="B220" s="798"/>
      <c r="D220" s="1890"/>
      <c r="E220" s="1890"/>
      <c r="F220" s="1890"/>
    </row>
    <row r="221" spans="1:7" ht="14.25" customHeight="1">
      <c r="A221" s="798"/>
      <c r="B221" s="798"/>
      <c r="D221" s="1890"/>
      <c r="E221" s="1890"/>
      <c r="F221" s="1890"/>
    </row>
    <row r="222" spans="1:7" ht="14.25">
      <c r="A222" s="798"/>
      <c r="B222" s="798"/>
      <c r="D222" s="1890"/>
      <c r="E222" s="1890"/>
      <c r="F222" s="1890"/>
    </row>
    <row r="223" spans="1:7" ht="14.25">
      <c r="A223" s="798"/>
      <c r="B223" s="798"/>
      <c r="D223" s="1719"/>
      <c r="E223" s="1719"/>
      <c r="F223" s="1719"/>
    </row>
    <row r="224" spans="1:7" ht="14.25">
      <c r="A224" s="798"/>
      <c r="B224" s="799" t="s">
        <v>2615</v>
      </c>
      <c r="D224" s="1890" t="s">
        <v>2279</v>
      </c>
      <c r="E224" s="1890"/>
      <c r="F224" s="1890"/>
    </row>
    <row r="225" spans="1:6" ht="14.25">
      <c r="A225" s="798"/>
      <c r="B225" s="798"/>
      <c r="D225" s="1890"/>
      <c r="E225" s="1890"/>
      <c r="F225" s="1890"/>
    </row>
    <row r="226" spans="1:6" ht="14.25">
      <c r="A226" s="798"/>
      <c r="B226" s="798"/>
      <c r="D226" s="1890"/>
      <c r="E226" s="1890"/>
      <c r="F226" s="1890"/>
    </row>
    <row r="227" spans="1:6" ht="14.25">
      <c r="A227" s="798"/>
      <c r="B227" s="798"/>
      <c r="D227" s="1890"/>
      <c r="E227" s="1890"/>
      <c r="F227" s="1890"/>
    </row>
    <row r="228" spans="1:6" ht="14.25" customHeight="1">
      <c r="A228" s="798"/>
      <c r="B228" s="798"/>
      <c r="D228" s="1890"/>
      <c r="E228" s="1890"/>
      <c r="F228" s="1890"/>
    </row>
    <row r="229" spans="1:6" ht="14.25" customHeight="1">
      <c r="A229" s="798"/>
      <c r="B229" s="798"/>
      <c r="D229" s="1719"/>
      <c r="E229" s="1719"/>
      <c r="F229" s="1719"/>
    </row>
    <row r="230" spans="1:6" ht="14.25">
      <c r="A230" s="798"/>
      <c r="B230" s="798"/>
      <c r="D230" s="1890" t="s">
        <v>1293</v>
      </c>
      <c r="E230" s="1890"/>
      <c r="F230" s="1890"/>
    </row>
    <row r="231" spans="1:6" ht="14.25">
      <c r="A231" s="798"/>
      <c r="B231" s="798"/>
      <c r="D231" s="1890"/>
      <c r="E231" s="1890"/>
      <c r="F231" s="1890"/>
    </row>
    <row r="232" spans="1:6" ht="14.25">
      <c r="A232" s="798"/>
      <c r="B232" s="798"/>
      <c r="D232" s="1890"/>
      <c r="E232" s="1890"/>
      <c r="F232" s="1890"/>
    </row>
    <row r="233" spans="1:6" ht="14.25">
      <c r="A233" s="798"/>
      <c r="B233" s="798"/>
      <c r="D233" s="1890"/>
      <c r="E233" s="1890"/>
      <c r="F233" s="1890"/>
    </row>
    <row r="234" spans="1:6" ht="14.25">
      <c r="A234" s="798"/>
      <c r="B234" s="798"/>
      <c r="D234" s="1890"/>
      <c r="E234" s="1890"/>
      <c r="F234" s="1890"/>
    </row>
    <row r="235" spans="1:6" ht="14.25">
      <c r="A235" s="798"/>
      <c r="B235" s="798"/>
      <c r="D235" s="801"/>
      <c r="E235" s="801"/>
      <c r="F235" s="801"/>
    </row>
    <row r="236" spans="1:6" ht="14.25">
      <c r="A236" s="798"/>
      <c r="B236" s="799" t="s">
        <v>2467</v>
      </c>
      <c r="D236" s="1985" t="s">
        <v>2283</v>
      </c>
      <c r="E236" s="1985"/>
      <c r="F236" s="1985"/>
    </row>
    <row r="237" spans="1:6" ht="14.25">
      <c r="A237" s="798"/>
      <c r="B237" s="798"/>
      <c r="D237" s="1985"/>
      <c r="E237" s="1985"/>
      <c r="F237" s="1985"/>
    </row>
    <row r="238" spans="1:6" ht="14.25">
      <c r="A238" s="798"/>
      <c r="B238" s="798"/>
      <c r="D238" s="1985"/>
      <c r="E238" s="1985"/>
      <c r="F238" s="1985"/>
    </row>
    <row r="239" spans="1:6" ht="14.25">
      <c r="A239" s="798"/>
      <c r="B239" s="798"/>
      <c r="D239" s="1968" t="s">
        <v>967</v>
      </c>
      <c r="E239" s="1968"/>
      <c r="F239" s="1968"/>
    </row>
    <row r="240" spans="1:6" ht="14.25">
      <c r="A240" s="798"/>
      <c r="B240" s="798"/>
      <c r="D240" s="801"/>
      <c r="E240" s="801"/>
      <c r="F240" s="801"/>
    </row>
    <row r="241" spans="1:7" ht="14.45" customHeight="1">
      <c r="A241" s="798"/>
      <c r="B241" s="799" t="s">
        <v>2467</v>
      </c>
      <c r="D241" s="1985" t="s">
        <v>1296</v>
      </c>
      <c r="E241" s="1985"/>
      <c r="F241" s="1985"/>
    </row>
    <row r="242" spans="1:7" ht="14.25">
      <c r="A242" s="798"/>
      <c r="B242" s="798"/>
      <c r="D242" s="1985"/>
      <c r="E242" s="1985"/>
      <c r="F242" s="1985"/>
    </row>
    <row r="243" spans="1:7" ht="14.25">
      <c r="A243" s="798"/>
      <c r="B243" s="798"/>
      <c r="D243" s="1985"/>
      <c r="E243" s="1985"/>
      <c r="F243" s="1985"/>
    </row>
    <row r="244" spans="1:7" ht="14.25">
      <c r="A244" s="798"/>
      <c r="B244" s="798"/>
      <c r="D244" s="1985"/>
      <c r="E244" s="1985"/>
      <c r="F244" s="1985"/>
    </row>
    <row r="245" spans="1:7" ht="14.25">
      <c r="A245" s="798"/>
      <c r="B245" s="798"/>
      <c r="D245" s="1985"/>
      <c r="E245" s="1985"/>
      <c r="F245" s="1985"/>
    </row>
    <row r="246" spans="1:7" ht="14.25">
      <c r="A246" s="798"/>
      <c r="B246" s="798"/>
      <c r="D246" s="1731"/>
      <c r="E246" s="1731"/>
      <c r="F246" s="1731"/>
    </row>
    <row r="247" spans="1:7" ht="14.25">
      <c r="A247" s="798"/>
      <c r="B247" s="799" t="s">
        <v>2615</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2615</v>
      </c>
      <c r="D250" s="1890" t="s">
        <v>1295</v>
      </c>
      <c r="E250" s="1890"/>
      <c r="F250" s="1890"/>
    </row>
    <row r="251" spans="1:7" ht="14.25">
      <c r="A251" s="798"/>
      <c r="B251" s="798"/>
      <c r="D251" s="1890"/>
      <c r="E251" s="1890"/>
      <c r="F251" s="1890"/>
    </row>
    <row r="252" spans="1:7">
      <c r="D252" s="822"/>
    </row>
    <row r="253" spans="1:7">
      <c r="A253" s="1872" t="s">
        <v>1169</v>
      </c>
      <c r="B253" s="1872"/>
      <c r="C253" s="1872"/>
      <c r="D253" s="1872"/>
      <c r="E253" s="1872"/>
      <c r="F253" s="1872"/>
      <c r="G253" s="1872"/>
    </row>
    <row r="254" spans="1:7">
      <c r="D254" s="822"/>
    </row>
    <row r="255" spans="1:7">
      <c r="C255" s="808"/>
      <c r="D255" s="1889" t="s">
        <v>1298</v>
      </c>
      <c r="E255" s="1889"/>
      <c r="F255" s="1889"/>
    </row>
    <row r="256" spans="1:7">
      <c r="A256" s="794"/>
      <c r="B256" s="794"/>
      <c r="C256" s="794"/>
      <c r="D256" s="801"/>
      <c r="E256" s="801"/>
      <c r="F256" s="801"/>
    </row>
    <row r="257" spans="1:6">
      <c r="A257" s="796"/>
      <c r="B257" s="796"/>
      <c r="C257" s="796"/>
      <c r="D257" s="1889" t="s">
        <v>277</v>
      </c>
      <c r="E257" s="1889"/>
      <c r="F257" s="1889"/>
    </row>
    <row r="258" spans="1:6" ht="14.45" customHeight="1">
      <c r="A258" s="798"/>
      <c r="B258" s="799" t="s">
        <v>2615</v>
      </c>
      <c r="D258" s="1987" t="s">
        <v>1409</v>
      </c>
      <c r="E258" s="1987"/>
      <c r="F258" s="1987"/>
    </row>
    <row r="259" spans="1:6">
      <c r="D259" s="1987"/>
      <c r="E259" s="1987"/>
      <c r="F259" s="1987"/>
    </row>
    <row r="260" spans="1:6">
      <c r="D260" s="1988" t="s">
        <v>958</v>
      </c>
      <c r="E260" s="1988"/>
      <c r="F260" s="1988"/>
    </row>
    <row r="261" spans="1:6">
      <c r="D261" s="801"/>
      <c r="E261" s="801"/>
      <c r="F261" s="801"/>
    </row>
    <row r="262" spans="1:6" ht="14.45" customHeight="1">
      <c r="A262" s="798"/>
      <c r="B262" s="799" t="s">
        <v>2467</v>
      </c>
      <c r="D262" s="1985" t="s">
        <v>2282</v>
      </c>
      <c r="E262" s="1985"/>
      <c r="F262" s="1985"/>
    </row>
    <row r="263" spans="1:6">
      <c r="D263" s="1985"/>
      <c r="E263" s="1985"/>
      <c r="F263" s="1985"/>
    </row>
    <row r="264" spans="1:6">
      <c r="D264" s="1985"/>
      <c r="E264" s="1985"/>
      <c r="F264" s="1985"/>
    </row>
    <row r="265" spans="1:6">
      <c r="D265" s="1985"/>
      <c r="E265" s="1985"/>
      <c r="F265" s="1985"/>
    </row>
    <row r="266" spans="1:6">
      <c r="D266" s="1985"/>
      <c r="E266" s="1985"/>
      <c r="F266" s="1985"/>
    </row>
    <row r="267" spans="1:6">
      <c r="D267" s="1985"/>
      <c r="E267" s="1985"/>
      <c r="F267" s="1985"/>
    </row>
    <row r="268" spans="1:6">
      <c r="D268" s="801"/>
      <c r="E268" s="801"/>
      <c r="F268" s="801"/>
    </row>
    <row r="269" spans="1:6" ht="14.25">
      <c r="A269" s="798"/>
      <c r="B269" s="799" t="s">
        <v>2467</v>
      </c>
      <c r="D269" s="1890" t="s">
        <v>1301</v>
      </c>
      <c r="E269" s="1890"/>
      <c r="F269" s="1890"/>
    </row>
    <row r="270" spans="1:6">
      <c r="D270" s="1890"/>
      <c r="E270" s="1890"/>
      <c r="F270" s="1890"/>
    </row>
    <row r="271" spans="1:6">
      <c r="D271" s="1890"/>
      <c r="E271" s="1890"/>
      <c r="F271" s="1890"/>
    </row>
    <row r="272" spans="1:6">
      <c r="D272" s="823"/>
      <c r="E272" s="801"/>
      <c r="F272" s="801"/>
    </row>
    <row r="273" spans="1:7">
      <c r="A273" s="1872" t="s">
        <v>1170</v>
      </c>
      <c r="B273" s="1872"/>
      <c r="C273" s="1872"/>
      <c r="D273" s="1872"/>
      <c r="E273" s="1872"/>
      <c r="F273" s="1872"/>
      <c r="G273" s="1872"/>
    </row>
    <row r="274" spans="1:7">
      <c r="D274" s="823"/>
      <c r="E274" s="801"/>
      <c r="F274" s="801"/>
    </row>
    <row r="275" spans="1:7">
      <c r="C275" s="794"/>
      <c r="D275" s="1967" t="s">
        <v>1303</v>
      </c>
      <c r="E275" s="1967"/>
      <c r="F275" s="1967"/>
    </row>
    <row r="276" spans="1:7">
      <c r="C276" s="794"/>
      <c r="D276" s="1967"/>
      <c r="E276" s="1967"/>
      <c r="F276" s="1967"/>
    </row>
    <row r="277" spans="1:7">
      <c r="A277" s="796"/>
      <c r="B277" s="796"/>
      <c r="C277" s="796"/>
      <c r="D277" s="623"/>
      <c r="E277" s="673"/>
      <c r="F277" s="673"/>
    </row>
    <row r="278" spans="1:7">
      <c r="C278" s="796"/>
      <c r="D278" s="1889" t="s">
        <v>215</v>
      </c>
      <c r="E278" s="1889"/>
      <c r="F278" s="1889"/>
    </row>
    <row r="279" spans="1:7" ht="15.75" customHeight="1">
      <c r="A279" s="798"/>
      <c r="B279" s="798"/>
      <c r="D279" s="1969" t="s">
        <v>1304</v>
      </c>
      <c r="E279" s="1969"/>
      <c r="F279" s="1969"/>
    </row>
    <row r="280" spans="1:7">
      <c r="E280" s="801"/>
      <c r="F280" s="801"/>
    </row>
    <row r="281" spans="1:7" ht="14.25">
      <c r="A281" s="798"/>
      <c r="B281" s="799" t="s">
        <v>2467</v>
      </c>
      <c r="D281" s="1890" t="s">
        <v>1305</v>
      </c>
      <c r="E281" s="1890"/>
      <c r="F281" s="1890"/>
    </row>
    <row r="282" spans="1:7" ht="14.25">
      <c r="A282" s="798"/>
      <c r="B282" s="798"/>
      <c r="D282" s="1890"/>
      <c r="E282" s="1890"/>
      <c r="F282" s="1890"/>
    </row>
    <row r="283" spans="1:7">
      <c r="D283" s="801"/>
      <c r="E283" s="801"/>
      <c r="F283" s="801"/>
    </row>
    <row r="284" spans="1:7" ht="14.25">
      <c r="A284" s="798"/>
      <c r="B284" s="799" t="s">
        <v>2467</v>
      </c>
      <c r="D284" s="1985" t="s">
        <v>1306</v>
      </c>
      <c r="E284" s="1985"/>
      <c r="F284" s="1985"/>
    </row>
    <row r="285" spans="1:7" ht="14.25">
      <c r="A285" s="798"/>
      <c r="B285" s="798"/>
      <c r="D285" s="1985"/>
      <c r="E285" s="1985"/>
      <c r="F285" s="1985"/>
    </row>
    <row r="286" spans="1:7" ht="14.25">
      <c r="A286" s="798"/>
      <c r="B286" s="798"/>
      <c r="D286" s="1985"/>
      <c r="E286" s="1985"/>
      <c r="F286" s="1985"/>
    </row>
    <row r="287" spans="1:7">
      <c r="D287" s="801"/>
      <c r="E287" s="801"/>
      <c r="F287" s="801"/>
    </row>
    <row r="288" spans="1:7" ht="14.25">
      <c r="A288" s="798"/>
      <c r="B288" s="799" t="s">
        <v>2467</v>
      </c>
      <c r="D288" s="1890" t="s">
        <v>1307</v>
      </c>
      <c r="E288" s="1890"/>
      <c r="F288" s="1890"/>
    </row>
    <row r="289" spans="1:7" ht="14.25">
      <c r="A289" s="798"/>
      <c r="B289" s="798"/>
      <c r="D289" s="1890"/>
      <c r="E289" s="1890"/>
      <c r="F289" s="1890"/>
    </row>
    <row r="290" spans="1:7">
      <c r="A290" s="817"/>
      <c r="B290" s="817"/>
      <c r="E290" s="801"/>
      <c r="F290" s="801"/>
    </row>
    <row r="291" spans="1:7">
      <c r="A291" s="1872" t="s">
        <v>1171</v>
      </c>
      <c r="B291" s="1872"/>
      <c r="C291" s="1872"/>
      <c r="D291" s="1872"/>
      <c r="E291" s="1872"/>
      <c r="F291" s="1872"/>
      <c r="G291" s="1872"/>
    </row>
    <row r="292" spans="1:7">
      <c r="A292" s="817"/>
      <c r="B292" s="817"/>
      <c r="D292" s="801"/>
      <c r="E292" s="801"/>
      <c r="F292" s="801"/>
    </row>
    <row r="293" spans="1:7">
      <c r="C293" s="817"/>
      <c r="D293" s="1889" t="s">
        <v>721</v>
      </c>
      <c r="E293" s="1889"/>
      <c r="F293" s="1889"/>
    </row>
    <row r="294" spans="1:7">
      <c r="C294" s="817"/>
      <c r="D294" s="1892" t="s">
        <v>1308</v>
      </c>
      <c r="E294" s="1892"/>
      <c r="F294" s="1892"/>
    </row>
    <row r="295" spans="1:7">
      <c r="C295" s="817"/>
      <c r="D295" s="824"/>
    </row>
    <row r="296" spans="1:7">
      <c r="A296" s="802"/>
      <c r="B296" s="799" t="s">
        <v>2467</v>
      </c>
      <c r="D296" s="1892" t="s">
        <v>1309</v>
      </c>
      <c r="E296" s="1892"/>
      <c r="F296" s="1892"/>
    </row>
    <row r="297" spans="1:7" s="792" customFormat="1" ht="14.25">
      <c r="A297" s="806"/>
      <c r="B297" s="806"/>
      <c r="C297" s="802"/>
      <c r="D297" s="825"/>
      <c r="E297" s="826"/>
      <c r="F297" s="826"/>
      <c r="G297" s="803"/>
    </row>
    <row r="298" spans="1:7" s="792" customFormat="1" ht="13.7" customHeight="1">
      <c r="A298" s="802"/>
      <c r="B298" s="799" t="s">
        <v>2467</v>
      </c>
      <c r="C298" s="802"/>
      <c r="D298" s="1994" t="s">
        <v>1438</v>
      </c>
      <c r="E298" s="1994"/>
      <c r="F298" s="1994"/>
      <c r="G298" s="803"/>
    </row>
    <row r="299" spans="1:7" s="792" customFormat="1" ht="14.25">
      <c r="A299" s="806"/>
      <c r="B299" s="806"/>
      <c r="C299" s="802"/>
      <c r="D299" s="1994"/>
      <c r="E299" s="1994"/>
      <c r="F299" s="1994"/>
      <c r="G299" s="803"/>
    </row>
    <row r="300" spans="1:7" s="792" customFormat="1" ht="14.25">
      <c r="A300" s="806"/>
      <c r="B300" s="806"/>
      <c r="C300" s="802"/>
      <c r="D300" s="1994"/>
      <c r="E300" s="1994"/>
      <c r="F300" s="1994"/>
      <c r="G300" s="803"/>
    </row>
    <row r="301" spans="1:7" s="792" customFormat="1" ht="14.25">
      <c r="A301" s="806"/>
      <c r="B301" s="806"/>
      <c r="C301" s="802"/>
      <c r="D301" s="1994"/>
      <c r="E301" s="1994"/>
      <c r="F301" s="1994"/>
      <c r="G301" s="803"/>
    </row>
    <row r="302" spans="1:7" s="792" customFormat="1" ht="14.25">
      <c r="A302" s="806"/>
      <c r="B302" s="806"/>
      <c r="C302" s="802"/>
      <c r="D302" s="1994"/>
      <c r="E302" s="1994"/>
      <c r="F302" s="1994"/>
      <c r="G302" s="803"/>
    </row>
    <row r="303" spans="1:7" s="792" customFormat="1" ht="14.25">
      <c r="A303" s="806"/>
      <c r="B303" s="806"/>
      <c r="C303" s="802"/>
      <c r="D303" s="825"/>
      <c r="E303" s="826"/>
      <c r="F303" s="826"/>
      <c r="G303" s="803"/>
    </row>
    <row r="304" spans="1:7" s="792" customFormat="1" ht="13.7" customHeight="1">
      <c r="A304" s="802"/>
      <c r="B304" s="799" t="s">
        <v>2467</v>
      </c>
      <c r="C304" s="802"/>
      <c r="D304" s="1994" t="s">
        <v>1311</v>
      </c>
      <c r="E304" s="1994"/>
      <c r="F304" s="1994"/>
      <c r="G304" s="803"/>
    </row>
    <row r="305" spans="1:7" s="792" customFormat="1">
      <c r="A305" s="802"/>
      <c r="B305" s="802"/>
      <c r="C305" s="802"/>
      <c r="D305" s="1994"/>
      <c r="E305" s="1994"/>
      <c r="F305" s="1994"/>
      <c r="G305" s="803"/>
    </row>
    <row r="306" spans="1:7" s="792" customFormat="1" ht="14.25">
      <c r="A306" s="806"/>
      <c r="B306" s="806"/>
      <c r="C306" s="802"/>
      <c r="D306" s="825"/>
      <c r="E306" s="826"/>
      <c r="F306" s="826"/>
      <c r="G306" s="803"/>
    </row>
    <row r="307" spans="1:7">
      <c r="A307" s="802"/>
      <c r="B307" s="799" t="s">
        <v>2467</v>
      </c>
      <c r="D307" s="1892" t="s">
        <v>1312</v>
      </c>
      <c r="E307" s="1892"/>
      <c r="F307" s="1892"/>
    </row>
    <row r="308" spans="1:7">
      <c r="E308" s="801"/>
      <c r="F308" s="801"/>
    </row>
    <row r="309" spans="1:7" ht="14.25">
      <c r="A309" s="798"/>
      <c r="B309" s="799" t="s">
        <v>2467</v>
      </c>
      <c r="D309" s="1985" t="s">
        <v>1466</v>
      </c>
      <c r="E309" s="1985"/>
      <c r="F309" s="1985"/>
    </row>
    <row r="310" spans="1:7" ht="14.25">
      <c r="A310" s="798"/>
      <c r="B310" s="798"/>
      <c r="D310" s="1985"/>
      <c r="E310" s="1985"/>
      <c r="F310" s="1985"/>
    </row>
    <row r="311" spans="1:7" ht="14.25">
      <c r="A311" s="798"/>
      <c r="B311" s="798"/>
      <c r="D311" s="1985"/>
      <c r="E311" s="1985"/>
      <c r="F311" s="1985"/>
    </row>
    <row r="312" spans="1:7" ht="14.25">
      <c r="A312" s="798"/>
      <c r="B312" s="798"/>
      <c r="D312" s="1985"/>
      <c r="E312" s="1985"/>
      <c r="F312" s="1985"/>
    </row>
    <row r="313" spans="1:7" ht="14.25">
      <c r="A313" s="798"/>
      <c r="B313" s="798"/>
      <c r="D313" s="1985"/>
      <c r="E313" s="1985"/>
      <c r="F313" s="1985"/>
    </row>
    <row r="314" spans="1:7" ht="14.25">
      <c r="A314" s="798"/>
      <c r="B314" s="798"/>
      <c r="D314" s="1985"/>
      <c r="E314" s="1985"/>
      <c r="F314" s="1985"/>
    </row>
    <row r="315" spans="1:7" ht="14.25">
      <c r="A315" s="798"/>
      <c r="B315" s="798"/>
      <c r="D315" s="1985"/>
      <c r="E315" s="1985"/>
      <c r="F315" s="1985"/>
    </row>
    <row r="316" spans="1:7" ht="14.25">
      <c r="A316" s="798"/>
      <c r="B316" s="798"/>
      <c r="D316" s="1985"/>
      <c r="E316" s="1985"/>
      <c r="F316" s="1985"/>
    </row>
    <row r="317" spans="1:7" ht="14.25">
      <c r="A317" s="798"/>
      <c r="B317" s="798"/>
      <c r="D317" s="1985"/>
      <c r="E317" s="1985"/>
      <c r="F317" s="1985"/>
    </row>
    <row r="318" spans="1:7" ht="14.25">
      <c r="A318" s="798"/>
      <c r="B318" s="798"/>
      <c r="D318" s="1985"/>
      <c r="E318" s="1985"/>
      <c r="F318" s="1985"/>
    </row>
    <row r="319" spans="1:7" ht="14.25">
      <c r="A319" s="798"/>
      <c r="B319" s="798"/>
      <c r="D319" s="1985"/>
      <c r="E319" s="1985"/>
      <c r="F319" s="1985"/>
    </row>
    <row r="320" spans="1:7" ht="14.25">
      <c r="A320" s="798"/>
      <c r="B320" s="798"/>
      <c r="D320" s="1985"/>
      <c r="E320" s="1985"/>
      <c r="F320" s="1985"/>
    </row>
    <row r="321" spans="1:7" ht="14.25">
      <c r="A321" s="798"/>
      <c r="B321" s="798"/>
      <c r="D321" s="1985"/>
      <c r="E321" s="1985"/>
      <c r="F321" s="1985"/>
    </row>
    <row r="322" spans="1:7" ht="14.25">
      <c r="A322" s="798"/>
      <c r="B322" s="798"/>
      <c r="D322" s="1985"/>
      <c r="E322" s="1985"/>
      <c r="F322" s="1985"/>
    </row>
    <row r="323" spans="1:7" ht="14.25">
      <c r="A323" s="798"/>
      <c r="B323" s="798"/>
      <c r="D323" s="1985"/>
      <c r="E323" s="1985"/>
      <c r="F323" s="1985"/>
    </row>
    <row r="324" spans="1:7">
      <c r="D324" s="801"/>
      <c r="E324" s="801"/>
      <c r="F324" s="801"/>
    </row>
    <row r="325" spans="1:7" ht="14.25">
      <c r="A325" s="798"/>
      <c r="B325" s="799" t="s">
        <v>2467</v>
      </c>
      <c r="D325" s="1985" t="s">
        <v>1314</v>
      </c>
      <c r="E325" s="1985"/>
      <c r="F325" s="1985"/>
    </row>
    <row r="326" spans="1:7">
      <c r="D326" s="1985"/>
      <c r="E326" s="1985"/>
      <c r="F326" s="1985"/>
    </row>
    <row r="327" spans="1:7">
      <c r="D327" s="1985"/>
      <c r="E327" s="1985"/>
      <c r="F327" s="1985"/>
    </row>
    <row r="328" spans="1:7">
      <c r="D328" s="1985"/>
      <c r="E328" s="1985"/>
      <c r="F328" s="1985"/>
    </row>
    <row r="329" spans="1:7">
      <c r="D329" s="1985"/>
      <c r="E329" s="1985"/>
      <c r="F329" s="1985"/>
    </row>
    <row r="330" spans="1:7">
      <c r="D330" s="1985"/>
      <c r="E330" s="1985"/>
      <c r="F330" s="1985"/>
    </row>
    <row r="331" spans="1:7">
      <c r="D331" s="1985"/>
      <c r="E331" s="1985"/>
      <c r="F331" s="1985"/>
    </row>
    <row r="332" spans="1:7">
      <c r="D332" s="1985"/>
      <c r="E332" s="1985"/>
      <c r="F332" s="1985"/>
    </row>
    <row r="333" spans="1:7">
      <c r="D333" s="1985"/>
      <c r="E333" s="1985"/>
      <c r="F333" s="1985"/>
    </row>
    <row r="334" spans="1:7">
      <c r="D334" s="801"/>
      <c r="E334" s="801"/>
      <c r="F334" s="801"/>
    </row>
    <row r="335" spans="1:7" ht="14.25">
      <c r="A335" s="798"/>
      <c r="B335" s="799" t="s">
        <v>2467</v>
      </c>
      <c r="D335" s="1890" t="s">
        <v>1516</v>
      </c>
      <c r="E335" s="1890"/>
      <c r="F335" s="1890"/>
    </row>
    <row r="336" spans="1:7">
      <c r="D336" s="1890"/>
      <c r="E336" s="1890"/>
      <c r="F336" s="1890"/>
      <c r="G336" s="791"/>
    </row>
    <row r="337" spans="1:9">
      <c r="D337" s="1890"/>
      <c r="E337" s="1890"/>
      <c r="F337" s="1890"/>
      <c r="G337" s="791"/>
    </row>
    <row r="338" spans="1:9">
      <c r="D338" s="1890"/>
      <c r="E338" s="1890"/>
      <c r="F338" s="1890"/>
      <c r="G338" s="791"/>
    </row>
    <row r="339" spans="1:9">
      <c r="D339" s="1890"/>
      <c r="E339" s="1890"/>
      <c r="F339" s="1890"/>
      <c r="G339" s="791"/>
    </row>
    <row r="340" spans="1:9">
      <c r="D340" s="1890"/>
      <c r="E340" s="1890"/>
      <c r="F340" s="1890"/>
      <c r="G340" s="791"/>
    </row>
    <row r="341" spans="1:9">
      <c r="D341" s="785"/>
      <c r="E341" s="785"/>
      <c r="F341" s="785"/>
      <c r="G341" s="791"/>
    </row>
    <row r="342" spans="1:9" ht="13.5" thickBot="1">
      <c r="D342" s="1986" t="s">
        <v>1064</v>
      </c>
      <c r="E342" s="1986"/>
      <c r="F342" s="1986"/>
      <c r="G342" s="791"/>
    </row>
    <row r="343" spans="1:9" ht="13.5" thickTop="1">
      <c r="D343" s="1995" t="s">
        <v>1316</v>
      </c>
      <c r="E343" s="1995"/>
      <c r="F343" s="1995"/>
      <c r="G343" s="791"/>
    </row>
    <row r="344" spans="1:9">
      <c r="A344" s="815"/>
      <c r="B344" s="815"/>
      <c r="C344" s="815"/>
      <c r="D344" s="787"/>
      <c r="E344" s="787"/>
      <c r="F344" s="801"/>
      <c r="G344" s="791"/>
    </row>
    <row r="345" spans="1:9" ht="14.25">
      <c r="A345" s="798"/>
      <c r="B345" s="799" t="s">
        <v>2467</v>
      </c>
      <c r="C345" s="815"/>
      <c r="D345" s="1886" t="s">
        <v>1317</v>
      </c>
      <c r="E345" s="1886"/>
      <c r="F345" s="1886"/>
      <c r="G345" s="791"/>
    </row>
    <row r="346" spans="1:9">
      <c r="A346" s="815"/>
      <c r="B346" s="815"/>
      <c r="C346" s="815"/>
      <c r="D346" s="787"/>
      <c r="E346" s="787"/>
      <c r="F346" s="801"/>
      <c r="G346" s="791"/>
    </row>
    <row r="347" spans="1:9">
      <c r="A347" s="815"/>
      <c r="B347" s="799" t="s">
        <v>2467</v>
      </c>
      <c r="C347" s="815"/>
      <c r="D347" s="1881" t="s">
        <v>1441</v>
      </c>
      <c r="E347" s="1881"/>
      <c r="F347" s="1881"/>
      <c r="G347" s="791"/>
    </row>
    <row r="348" spans="1:9">
      <c r="A348" s="815"/>
      <c r="B348" s="815"/>
      <c r="C348" s="815"/>
      <c r="D348" s="1881"/>
      <c r="E348" s="1881"/>
      <c r="F348" s="1881"/>
      <c r="G348" s="791"/>
    </row>
    <row r="349" spans="1:9">
      <c r="A349" s="815"/>
      <c r="B349" s="815"/>
      <c r="C349" s="815"/>
      <c r="D349" s="1881"/>
      <c r="E349" s="1881"/>
      <c r="F349" s="1881"/>
      <c r="G349" s="791"/>
    </row>
    <row r="350" spans="1:9">
      <c r="A350" s="815"/>
      <c r="B350" s="815"/>
      <c r="C350" s="815"/>
      <c r="D350" s="1881"/>
      <c r="E350" s="1881"/>
      <c r="F350" s="1881"/>
      <c r="G350" s="791"/>
    </row>
    <row r="351" spans="1:9">
      <c r="A351" s="815"/>
      <c r="B351" s="815"/>
      <c r="C351" s="815"/>
      <c r="D351" s="1881"/>
      <c r="E351" s="1881"/>
      <c r="F351" s="1881"/>
      <c r="G351" s="791"/>
      <c r="I351" s="1790"/>
    </row>
    <row r="352" spans="1:9">
      <c r="A352" s="815"/>
      <c r="B352" s="815"/>
      <c r="C352" s="815"/>
      <c r="D352" s="1881"/>
      <c r="E352" s="1881"/>
      <c r="F352" s="1881"/>
      <c r="G352" s="791"/>
      <c r="I352" s="1790"/>
    </row>
    <row r="353" spans="1:9">
      <c r="A353" s="815"/>
      <c r="B353" s="815"/>
      <c r="C353" s="815"/>
      <c r="D353" s="1881"/>
      <c r="E353" s="1881"/>
      <c r="F353" s="1881"/>
      <c r="G353" s="791"/>
      <c r="I353" s="1790"/>
    </row>
    <row r="354" spans="1:9">
      <c r="A354" s="815"/>
      <c r="B354" s="815"/>
      <c r="C354" s="815"/>
      <c r="D354" s="1881"/>
      <c r="E354" s="1881"/>
      <c r="F354" s="1881"/>
      <c r="G354" s="791"/>
      <c r="I354" s="1790"/>
    </row>
    <row r="355" spans="1:9">
      <c r="A355" s="815"/>
      <c r="B355" s="815"/>
      <c r="C355" s="815"/>
      <c r="D355" s="1881"/>
      <c r="E355" s="1881"/>
      <c r="F355" s="1881"/>
      <c r="G355" s="791"/>
      <c r="I355" s="1790"/>
    </row>
    <row r="356" spans="1:9">
      <c r="A356" s="815"/>
      <c r="B356" s="815"/>
      <c r="C356" s="815"/>
      <c r="D356" s="1881"/>
      <c r="E356" s="1881"/>
      <c r="F356" s="1881"/>
      <c r="G356" s="791"/>
      <c r="I356" s="1790"/>
    </row>
    <row r="357" spans="1:9">
      <c r="A357" s="815"/>
      <c r="B357" s="815"/>
      <c r="C357" s="815"/>
      <c r="D357" s="1881"/>
      <c r="E357" s="1881"/>
      <c r="F357" s="1881"/>
      <c r="G357" s="791"/>
    </row>
    <row r="358" spans="1:9">
      <c r="A358" s="815"/>
      <c r="B358" s="815"/>
      <c r="C358" s="815"/>
      <c r="D358" s="1881"/>
      <c r="E358" s="1881"/>
      <c r="F358" s="1881"/>
      <c r="G358" s="791"/>
    </row>
    <row r="359" spans="1:9" s="1790" customFormat="1">
      <c r="A359" s="1795"/>
      <c r="B359" s="1795"/>
      <c r="C359" s="1795"/>
      <c r="D359" s="1797"/>
      <c r="E359" s="1797"/>
      <c r="F359" s="1797"/>
    </row>
    <row r="360" spans="1:9" ht="12.4" customHeight="1">
      <c r="A360" s="815"/>
      <c r="B360" s="799" t="s">
        <v>2467</v>
      </c>
      <c r="C360" s="815"/>
      <c r="D360" s="1999" t="s">
        <v>1442</v>
      </c>
      <c r="E360" s="1999"/>
      <c r="F360" s="1999"/>
      <c r="G360" s="791"/>
    </row>
    <row r="361" spans="1:9">
      <c r="A361" s="815"/>
      <c r="B361" s="815"/>
      <c r="C361" s="815"/>
      <c r="D361" s="1999"/>
      <c r="E361" s="1999"/>
      <c r="F361" s="1999"/>
      <c r="G361" s="791"/>
    </row>
    <row r="362" spans="1:9">
      <c r="A362" s="815"/>
      <c r="B362" s="815"/>
      <c r="C362" s="815"/>
      <c r="D362" s="1999"/>
      <c r="E362" s="1999"/>
      <c r="F362" s="1999"/>
      <c r="G362" s="791"/>
    </row>
    <row r="363" spans="1:9">
      <c r="A363" s="815"/>
      <c r="B363" s="815"/>
      <c r="C363" s="815"/>
      <c r="D363" s="1999"/>
      <c r="E363" s="1999"/>
      <c r="F363" s="1999"/>
      <c r="G363" s="791"/>
    </row>
    <row r="364" spans="1:9" s="1790" customFormat="1">
      <c r="A364" s="1795"/>
      <c r="B364" s="1795"/>
      <c r="C364" s="1795"/>
      <c r="D364" s="1796"/>
      <c r="E364" s="1796"/>
      <c r="F364" s="1796"/>
    </row>
    <row r="365" spans="1:9" s="1790" customFormat="1">
      <c r="A365" s="1795"/>
      <c r="B365" s="1793" t="s">
        <v>2467</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2467</v>
      </c>
      <c r="C372" s="815"/>
      <c r="D372" s="1879" t="s">
        <v>1319</v>
      </c>
      <c r="E372" s="1879"/>
      <c r="F372" s="1879"/>
      <c r="G372" s="791"/>
    </row>
    <row r="373" spans="1:7">
      <c r="A373" s="815"/>
      <c r="B373" s="815"/>
      <c r="C373" s="815"/>
      <c r="D373" s="1879"/>
      <c r="E373" s="1879"/>
      <c r="F373" s="1879"/>
      <c r="G373" s="791"/>
    </row>
    <row r="374" spans="1:7">
      <c r="A374" s="815"/>
      <c r="B374" s="815"/>
      <c r="C374" s="815"/>
      <c r="D374" s="1879"/>
      <c r="E374" s="1879"/>
      <c r="F374" s="1879"/>
      <c r="G374" s="791"/>
    </row>
    <row r="375" spans="1:7">
      <c r="A375" s="815"/>
      <c r="B375" s="815"/>
      <c r="C375" s="815"/>
      <c r="D375" s="1879"/>
      <c r="E375" s="1879"/>
      <c r="F375" s="1879"/>
      <c r="G375" s="791"/>
    </row>
    <row r="376" spans="1:7">
      <c r="A376" s="815"/>
      <c r="B376" s="815"/>
      <c r="C376" s="815"/>
      <c r="D376" s="827"/>
      <c r="E376" s="787"/>
      <c r="F376" s="801"/>
      <c r="G376" s="791"/>
    </row>
    <row r="377" spans="1:7">
      <c r="A377" s="815"/>
      <c r="B377" s="815"/>
      <c r="C377" s="815"/>
      <c r="D377" s="1879" t="s">
        <v>1320</v>
      </c>
      <c r="E377" s="1879"/>
      <c r="F377" s="1879"/>
      <c r="G377" s="791"/>
    </row>
    <row r="378" spans="1:7">
      <c r="A378" s="815"/>
      <c r="B378" s="815"/>
      <c r="C378" s="815"/>
      <c r="D378" s="1879"/>
      <c r="E378" s="1879"/>
      <c r="F378" s="1879"/>
      <c r="G378" s="791"/>
    </row>
    <row r="379" spans="1:7">
      <c r="A379" s="815"/>
      <c r="B379" s="815"/>
      <c r="C379" s="815"/>
      <c r="D379" s="1879"/>
      <c r="E379" s="1879"/>
      <c r="F379" s="1879"/>
      <c r="G379" s="791"/>
    </row>
    <row r="380" spans="1:7">
      <c r="A380" s="815"/>
      <c r="B380" s="815"/>
      <c r="C380" s="815"/>
      <c r="D380" s="1879"/>
      <c r="E380" s="1879"/>
      <c r="F380" s="1879"/>
      <c r="G380" s="791"/>
    </row>
    <row r="381" spans="1:7" ht="18" customHeight="1">
      <c r="A381" s="815"/>
      <c r="B381" s="815"/>
      <c r="C381" s="815"/>
      <c r="D381" s="1879"/>
      <c r="E381" s="1879"/>
      <c r="F381" s="1879"/>
      <c r="G381" s="791"/>
    </row>
    <row r="382" spans="1:7">
      <c r="A382" s="815"/>
      <c r="B382" s="815"/>
      <c r="C382" s="815"/>
      <c r="D382" s="1879"/>
      <c r="E382" s="1879"/>
      <c r="F382" s="1879"/>
      <c r="G382" s="791"/>
    </row>
    <row r="383" spans="1:7">
      <c r="A383" s="815"/>
      <c r="B383" s="815"/>
      <c r="C383" s="815"/>
      <c r="D383" s="1879"/>
      <c r="E383" s="1879"/>
      <c r="F383" s="1879"/>
      <c r="G383" s="791"/>
    </row>
    <row r="384" spans="1:7">
      <c r="A384" s="815"/>
      <c r="B384" s="815"/>
      <c r="C384" s="815"/>
      <c r="D384" s="1879"/>
      <c r="E384" s="1879"/>
      <c r="F384" s="1879"/>
      <c r="G384" s="791"/>
    </row>
    <row r="385" spans="1:7" ht="8.25" customHeight="1">
      <c r="A385" s="815"/>
      <c r="B385" s="815"/>
      <c r="C385" s="815"/>
      <c r="D385" s="1879"/>
      <c r="E385" s="1879"/>
      <c r="F385" s="1879"/>
      <c r="G385" s="791"/>
    </row>
    <row r="386" spans="1:7" ht="13.7" customHeight="1">
      <c r="A386" s="815"/>
      <c r="B386" s="815"/>
      <c r="C386" s="815"/>
      <c r="D386" s="1880" t="s">
        <v>1321</v>
      </c>
      <c r="E386" s="1880"/>
      <c r="F386" s="1880"/>
      <c r="G386" s="791"/>
    </row>
    <row r="387" spans="1:7">
      <c r="A387" s="815"/>
      <c r="B387" s="815"/>
      <c r="C387" s="815"/>
      <c r="D387" s="1880"/>
      <c r="E387" s="1880"/>
      <c r="F387" s="1880"/>
      <c r="G387" s="791"/>
    </row>
    <row r="388" spans="1:7">
      <c r="A388" s="815"/>
      <c r="B388" s="815"/>
      <c r="C388" s="815"/>
      <c r="D388" s="1880"/>
      <c r="E388" s="1880"/>
      <c r="F388" s="1880"/>
      <c r="G388" s="791"/>
    </row>
    <row r="389" spans="1:7">
      <c r="A389" s="815"/>
      <c r="B389" s="815"/>
      <c r="C389" s="815"/>
      <c r="D389" s="1880"/>
      <c r="E389" s="1880"/>
      <c r="F389" s="1880"/>
      <c r="G389" s="791"/>
    </row>
    <row r="390" spans="1:7">
      <c r="A390" s="815"/>
      <c r="B390" s="815"/>
      <c r="C390" s="815"/>
      <c r="D390" s="1880"/>
      <c r="E390" s="1880"/>
      <c r="F390" s="1880"/>
      <c r="G390" s="791"/>
    </row>
    <row r="391" spans="1:7">
      <c r="A391" s="815"/>
      <c r="B391" s="815"/>
      <c r="C391" s="815"/>
      <c r="D391" s="1880"/>
      <c r="E391" s="1880"/>
      <c r="F391" s="1880"/>
      <c r="G391" s="791"/>
    </row>
    <row r="392" spans="1:7">
      <c r="A392" s="815"/>
      <c r="B392" s="815"/>
      <c r="C392" s="815"/>
      <c r="D392" s="1880"/>
      <c r="E392" s="1880"/>
      <c r="F392" s="1880"/>
      <c r="G392" s="791"/>
    </row>
    <row r="393" spans="1:7">
      <c r="A393" s="815"/>
      <c r="B393" s="815"/>
      <c r="C393" s="815"/>
      <c r="D393" s="1880"/>
      <c r="E393" s="1880"/>
      <c r="F393" s="1880"/>
      <c r="G393" s="791"/>
    </row>
    <row r="394" spans="1:7">
      <c r="A394" s="815"/>
      <c r="B394" s="815"/>
      <c r="C394" s="815"/>
      <c r="D394" s="1880"/>
      <c r="E394" s="1880"/>
      <c r="F394" s="1880"/>
      <c r="G394" s="791"/>
    </row>
    <row r="395" spans="1:7">
      <c r="A395" s="815"/>
      <c r="B395" s="815"/>
      <c r="C395" s="815"/>
      <c r="D395" s="1880"/>
      <c r="E395" s="1880"/>
      <c r="F395" s="1880"/>
      <c r="G395" s="791"/>
    </row>
    <row r="396" spans="1:7">
      <c r="A396" s="815"/>
      <c r="B396" s="815"/>
      <c r="C396" s="815"/>
      <c r="D396" s="1880"/>
      <c r="E396" s="1880"/>
      <c r="F396" s="1880"/>
      <c r="G396" s="791"/>
    </row>
    <row r="397" spans="1:7">
      <c r="A397" s="815"/>
      <c r="B397" s="815"/>
      <c r="C397" s="815"/>
      <c r="D397" s="1880"/>
      <c r="E397" s="1880"/>
      <c r="F397" s="1880"/>
      <c r="G397" s="791"/>
    </row>
    <row r="398" spans="1:7">
      <c r="A398" s="815"/>
      <c r="B398" s="815"/>
      <c r="C398" s="828"/>
      <c r="D398" s="1880"/>
      <c r="E398" s="1880"/>
      <c r="F398" s="1880"/>
      <c r="G398" s="791"/>
    </row>
    <row r="399" spans="1:7">
      <c r="A399" s="815"/>
      <c r="B399" s="815"/>
      <c r="C399" s="828"/>
      <c r="D399" s="1880"/>
      <c r="E399" s="1880"/>
      <c r="F399" s="1880"/>
      <c r="G399" s="791"/>
    </row>
    <row r="400" spans="1:7">
      <c r="A400" s="815"/>
      <c r="B400" s="815"/>
      <c r="C400" s="815"/>
      <c r="D400" s="1880"/>
      <c r="E400" s="1880"/>
      <c r="F400" s="1880"/>
      <c r="G400" s="791"/>
    </row>
    <row r="401" spans="1:7">
      <c r="A401" s="815"/>
      <c r="B401" s="815"/>
      <c r="C401" s="828"/>
      <c r="D401" s="1880"/>
      <c r="E401" s="1880"/>
      <c r="F401" s="1880"/>
      <c r="G401" s="791"/>
    </row>
    <row r="402" spans="1:7">
      <c r="A402" s="815"/>
      <c r="B402" s="815"/>
      <c r="C402" s="828"/>
      <c r="D402" s="1880"/>
      <c r="E402" s="1880"/>
      <c r="F402" s="1880"/>
      <c r="G402" s="791"/>
    </row>
    <row r="403" spans="1:7">
      <c r="A403" s="815"/>
      <c r="B403" s="815"/>
      <c r="C403" s="828"/>
      <c r="D403" s="1880"/>
      <c r="E403" s="1880"/>
      <c r="F403" s="1880"/>
      <c r="G403" s="791"/>
    </row>
    <row r="404" spans="1:7">
      <c r="A404" s="815"/>
      <c r="B404" s="815"/>
      <c r="C404" s="815"/>
      <c r="D404" s="827"/>
      <c r="E404" s="787"/>
      <c r="F404" s="801"/>
      <c r="G404" s="791"/>
    </row>
    <row r="405" spans="1:7">
      <c r="A405" s="815"/>
      <c r="B405" s="799" t="s">
        <v>2467</v>
      </c>
      <c r="C405" s="815"/>
      <c r="D405" s="1880" t="s">
        <v>1322</v>
      </c>
      <c r="E405" s="1880"/>
      <c r="F405" s="1880"/>
      <c r="G405" s="791"/>
    </row>
    <row r="406" spans="1:7">
      <c r="A406" s="815"/>
      <c r="B406" s="815"/>
      <c r="C406" s="815"/>
      <c r="D406" s="1880"/>
      <c r="E406" s="1880"/>
      <c r="F406" s="1880"/>
      <c r="G406" s="791"/>
    </row>
    <row r="407" spans="1:7">
      <c r="A407" s="815"/>
      <c r="B407" s="815"/>
      <c r="C407" s="815"/>
      <c r="D407" s="905"/>
      <c r="E407" s="905"/>
      <c r="F407" s="905"/>
      <c r="G407" s="791"/>
    </row>
    <row r="408" spans="1:7" ht="14.45" customHeight="1">
      <c r="A408" s="798"/>
      <c r="B408" s="799" t="s">
        <v>2467</v>
      </c>
      <c r="D408" s="1880" t="s">
        <v>1538</v>
      </c>
      <c r="E408" s="1880"/>
      <c r="F408" s="1880"/>
    </row>
    <row r="409" spans="1:7" ht="14.45" customHeight="1">
      <c r="A409" s="798"/>
      <c r="D409" s="1880"/>
      <c r="E409" s="1880"/>
      <c r="F409" s="1880"/>
    </row>
    <row r="410" spans="1:7" ht="14.45" customHeight="1">
      <c r="A410" s="798"/>
      <c r="D410" s="1880"/>
      <c r="E410" s="1880"/>
      <c r="F410" s="1880"/>
    </row>
    <row r="411" spans="1:7" ht="14.45" customHeight="1">
      <c r="A411" s="798"/>
      <c r="D411" s="1880"/>
      <c r="E411" s="1880"/>
      <c r="F411" s="1880"/>
    </row>
    <row r="412" spans="1:7" ht="14.45" customHeight="1">
      <c r="A412" s="798"/>
      <c r="D412" s="1880"/>
      <c r="E412" s="1880"/>
      <c r="F412" s="1880"/>
    </row>
    <row r="413" spans="1:7" ht="14.45" customHeight="1">
      <c r="A413" s="798"/>
      <c r="D413" s="880"/>
      <c r="E413" s="880"/>
      <c r="F413" s="880"/>
    </row>
    <row r="414" spans="1:7" ht="13.7" customHeight="1">
      <c r="A414" s="798"/>
      <c r="B414" s="799" t="s">
        <v>2467</v>
      </c>
      <c r="C414" s="815"/>
      <c r="D414" s="1881" t="s">
        <v>1467</v>
      </c>
      <c r="E414" s="1881"/>
      <c r="F414" s="1881"/>
      <c r="G414" s="791"/>
    </row>
    <row r="415" spans="1:7" ht="14.25">
      <c r="A415" s="829"/>
      <c r="B415" s="829"/>
      <c r="C415" s="815"/>
      <c r="D415" s="1881"/>
      <c r="E415" s="1881"/>
      <c r="F415" s="1881"/>
      <c r="G415" s="791"/>
    </row>
    <row r="416" spans="1:7" ht="14.25">
      <c r="A416" s="829"/>
      <c r="B416" s="829"/>
      <c r="C416" s="815"/>
      <c r="D416" s="1881"/>
      <c r="E416" s="1881"/>
      <c r="F416" s="1881"/>
      <c r="G416" s="791"/>
    </row>
    <row r="417" spans="1:7" ht="14.25">
      <c r="A417" s="829"/>
      <c r="B417" s="829"/>
      <c r="C417" s="815"/>
      <c r="D417" s="1881"/>
      <c r="E417" s="1881"/>
      <c r="F417" s="1881"/>
      <c r="G417" s="791"/>
    </row>
    <row r="418" spans="1:7" ht="15.75" customHeight="1">
      <c r="A418" s="829"/>
      <c r="B418" s="829"/>
      <c r="C418" s="815"/>
      <c r="D418" s="1996" t="s">
        <v>1517</v>
      </c>
      <c r="E418" s="1881"/>
      <c r="F418" s="1881"/>
      <c r="G418" s="791"/>
    </row>
    <row r="419" spans="1:7">
      <c r="D419" s="801"/>
      <c r="E419" s="801"/>
      <c r="F419" s="801"/>
      <c r="G419" s="791"/>
    </row>
    <row r="420" spans="1:7" ht="14.25">
      <c r="A420" s="798"/>
      <c r="B420" s="799" t="s">
        <v>2467</v>
      </c>
      <c r="C420" s="830"/>
      <c r="D420" s="1890" t="s">
        <v>1324</v>
      </c>
      <c r="E420" s="1890"/>
      <c r="F420" s="1890"/>
      <c r="G420" s="791"/>
    </row>
    <row r="421" spans="1:7" ht="14.25">
      <c r="A421" s="798"/>
      <c r="B421" s="798"/>
      <c r="D421" s="1890"/>
      <c r="E421" s="1890"/>
      <c r="F421" s="1890"/>
      <c r="G421" s="791"/>
    </row>
    <row r="422" spans="1:7">
      <c r="D422" s="1890"/>
      <c r="E422" s="1890"/>
      <c r="F422" s="1890"/>
      <c r="G422" s="791"/>
    </row>
    <row r="423" spans="1:7">
      <c r="D423" s="1890"/>
      <c r="E423" s="1890"/>
      <c r="F423" s="1890"/>
      <c r="G423" s="791"/>
    </row>
    <row r="424" spans="1:7">
      <c r="D424" s="1890"/>
      <c r="E424" s="1890"/>
      <c r="F424" s="1890"/>
      <c r="G424" s="791"/>
    </row>
    <row r="425" spans="1:7">
      <c r="D425" s="1890"/>
      <c r="E425" s="1890"/>
      <c r="F425" s="1890"/>
      <c r="G425" s="791"/>
    </row>
    <row r="426" spans="1:7">
      <c r="D426" s="1890"/>
      <c r="E426" s="1890"/>
      <c r="F426" s="1890"/>
      <c r="G426" s="791"/>
    </row>
    <row r="427" spans="1:7">
      <c r="D427" s="1890"/>
      <c r="E427" s="1890"/>
      <c r="F427" s="1890"/>
      <c r="G427" s="791"/>
    </row>
    <row r="428" spans="1:7">
      <c r="D428" s="1890"/>
      <c r="E428" s="1890"/>
      <c r="F428" s="1890"/>
      <c r="G428" s="791"/>
    </row>
    <row r="429" spans="1:7">
      <c r="D429" s="1890"/>
      <c r="E429" s="1890"/>
      <c r="F429" s="1890"/>
      <c r="G429" s="791"/>
    </row>
    <row r="430" spans="1:7">
      <c r="D430" s="1890"/>
      <c r="E430" s="1890"/>
      <c r="F430" s="1890"/>
      <c r="G430" s="791"/>
    </row>
    <row r="431" spans="1:7">
      <c r="D431" s="1890"/>
      <c r="E431" s="1890"/>
      <c r="F431" s="1890"/>
      <c r="G431" s="791"/>
    </row>
    <row r="432" spans="1:7">
      <c r="D432" s="1890"/>
      <c r="E432" s="1890"/>
      <c r="F432" s="1890"/>
      <c r="G432" s="791"/>
    </row>
    <row r="433" spans="1:7">
      <c r="A433" s="791"/>
      <c r="B433" s="791"/>
      <c r="C433" s="791"/>
      <c r="D433" s="1890"/>
      <c r="E433" s="1890"/>
      <c r="F433" s="1890"/>
      <c r="G433" s="791"/>
    </row>
    <row r="434" spans="1:7">
      <c r="A434" s="791"/>
      <c r="B434" s="791"/>
      <c r="C434" s="791"/>
      <c r="D434" s="1890"/>
      <c r="E434" s="1890"/>
      <c r="F434" s="1890"/>
      <c r="G434" s="791"/>
    </row>
    <row r="435" spans="1:7">
      <c r="A435" s="791"/>
      <c r="B435" s="791"/>
      <c r="C435" s="791"/>
      <c r="D435" s="1890"/>
      <c r="E435" s="1890"/>
      <c r="F435" s="1890"/>
      <c r="G435" s="791"/>
    </row>
    <row r="436" spans="1:7">
      <c r="A436" s="791"/>
      <c r="B436" s="791"/>
      <c r="C436" s="791"/>
      <c r="D436" s="1890"/>
      <c r="E436" s="1890"/>
      <c r="F436" s="1890"/>
      <c r="G436" s="791"/>
    </row>
    <row r="437" spans="1:7">
      <c r="A437" s="791"/>
      <c r="B437" s="791"/>
      <c r="C437" s="791"/>
      <c r="D437" s="1890"/>
      <c r="E437" s="1890"/>
      <c r="F437" s="1890"/>
      <c r="G437" s="791"/>
    </row>
    <row r="438" spans="1:7">
      <c r="A438" s="791"/>
      <c r="B438" s="791"/>
      <c r="C438" s="791"/>
      <c r="D438" s="1890"/>
      <c r="E438" s="1890"/>
      <c r="F438" s="1890"/>
      <c r="G438" s="791"/>
    </row>
    <row r="439" spans="1:7">
      <c r="A439" s="791"/>
      <c r="B439" s="791"/>
      <c r="C439" s="791"/>
      <c r="D439" s="1890"/>
      <c r="E439" s="1890"/>
      <c r="F439" s="1890"/>
      <c r="G439" s="791"/>
    </row>
    <row r="440" spans="1:7">
      <c r="A440" s="791"/>
      <c r="B440" s="791"/>
      <c r="C440" s="791"/>
      <c r="D440" s="1890"/>
      <c r="E440" s="1890"/>
      <c r="F440" s="1890"/>
      <c r="G440" s="791"/>
    </row>
    <row r="441" spans="1:7">
      <c r="A441" s="791"/>
      <c r="B441" s="791"/>
      <c r="C441" s="791"/>
      <c r="D441" s="1890"/>
      <c r="E441" s="1890"/>
      <c r="F441" s="1890"/>
      <c r="G441" s="791"/>
    </row>
    <row r="442" spans="1:7">
      <c r="A442" s="791"/>
      <c r="B442" s="791"/>
      <c r="C442" s="791"/>
      <c r="D442" s="1890"/>
      <c r="E442" s="1890"/>
      <c r="F442" s="1890"/>
      <c r="G442" s="791"/>
    </row>
    <row r="443" spans="1:7">
      <c r="A443" s="791"/>
      <c r="B443" s="791"/>
      <c r="C443" s="791"/>
      <c r="D443" s="1890"/>
      <c r="E443" s="1890"/>
      <c r="F443" s="1890"/>
      <c r="G443" s="791"/>
    </row>
    <row r="444" spans="1:7">
      <c r="A444" s="791"/>
      <c r="B444" s="791"/>
      <c r="C444" s="791"/>
      <c r="D444" s="1890"/>
      <c r="E444" s="1890"/>
      <c r="F444" s="1890"/>
      <c r="G444" s="791"/>
    </row>
    <row r="445" spans="1:7">
      <c r="A445" s="791"/>
      <c r="B445" s="791"/>
      <c r="C445" s="791"/>
      <c r="D445" s="1890"/>
      <c r="E445" s="1890"/>
      <c r="F445" s="1890"/>
      <c r="G445" s="791"/>
    </row>
    <row r="446" spans="1:7">
      <c r="A446" s="791"/>
      <c r="B446" s="791"/>
      <c r="C446" s="791"/>
      <c r="D446" s="1890"/>
      <c r="E446" s="1890"/>
      <c r="F446" s="1890"/>
      <c r="G446" s="791"/>
    </row>
    <row r="447" spans="1:7">
      <c r="A447" s="791"/>
      <c r="B447" s="791"/>
      <c r="C447" s="791"/>
      <c r="D447" s="1890"/>
      <c r="E447" s="1890"/>
      <c r="F447" s="1890"/>
      <c r="G447" s="791"/>
    </row>
    <row r="448" spans="1:7">
      <c r="A448" s="791"/>
      <c r="B448" s="791"/>
      <c r="C448" s="791"/>
      <c r="D448" s="1890"/>
      <c r="E448" s="1890"/>
      <c r="F448" s="1890"/>
      <c r="G448" s="791"/>
    </row>
    <row r="449" spans="1:7" s="832" customFormat="1">
      <c r="A449" s="789"/>
      <c r="B449" s="789"/>
      <c r="C449" s="789"/>
      <c r="D449" s="1890"/>
      <c r="E449" s="1890"/>
      <c r="F449" s="1890"/>
      <c r="G449" s="831"/>
    </row>
    <row r="450" spans="1:7" s="832" customFormat="1" ht="40.700000000000003" customHeight="1">
      <c r="A450" s="789"/>
      <c r="B450" s="789"/>
      <c r="C450" s="789"/>
      <c r="D450" s="1890"/>
      <c r="E450" s="1890"/>
      <c r="F450" s="1890"/>
      <c r="G450" s="831"/>
    </row>
    <row r="451" spans="1:7" s="832" customFormat="1">
      <c r="A451" s="789"/>
      <c r="B451" s="789"/>
      <c r="C451" s="789"/>
      <c r="D451" s="801"/>
      <c r="E451" s="801"/>
      <c r="F451" s="801"/>
      <c r="G451" s="831"/>
    </row>
    <row r="452" spans="1:7" ht="14.25">
      <c r="A452" s="798"/>
      <c r="B452" s="799" t="s">
        <v>2467</v>
      </c>
      <c r="C452" s="830"/>
      <c r="D452" s="1892" t="s">
        <v>1325</v>
      </c>
      <c r="E452" s="1892"/>
      <c r="F452" s="1892"/>
    </row>
    <row r="453" spans="1:7">
      <c r="D453" s="1882" t="s">
        <v>1464</v>
      </c>
      <c r="E453" s="1882"/>
      <c r="F453" s="1882"/>
    </row>
    <row r="454" spans="1:7">
      <c r="D454" s="1985" t="s">
        <v>1463</v>
      </c>
      <c r="E454" s="1985"/>
      <c r="F454" s="1985"/>
    </row>
    <row r="455" spans="1:7">
      <c r="D455" s="1985"/>
      <c r="E455" s="1985"/>
      <c r="F455" s="1985"/>
    </row>
    <row r="456" spans="1:7">
      <c r="D456" s="1985"/>
      <c r="E456" s="1985"/>
      <c r="F456" s="1985"/>
    </row>
    <row r="457" spans="1:7">
      <c r="D457" s="801"/>
      <c r="E457" s="801"/>
      <c r="F457" s="801"/>
      <c r="G457" s="791"/>
    </row>
    <row r="458" spans="1:7" ht="14.25">
      <c r="A458" s="798"/>
      <c r="B458" s="799" t="s">
        <v>2467</v>
      </c>
      <c r="C458" s="830"/>
      <c r="D458" s="1890" t="s">
        <v>1327</v>
      </c>
      <c r="E458" s="1890"/>
      <c r="F458" s="1890"/>
      <c r="G458" s="791"/>
    </row>
    <row r="459" spans="1:7">
      <c r="D459" s="1890"/>
      <c r="E459" s="1890"/>
      <c r="F459" s="1890"/>
      <c r="G459" s="791"/>
    </row>
    <row r="460" spans="1:7">
      <c r="D460" s="1890"/>
      <c r="E460" s="1890"/>
      <c r="F460" s="1890"/>
      <c r="G460" s="791"/>
    </row>
    <row r="461" spans="1:7">
      <c r="D461" s="785"/>
      <c r="E461" s="785"/>
      <c r="F461" s="785"/>
      <c r="G461" s="791"/>
    </row>
    <row r="462" spans="1:7" ht="14.25">
      <c r="B462" s="799" t="s">
        <v>2467</v>
      </c>
      <c r="C462" s="798"/>
      <c r="D462" s="1985" t="s">
        <v>1410</v>
      </c>
      <c r="E462" s="1985"/>
      <c r="F462" s="1985"/>
      <c r="G462" s="791"/>
    </row>
    <row r="463" spans="1:7">
      <c r="D463" s="1985"/>
      <c r="E463" s="1985"/>
      <c r="F463" s="1985"/>
      <c r="G463" s="791"/>
    </row>
    <row r="464" spans="1:7">
      <c r="D464" s="801"/>
      <c r="E464" s="801"/>
      <c r="F464" s="801"/>
      <c r="G464" s="791"/>
    </row>
    <row r="465" spans="1:7" ht="14.25">
      <c r="B465" s="799" t="s">
        <v>2467</v>
      </c>
      <c r="C465" s="798"/>
      <c r="D465" s="1985" t="s">
        <v>1329</v>
      </c>
      <c r="E465" s="1985"/>
      <c r="F465" s="1985"/>
      <c r="G465" s="791"/>
    </row>
    <row r="466" spans="1:7">
      <c r="D466" s="1985"/>
      <c r="E466" s="1985"/>
      <c r="F466" s="1985"/>
      <c r="G466" s="791"/>
    </row>
    <row r="467" spans="1:7">
      <c r="D467" s="1985"/>
      <c r="E467" s="1985"/>
      <c r="F467" s="1985"/>
      <c r="G467" s="791"/>
    </row>
    <row r="468" spans="1:7">
      <c r="D468" s="1985"/>
      <c r="E468" s="1985"/>
      <c r="F468" s="1985"/>
      <c r="G468" s="791"/>
    </row>
    <row r="469" spans="1:7">
      <c r="B469" s="799" t="s">
        <v>2467</v>
      </c>
      <c r="D469" s="1985"/>
      <c r="E469" s="1985"/>
      <c r="F469" s="1985"/>
      <c r="G469" s="791"/>
    </row>
    <row r="470" spans="1:7">
      <c r="A470" s="791"/>
      <c r="B470" s="791"/>
      <c r="C470" s="791"/>
      <c r="D470" s="1985"/>
      <c r="E470" s="1985"/>
      <c r="F470" s="1985"/>
      <c r="G470" s="791"/>
    </row>
    <row r="471" spans="1:7">
      <c r="A471" s="791"/>
      <c r="C471" s="791"/>
      <c r="D471" s="1985"/>
      <c r="E471" s="1985"/>
      <c r="F471" s="1985"/>
      <c r="G471" s="791"/>
    </row>
    <row r="472" spans="1:7">
      <c r="A472" s="791"/>
      <c r="B472" s="799" t="s">
        <v>2467</v>
      </c>
      <c r="C472" s="791"/>
      <c r="D472" s="1985"/>
      <c r="E472" s="1985"/>
      <c r="F472" s="1985"/>
      <c r="G472" s="791"/>
    </row>
    <row r="473" spans="1:7">
      <c r="A473" s="791"/>
      <c r="B473" s="791"/>
      <c r="C473" s="791"/>
      <c r="D473" s="1985"/>
      <c r="E473" s="1985"/>
      <c r="F473" s="1985"/>
      <c r="G473" s="791"/>
    </row>
    <row r="474" spans="1:7">
      <c r="A474" s="791"/>
      <c r="C474" s="791"/>
      <c r="D474" s="1985"/>
      <c r="E474" s="1985"/>
      <c r="F474" s="1985"/>
      <c r="G474" s="791"/>
    </row>
    <row r="475" spans="1:7">
      <c r="A475" s="791"/>
      <c r="C475" s="791"/>
      <c r="D475" s="1985"/>
      <c r="E475" s="1985"/>
      <c r="F475" s="1985"/>
      <c r="G475" s="791"/>
    </row>
    <row r="476" spans="1:7">
      <c r="A476" s="791"/>
      <c r="B476" s="799" t="s">
        <v>2467</v>
      </c>
      <c r="C476" s="791"/>
      <c r="D476" s="1985"/>
      <c r="E476" s="1985"/>
      <c r="F476" s="1985"/>
      <c r="G476" s="791"/>
    </row>
    <row r="477" spans="1:7">
      <c r="A477" s="791"/>
      <c r="B477" s="791"/>
      <c r="C477" s="791"/>
      <c r="D477" s="1985"/>
      <c r="E477" s="1985"/>
      <c r="F477" s="1985"/>
      <c r="G477" s="791"/>
    </row>
    <row r="478" spans="1:7">
      <c r="A478" s="791"/>
      <c r="B478" s="799" t="s">
        <v>2467</v>
      </c>
      <c r="C478" s="791"/>
      <c r="D478" s="1985"/>
      <c r="E478" s="1985"/>
      <c r="F478" s="1985"/>
      <c r="G478" s="791"/>
    </row>
    <row r="479" spans="1:7">
      <c r="A479" s="791"/>
      <c r="B479" s="791"/>
      <c r="C479" s="791"/>
      <c r="D479" s="833"/>
      <c r="E479" s="833"/>
      <c r="F479" s="833"/>
      <c r="G479" s="791"/>
    </row>
    <row r="480" spans="1:7">
      <c r="A480" s="791"/>
      <c r="B480" s="799" t="s">
        <v>2467</v>
      </c>
      <c r="C480" s="791"/>
      <c r="D480" s="1985" t="s">
        <v>1330</v>
      </c>
      <c r="E480" s="1985"/>
      <c r="F480" s="1985"/>
      <c r="G480" s="791"/>
    </row>
    <row r="481" spans="1:7">
      <c r="A481" s="791"/>
      <c r="B481" s="791"/>
      <c r="C481" s="791"/>
      <c r="D481" s="1985"/>
      <c r="E481" s="1985"/>
      <c r="F481" s="1985"/>
      <c r="G481" s="791"/>
    </row>
    <row r="482" spans="1:7">
      <c r="A482" s="791"/>
      <c r="B482" s="791"/>
      <c r="C482" s="791"/>
      <c r="D482" s="1985"/>
      <c r="E482" s="1985"/>
      <c r="F482" s="1985"/>
      <c r="G482" s="791"/>
    </row>
    <row r="483" spans="1:7">
      <c r="A483" s="791"/>
      <c r="B483" s="791"/>
      <c r="C483" s="791"/>
      <c r="D483" s="1985"/>
      <c r="E483" s="1985"/>
      <c r="F483" s="1985"/>
      <c r="G483" s="791"/>
    </row>
    <row r="484" spans="1:7">
      <c r="D484" s="1985"/>
      <c r="E484" s="1985"/>
      <c r="F484" s="1985"/>
    </row>
    <row r="485" spans="1:7">
      <c r="D485" s="801"/>
      <c r="E485" s="801"/>
      <c r="F485" s="801"/>
    </row>
    <row r="486" spans="1:7">
      <c r="B486" s="799" t="s">
        <v>2467</v>
      </c>
      <c r="D486" s="1988" t="s">
        <v>1331</v>
      </c>
      <c r="E486" s="1988"/>
      <c r="F486" s="1988"/>
    </row>
    <row r="487" spans="1:7">
      <c r="A487" s="801"/>
      <c r="B487" s="801"/>
    </row>
    <row r="488" spans="1:7">
      <c r="A488" s="1872" t="s">
        <v>1172</v>
      </c>
      <c r="B488" s="1872"/>
      <c r="C488" s="1872"/>
      <c r="D488" s="1872"/>
      <c r="E488" s="1872"/>
      <c r="F488" s="1872"/>
      <c r="G488" s="1872"/>
    </row>
    <row r="489" spans="1:7">
      <c r="A489" s="801"/>
      <c r="B489" s="801"/>
    </row>
    <row r="490" spans="1:7">
      <c r="D490" s="1868" t="s">
        <v>952</v>
      </c>
      <c r="E490" s="1868"/>
      <c r="F490" s="1868"/>
    </row>
    <row r="491" spans="1:7" s="792" customFormat="1" ht="14.25">
      <c r="A491" s="806"/>
      <c r="B491" s="806"/>
      <c r="C491" s="802"/>
      <c r="D491" s="1869" t="s">
        <v>1332</v>
      </c>
      <c r="E491" s="1869"/>
      <c r="F491" s="1869"/>
      <c r="G491" s="803"/>
    </row>
    <row r="492" spans="1:7" s="792" customFormat="1" ht="14.25">
      <c r="A492" s="806"/>
      <c r="B492" s="806"/>
      <c r="C492" s="802"/>
      <c r="D492" s="788"/>
      <c r="E492" s="673"/>
      <c r="F492" s="673"/>
      <c r="G492" s="803"/>
    </row>
    <row r="493" spans="1:7" s="792" customFormat="1" ht="14.25">
      <c r="A493" s="798"/>
      <c r="B493" s="799" t="s">
        <v>2467</v>
      </c>
      <c r="C493" s="802"/>
      <c r="D493" s="1870" t="s">
        <v>1333</v>
      </c>
      <c r="E493" s="1870"/>
      <c r="F493" s="1870"/>
      <c r="G493" s="803"/>
    </row>
    <row r="494" spans="1:7" s="792" customFormat="1" ht="14.25">
      <c r="A494" s="798"/>
      <c r="B494" s="798"/>
      <c r="C494" s="802"/>
      <c r="D494" s="1870"/>
      <c r="E494" s="1870"/>
      <c r="F494" s="1870"/>
      <c r="G494" s="803"/>
    </row>
    <row r="495" spans="1:7" s="792" customFormat="1" ht="14.25">
      <c r="A495" s="798"/>
      <c r="B495" s="798"/>
      <c r="C495" s="802"/>
      <c r="D495" s="786"/>
      <c r="E495" s="673"/>
      <c r="F495" s="673"/>
      <c r="G495" s="803"/>
    </row>
    <row r="496" spans="1:7" ht="12.75" customHeight="1">
      <c r="B496" s="799" t="s">
        <v>2467</v>
      </c>
      <c r="D496" s="1871" t="s">
        <v>1518</v>
      </c>
      <c r="E496" s="1871"/>
      <c r="F496" s="1871"/>
    </row>
    <row r="497" spans="1:7" ht="14.25">
      <c r="A497" s="798"/>
      <c r="D497" s="1871"/>
      <c r="E497" s="1871"/>
      <c r="F497" s="1871"/>
    </row>
    <row r="498" spans="1:7" ht="14.25">
      <c r="A498" s="798"/>
      <c r="B498" s="798"/>
      <c r="D498" s="1871"/>
      <c r="E498" s="1871"/>
      <c r="F498" s="1871"/>
    </row>
    <row r="499" spans="1:7" ht="14.25">
      <c r="A499" s="798"/>
      <c r="B499" s="798"/>
      <c r="D499" s="1871"/>
      <c r="E499" s="1871"/>
      <c r="F499" s="1871"/>
    </row>
    <row r="500" spans="1:7" ht="14.25">
      <c r="A500" s="798"/>
      <c r="D500" s="895"/>
      <c r="E500" s="895"/>
      <c r="F500" s="895"/>
      <c r="G500" s="791"/>
    </row>
    <row r="501" spans="1:7" ht="14.25">
      <c r="A501" s="798"/>
      <c r="B501" s="799" t="s">
        <v>2467</v>
      </c>
      <c r="D501" s="1892" t="s">
        <v>1336</v>
      </c>
      <c r="E501" s="1892"/>
      <c r="F501" s="1892"/>
      <c r="G501" s="791"/>
    </row>
    <row r="502" spans="1:7" ht="14.25">
      <c r="A502" s="798"/>
      <c r="B502" s="798"/>
      <c r="D502" s="786"/>
      <c r="E502" s="673"/>
      <c r="F502" s="673"/>
      <c r="G502" s="791"/>
    </row>
    <row r="503" spans="1:7" ht="14.25">
      <c r="A503" s="798"/>
      <c r="B503" s="799" t="s">
        <v>2467</v>
      </c>
      <c r="D503" s="1890" t="s">
        <v>1337</v>
      </c>
      <c r="E503" s="1890"/>
      <c r="F503" s="1890"/>
      <c r="G503" s="791"/>
    </row>
    <row r="504" spans="1:7" ht="14.25">
      <c r="A504" s="798"/>
      <c r="D504" s="1890"/>
      <c r="E504" s="1890"/>
      <c r="F504" s="1890"/>
      <c r="G504" s="791"/>
    </row>
    <row r="505" spans="1:7">
      <c r="A505" s="817"/>
      <c r="B505" s="817"/>
      <c r="D505" s="734"/>
      <c r="E505" s="673"/>
      <c r="F505" s="673"/>
      <c r="G505" s="791"/>
    </row>
    <row r="506" spans="1:7">
      <c r="A506" s="817"/>
      <c r="B506" s="799" t="s">
        <v>2467</v>
      </c>
      <c r="D506" s="1892" t="s">
        <v>1338</v>
      </c>
      <c r="E506" s="1892"/>
      <c r="F506" s="1892"/>
      <c r="G506" s="791"/>
    </row>
    <row r="507" spans="1:7" ht="14.25">
      <c r="A507" s="798"/>
      <c r="B507" s="798"/>
      <c r="D507" s="801"/>
    </row>
    <row r="508" spans="1:7">
      <c r="A508" s="1872" t="s">
        <v>1173</v>
      </c>
      <c r="B508" s="1872"/>
      <c r="C508" s="1872"/>
      <c r="D508" s="1872"/>
      <c r="E508" s="1872"/>
      <c r="F508" s="1872"/>
      <c r="G508" s="1872"/>
    </row>
    <row r="509" spans="1:7" s="723" customFormat="1" ht="12" customHeight="1">
      <c r="A509" s="798"/>
      <c r="B509" s="798"/>
      <c r="C509" s="805"/>
      <c r="D509" s="786"/>
      <c r="E509" s="673"/>
      <c r="F509" s="673"/>
      <c r="G509" s="673"/>
    </row>
    <row r="510" spans="1:7" s="723" customFormat="1">
      <c r="A510" s="802"/>
      <c r="B510" s="802"/>
      <c r="C510" s="834"/>
      <c r="D510" s="2000" t="s">
        <v>855</v>
      </c>
      <c r="E510" s="2000"/>
      <c r="F510" s="2000"/>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2615</v>
      </c>
      <c r="C514" s="800"/>
      <c r="D514" s="1864" t="s">
        <v>2284</v>
      </c>
      <c r="E514" s="1864"/>
      <c r="F514" s="1864"/>
      <c r="G514" s="673"/>
    </row>
    <row r="515" spans="1:7" s="723" customFormat="1">
      <c r="A515" s="796"/>
      <c r="B515" s="796"/>
      <c r="C515" s="800"/>
      <c r="D515" s="1864"/>
      <c r="E515" s="1864"/>
      <c r="F515" s="1864"/>
      <c r="G515" s="673"/>
    </row>
    <row r="516" spans="1:7" s="723" customFormat="1">
      <c r="A516" s="796"/>
      <c r="B516" s="796"/>
      <c r="C516" s="800"/>
      <c r="D516" s="1712"/>
      <c r="E516" s="1712"/>
      <c r="F516" s="1712"/>
      <c r="G516" s="673"/>
    </row>
    <row r="517" spans="1:7" s="723" customFormat="1">
      <c r="A517" s="796"/>
      <c r="B517" s="799" t="s">
        <v>2467</v>
      </c>
      <c r="C517" s="805"/>
      <c r="D517" s="1864" t="s">
        <v>1211</v>
      </c>
      <c r="E517" s="1864"/>
      <c r="F517" s="1864"/>
      <c r="G517" s="673"/>
    </row>
    <row r="518" spans="1:7" s="723" customFormat="1">
      <c r="A518" s="796"/>
      <c r="B518" s="796"/>
      <c r="C518" s="805"/>
      <c r="D518" s="1864"/>
      <c r="E518" s="1864"/>
      <c r="F518" s="1864"/>
      <c r="G518" s="673"/>
    </row>
    <row r="519" spans="1:7" s="723" customFormat="1">
      <c r="A519" s="796"/>
      <c r="B519" s="796"/>
      <c r="C519" s="800"/>
      <c r="D519" s="1864"/>
      <c r="E519" s="1864"/>
      <c r="F519" s="1864"/>
      <c r="G519" s="673"/>
    </row>
    <row r="520" spans="1:7" s="723" customFormat="1">
      <c r="A520" s="796"/>
      <c r="B520" s="796"/>
      <c r="C520" s="800"/>
      <c r="D520" s="835"/>
      <c r="E520" s="673"/>
      <c r="F520" s="786"/>
      <c r="G520" s="673"/>
    </row>
    <row r="521" spans="1:7" s="723" customFormat="1" ht="13.15" customHeight="1">
      <c r="A521" s="796"/>
      <c r="B521" s="799" t="s">
        <v>2467</v>
      </c>
      <c r="C521" s="800"/>
      <c r="D521" s="1970" t="s">
        <v>1237</v>
      </c>
      <c r="E521" s="1970"/>
      <c r="F521" s="1970"/>
      <c r="G521" s="673"/>
    </row>
    <row r="522" spans="1:7" s="723" customFormat="1">
      <c r="A522" s="796"/>
      <c r="B522" s="796"/>
      <c r="C522" s="800"/>
      <c r="D522" s="1970"/>
      <c r="E522" s="1970"/>
      <c r="F522" s="1970"/>
      <c r="G522" s="673"/>
    </row>
    <row r="523" spans="1:7" s="723" customFormat="1" ht="12" customHeight="1">
      <c r="A523" s="801"/>
      <c r="B523" s="801"/>
      <c r="C523" s="809"/>
      <c r="D523" s="801"/>
      <c r="E523" s="673"/>
      <c r="F523" s="837"/>
      <c r="G523" s="673"/>
    </row>
    <row r="524" spans="1:7">
      <c r="A524" s="1872" t="s">
        <v>1174</v>
      </c>
      <c r="B524" s="1872"/>
      <c r="C524" s="1872"/>
      <c r="D524" s="1872"/>
      <c r="E524" s="1872"/>
      <c r="F524" s="1872"/>
      <c r="G524" s="1872"/>
    </row>
    <row r="525" spans="1:7">
      <c r="A525" s="801"/>
      <c r="B525" s="801"/>
      <c r="C525" s="830"/>
      <c r="F525" s="838"/>
    </row>
    <row r="526" spans="1:7">
      <c r="B526" s="1968" t="s">
        <v>472</v>
      </c>
      <c r="C526" s="1968"/>
      <c r="D526" s="1968"/>
      <c r="E526" s="1968"/>
      <c r="F526" s="1968"/>
    </row>
    <row r="527" spans="1:7">
      <c r="A527" s="801"/>
      <c r="B527" s="801"/>
      <c r="C527" s="830"/>
      <c r="D527" s="801"/>
      <c r="F527" s="801"/>
    </row>
    <row r="528" spans="1:7">
      <c r="A528" s="1922" t="s">
        <v>1175</v>
      </c>
      <c r="B528" s="1922"/>
      <c r="C528" s="1922"/>
      <c r="D528" s="1922"/>
      <c r="E528" s="1922"/>
      <c r="F528" s="1922"/>
      <c r="G528" s="1922"/>
    </row>
    <row r="529" spans="1:7">
      <c r="A529" s="801"/>
      <c r="B529" s="801"/>
      <c r="C529" s="830"/>
      <c r="D529" s="801"/>
      <c r="F529" s="801"/>
    </row>
    <row r="530" spans="1:7">
      <c r="C530" s="830"/>
      <c r="D530" s="1889" t="s">
        <v>722</v>
      </c>
      <c r="E530" s="1889"/>
      <c r="F530" s="1889"/>
    </row>
    <row r="531" spans="1:7">
      <c r="C531" s="830"/>
      <c r="D531" s="1892" t="s">
        <v>1232</v>
      </c>
      <c r="E531" s="1892"/>
      <c r="F531" s="1892"/>
    </row>
    <row r="532" spans="1:7">
      <c r="C532" s="830"/>
      <c r="D532" s="786"/>
      <c r="E532" s="786"/>
      <c r="F532" s="786"/>
    </row>
    <row r="533" spans="1:7" ht="13.7" customHeight="1">
      <c r="A533" s="798"/>
      <c r="B533" s="799" t="s">
        <v>2615</v>
      </c>
      <c r="C533" s="830"/>
      <c r="D533" s="1892" t="s">
        <v>953</v>
      </c>
      <c r="E533" s="1892"/>
      <c r="F533" s="1892"/>
      <c r="G533" s="791"/>
    </row>
    <row r="534" spans="1:7" ht="13.7" customHeight="1">
      <c r="A534" s="830"/>
      <c r="B534" s="830"/>
      <c r="C534" s="830"/>
      <c r="D534" s="786"/>
      <c r="E534" s="619"/>
      <c r="F534" s="619"/>
      <c r="G534" s="791"/>
    </row>
    <row r="535" spans="1:7" ht="14.25">
      <c r="A535" s="798"/>
      <c r="B535" s="799" t="s">
        <v>2615</v>
      </c>
      <c r="C535" s="830"/>
      <c r="D535" s="1890" t="s">
        <v>1233</v>
      </c>
      <c r="E535" s="1890"/>
      <c r="F535" s="1890"/>
      <c r="G535" s="791"/>
    </row>
    <row r="536" spans="1:7">
      <c r="A536" s="830"/>
      <c r="B536" s="830"/>
      <c r="C536" s="830"/>
      <c r="D536" s="1890"/>
      <c r="E536" s="1890"/>
      <c r="F536" s="1890"/>
      <c r="G536" s="791"/>
    </row>
    <row r="537" spans="1:7">
      <c r="A537" s="830"/>
      <c r="B537" s="830"/>
      <c r="C537" s="830"/>
      <c r="D537" s="801"/>
      <c r="E537" s="801"/>
      <c r="F537" s="801"/>
      <c r="G537" s="791"/>
    </row>
    <row r="538" spans="1:7" ht="14.25">
      <c r="A538" s="798"/>
      <c r="B538" s="799" t="s">
        <v>2615</v>
      </c>
      <c r="C538" s="830"/>
      <c r="D538" s="1890" t="s">
        <v>1234</v>
      </c>
      <c r="E538" s="1890"/>
      <c r="F538" s="1890"/>
      <c r="G538" s="791"/>
    </row>
    <row r="539" spans="1:7">
      <c r="A539" s="830"/>
      <c r="B539" s="830"/>
      <c r="C539" s="830"/>
      <c r="D539" s="1890"/>
      <c r="E539" s="1890"/>
      <c r="F539" s="1890"/>
      <c r="G539" s="791"/>
    </row>
    <row r="540" spans="1:7">
      <c r="A540" s="830"/>
      <c r="B540" s="830"/>
      <c r="C540" s="830"/>
      <c r="D540" s="801"/>
      <c r="E540" s="801"/>
      <c r="F540" s="801"/>
      <c r="G540" s="791"/>
    </row>
    <row r="541" spans="1:7" ht="14.25">
      <c r="A541" s="798"/>
      <c r="B541" s="799" t="s">
        <v>2615</v>
      </c>
      <c r="C541" s="830"/>
      <c r="D541" s="1890" t="s">
        <v>1235</v>
      </c>
      <c r="E541" s="1890"/>
      <c r="F541" s="1890"/>
      <c r="G541" s="791"/>
    </row>
    <row r="542" spans="1:7">
      <c r="A542" s="830"/>
      <c r="B542" s="830"/>
      <c r="C542" s="830"/>
      <c r="D542" s="1890"/>
      <c r="E542" s="1890"/>
      <c r="F542" s="1890"/>
      <c r="G542" s="791"/>
    </row>
    <row r="543" spans="1:7">
      <c r="A543" s="830"/>
      <c r="B543" s="830"/>
      <c r="C543" s="830"/>
      <c r="D543" s="801"/>
      <c r="E543" s="801"/>
      <c r="F543" s="801"/>
      <c r="G543" s="791"/>
    </row>
    <row r="544" spans="1:7" ht="14.25">
      <c r="A544" s="798"/>
      <c r="B544" s="799" t="s">
        <v>2615</v>
      </c>
      <c r="C544" s="830"/>
      <c r="D544" s="1890" t="s">
        <v>1236</v>
      </c>
      <c r="E544" s="1890"/>
      <c r="F544" s="1890"/>
      <c r="G544" s="791"/>
    </row>
    <row r="545" spans="1:7">
      <c r="A545" s="830"/>
      <c r="B545" s="830"/>
      <c r="C545" s="830"/>
      <c r="D545" s="1890"/>
      <c r="E545" s="1890"/>
      <c r="F545" s="1890"/>
      <c r="G545" s="791"/>
    </row>
    <row r="546" spans="1:7">
      <c r="A546" s="830"/>
      <c r="B546" s="830"/>
      <c r="C546" s="830"/>
      <c r="D546" s="1890"/>
      <c r="E546" s="1890"/>
      <c r="F546" s="1890"/>
      <c r="G546" s="791"/>
    </row>
    <row r="547" spans="1:7">
      <c r="A547" s="830"/>
      <c r="B547" s="830"/>
      <c r="C547" s="830"/>
      <c r="D547" s="801"/>
      <c r="E547" s="801"/>
      <c r="F547" s="801"/>
    </row>
    <row r="548" spans="1:7" ht="14.25">
      <c r="A548" s="798"/>
      <c r="B548" s="799" t="s">
        <v>2467</v>
      </c>
      <c r="C548" s="830"/>
      <c r="D548" s="1970" t="s">
        <v>1354</v>
      </c>
      <c r="E548" s="1970"/>
      <c r="F548" s="1970"/>
    </row>
    <row r="549" spans="1:7">
      <c r="A549" s="830"/>
      <c r="B549" s="830"/>
      <c r="C549" s="830"/>
      <c r="D549" s="1970"/>
      <c r="E549" s="1970"/>
      <c r="F549" s="1970"/>
    </row>
    <row r="550" spans="1:7">
      <c r="A550" s="830"/>
      <c r="B550" s="830"/>
      <c r="C550" s="830"/>
      <c r="D550" s="801"/>
      <c r="E550" s="801"/>
      <c r="F550" s="801"/>
    </row>
    <row r="551" spans="1:7" ht="14.25">
      <c r="A551" s="798"/>
      <c r="B551" s="799" t="s">
        <v>2467</v>
      </c>
      <c r="C551" s="830"/>
      <c r="D551" s="1890" t="s">
        <v>1238</v>
      </c>
      <c r="E551" s="1890"/>
      <c r="F551" s="1890"/>
    </row>
    <row r="552" spans="1:7">
      <c r="A552" s="830"/>
      <c r="B552" s="830"/>
      <c r="C552" s="830"/>
      <c r="D552" s="1890"/>
      <c r="E552" s="1890"/>
      <c r="F552" s="1890"/>
      <c r="G552" s="820"/>
    </row>
    <row r="553" spans="1:7">
      <c r="A553" s="830"/>
      <c r="B553" s="830"/>
      <c r="C553" s="830"/>
      <c r="D553" s="801"/>
      <c r="E553" s="801"/>
      <c r="F553" s="801"/>
      <c r="G553" s="820"/>
    </row>
    <row r="554" spans="1:7" ht="14.25">
      <c r="A554" s="798"/>
      <c r="B554" s="799" t="s">
        <v>2615</v>
      </c>
      <c r="C554" s="830"/>
      <c r="D554" s="1892" t="s">
        <v>1239</v>
      </c>
      <c r="E554" s="1892"/>
      <c r="F554" s="1892"/>
      <c r="G554" s="820"/>
    </row>
    <row r="555" spans="1:7">
      <c r="A555" s="817"/>
      <c r="B555" s="817"/>
      <c r="C555" s="830"/>
      <c r="D555" s="1892" t="s">
        <v>885</v>
      </c>
      <c r="E555" s="1892"/>
      <c r="F555" s="1892"/>
      <c r="G555" s="820"/>
    </row>
    <row r="556" spans="1:7">
      <c r="A556" s="817"/>
      <c r="B556" s="817"/>
      <c r="C556" s="830"/>
      <c r="D556" s="673"/>
      <c r="E556" s="1969" t="s">
        <v>1240</v>
      </c>
      <c r="F556" s="1969"/>
      <c r="G556" s="820"/>
    </row>
    <row r="557" spans="1:7" ht="14.25">
      <c r="A557" s="798"/>
      <c r="B557" s="798"/>
      <c r="C557" s="830"/>
      <c r="E557" s="801"/>
      <c r="F557" s="801"/>
      <c r="G557" s="820"/>
    </row>
    <row r="558" spans="1:7" ht="14.25">
      <c r="A558" s="798"/>
      <c r="B558" s="799" t="s">
        <v>2615</v>
      </c>
      <c r="C558" s="830"/>
      <c r="D558" s="1997" t="s">
        <v>1241</v>
      </c>
      <c r="E558" s="1997"/>
      <c r="F558" s="1997"/>
      <c r="G558" s="820"/>
    </row>
    <row r="559" spans="1:7">
      <c r="C559" s="830"/>
      <c r="D559" s="1890" t="s">
        <v>1242</v>
      </c>
      <c r="E559" s="1890"/>
      <c r="F559" s="1890"/>
      <c r="G559" s="820"/>
    </row>
    <row r="560" spans="1:7">
      <c r="A560" s="830"/>
      <c r="B560" s="830"/>
      <c r="C560" s="830"/>
      <c r="D560" s="1890"/>
      <c r="E560" s="1890"/>
      <c r="F560" s="1890"/>
      <c r="G560" s="820"/>
    </row>
    <row r="561" spans="1:7">
      <c r="A561" s="830"/>
      <c r="B561" s="830"/>
      <c r="C561" s="830"/>
      <c r="D561" s="1890"/>
      <c r="E561" s="1890"/>
      <c r="F561" s="1890"/>
      <c r="G561" s="820"/>
    </row>
    <row r="562" spans="1:7">
      <c r="A562" s="830"/>
      <c r="B562" s="830"/>
      <c r="C562" s="830"/>
      <c r="D562" s="801"/>
      <c r="E562" s="801"/>
      <c r="F562" s="801"/>
      <c r="G562" s="820"/>
    </row>
    <row r="563" spans="1:7" ht="14.25">
      <c r="A563" s="798"/>
      <c r="B563" s="799" t="s">
        <v>2615</v>
      </c>
      <c r="C563" s="830"/>
      <c r="D563" s="1890" t="s">
        <v>1243</v>
      </c>
      <c r="E563" s="1890"/>
      <c r="F563" s="1890"/>
      <c r="G563" s="820"/>
    </row>
    <row r="564" spans="1:7" ht="14.25">
      <c r="A564" s="798"/>
      <c r="B564" s="798"/>
      <c r="C564" s="830"/>
      <c r="D564" s="1890"/>
      <c r="E564" s="1890"/>
      <c r="F564" s="1890"/>
      <c r="G564" s="820"/>
    </row>
    <row r="565" spans="1:7" ht="14.25">
      <c r="A565" s="798"/>
      <c r="B565" s="798"/>
      <c r="C565" s="830"/>
      <c r="D565" s="1890"/>
      <c r="E565" s="1890"/>
      <c r="F565" s="1890"/>
      <c r="G565" s="820"/>
    </row>
    <row r="566" spans="1:7" ht="14.25">
      <c r="A566" s="798"/>
      <c r="B566" s="798"/>
      <c r="C566" s="830"/>
      <c r="D566" s="1890"/>
      <c r="E566" s="1890"/>
      <c r="F566" s="1890"/>
      <c r="G566" s="820"/>
    </row>
    <row r="567" spans="1:7" ht="14.25">
      <c r="A567" s="798"/>
      <c r="B567" s="798"/>
      <c r="C567" s="830"/>
      <c r="D567" s="801"/>
      <c r="E567" s="801"/>
      <c r="F567" s="801"/>
      <c r="G567" s="820"/>
    </row>
    <row r="568" spans="1:7">
      <c r="A568" s="1872" t="s">
        <v>1176</v>
      </c>
      <c r="B568" s="1872"/>
      <c r="C568" s="1872"/>
      <c r="D568" s="1872"/>
      <c r="E568" s="1872"/>
      <c r="F568" s="1872"/>
      <c r="G568" s="1872"/>
    </row>
    <row r="569" spans="1:7">
      <c r="A569" s="830"/>
      <c r="B569" s="830"/>
      <c r="C569" s="830"/>
      <c r="E569" s="801"/>
      <c r="F569" s="801"/>
      <c r="G569" s="820"/>
    </row>
    <row r="570" spans="1:7" ht="12.75" customHeight="1">
      <c r="C570" s="794"/>
      <c r="D570" s="1967" t="s">
        <v>217</v>
      </c>
      <c r="E570" s="1967"/>
      <c r="F570" s="1967"/>
      <c r="G570" s="820"/>
    </row>
    <row r="571" spans="1:7">
      <c r="A571" s="796"/>
      <c r="B571" s="796"/>
      <c r="C571" s="796"/>
      <c r="D571" s="1895" t="s">
        <v>1192</v>
      </c>
      <c r="E571" s="1895"/>
      <c r="F571" s="1895"/>
      <c r="G571" s="820"/>
    </row>
    <row r="572" spans="1:7">
      <c r="A572" s="791"/>
      <c r="B572" s="791"/>
      <c r="C572" s="796"/>
      <c r="D572" s="839"/>
      <c r="G572" s="820"/>
    </row>
    <row r="573" spans="1:7">
      <c r="A573" s="796"/>
      <c r="B573" s="799" t="s">
        <v>2615</v>
      </c>
      <c r="D573" s="1895" t="s">
        <v>959</v>
      </c>
      <c r="E573" s="1895"/>
      <c r="F573" s="1895"/>
      <c r="G573" s="820"/>
    </row>
    <row r="574" spans="1:7">
      <c r="A574" s="817"/>
      <c r="B574" s="817"/>
      <c r="D574" s="815"/>
    </row>
    <row r="575" spans="1:7">
      <c r="A575" s="817"/>
      <c r="B575" s="799" t="s">
        <v>2615</v>
      </c>
      <c r="D575" s="1871" t="s">
        <v>1193</v>
      </c>
      <c r="E575" s="1871"/>
      <c r="F575" s="1871"/>
    </row>
    <row r="576" spans="1:7">
      <c r="A576" s="817"/>
      <c r="B576" s="817"/>
      <c r="D576" s="1871"/>
      <c r="E576" s="1871"/>
      <c r="F576" s="1871"/>
      <c r="G576" s="791"/>
    </row>
    <row r="577" spans="1:7">
      <c r="A577" s="817"/>
      <c r="B577" s="817"/>
      <c r="D577" s="1871"/>
      <c r="E577" s="1871"/>
      <c r="F577" s="1871"/>
      <c r="G577" s="791"/>
    </row>
    <row r="578" spans="1:7">
      <c r="A578" s="817"/>
      <c r="B578" s="817"/>
      <c r="D578" s="1871"/>
      <c r="E578" s="1871"/>
      <c r="F578" s="1871"/>
      <c r="G578" s="791"/>
    </row>
    <row r="579" spans="1:7">
      <c r="A579" s="817"/>
      <c r="B579" s="799" t="s">
        <v>2467</v>
      </c>
      <c r="D579" s="1871" t="s">
        <v>1194</v>
      </c>
      <c r="E579" s="1871"/>
      <c r="F579" s="1871"/>
      <c r="G579" s="791"/>
    </row>
    <row r="580" spans="1:7">
      <c r="A580" s="817"/>
      <c r="B580" s="817"/>
      <c r="D580" s="1871"/>
      <c r="E580" s="1871"/>
      <c r="F580" s="1871"/>
      <c r="G580" s="791"/>
    </row>
    <row r="581" spans="1:7">
      <c r="A581" s="817"/>
      <c r="B581" s="817"/>
      <c r="D581" s="1871"/>
      <c r="E581" s="1871"/>
      <c r="F581" s="1871"/>
      <c r="G581" s="791"/>
    </row>
    <row r="582" spans="1:7">
      <c r="A582" s="817"/>
      <c r="B582" s="817"/>
      <c r="D582" s="1871"/>
      <c r="E582" s="1871"/>
      <c r="F582" s="1871"/>
      <c r="G582" s="791"/>
    </row>
    <row r="583" spans="1:7">
      <c r="A583" s="817"/>
      <c r="B583" s="817"/>
      <c r="D583" s="784"/>
      <c r="E583" s="784"/>
      <c r="F583" s="784"/>
      <c r="G583" s="791"/>
    </row>
    <row r="584" spans="1:7">
      <c r="A584" s="817"/>
      <c r="B584" s="799" t="s">
        <v>2615</v>
      </c>
      <c r="D584" s="1871" t="s">
        <v>1195</v>
      </c>
      <c r="E584" s="1871"/>
      <c r="F584" s="1871"/>
      <c r="G584" s="791"/>
    </row>
    <row r="585" spans="1:7">
      <c r="A585" s="817"/>
      <c r="B585" s="817"/>
      <c r="D585" s="1871"/>
      <c r="E585" s="1871"/>
      <c r="F585" s="1871"/>
      <c r="G585" s="791"/>
    </row>
    <row r="586" spans="1:7">
      <c r="A586" s="817"/>
      <c r="B586" s="817"/>
      <c r="D586" s="839"/>
      <c r="G586" s="791"/>
    </row>
    <row r="587" spans="1:7">
      <c r="A587" s="817"/>
      <c r="B587" s="799" t="s">
        <v>2467</v>
      </c>
      <c r="D587" s="1895" t="s">
        <v>1196</v>
      </c>
      <c r="E587" s="1895"/>
      <c r="F587" s="1895"/>
      <c r="G587" s="791"/>
    </row>
    <row r="588" spans="1:7">
      <c r="A588" s="817"/>
      <c r="B588" s="817"/>
      <c r="D588" s="1895"/>
      <c r="E588" s="1895"/>
      <c r="F588" s="1895"/>
      <c r="G588" s="791"/>
    </row>
    <row r="589" spans="1:7">
      <c r="A589" s="817"/>
      <c r="B589" s="817"/>
      <c r="D589" s="839"/>
      <c r="G589" s="791"/>
    </row>
    <row r="590" spans="1:7" ht="14.25">
      <c r="A590" s="798"/>
      <c r="B590" s="799" t="s">
        <v>2615</v>
      </c>
      <c r="D590" s="1895" t="s">
        <v>954</v>
      </c>
      <c r="E590" s="1895"/>
      <c r="F590" s="1895"/>
      <c r="G590" s="791"/>
    </row>
    <row r="591" spans="1:7" ht="14.25">
      <c r="A591" s="798"/>
      <c r="B591" s="798"/>
      <c r="D591" s="839"/>
      <c r="G591" s="791"/>
    </row>
    <row r="592" spans="1:7">
      <c r="A592" s="1872" t="s">
        <v>1177</v>
      </c>
      <c r="B592" s="1872"/>
      <c r="C592" s="1872"/>
      <c r="D592" s="1872"/>
      <c r="E592" s="1872"/>
      <c r="F592" s="1872"/>
      <c r="G592" s="1872"/>
    </row>
    <row r="593" spans="1:7"/>
    <row r="594" spans="1:7">
      <c r="D594" s="1889" t="s">
        <v>1277</v>
      </c>
      <c r="E594" s="1889"/>
      <c r="F594" s="1889"/>
    </row>
    <row r="595" spans="1:7">
      <c r="D595" s="1928" t="s">
        <v>1278</v>
      </c>
      <c r="E595" s="1928"/>
      <c r="F595" s="1928"/>
    </row>
    <row r="596" spans="1:7">
      <c r="D596" s="781"/>
      <c r="E596" s="723"/>
      <c r="F596" s="723"/>
    </row>
    <row r="597" spans="1:7" s="792" customFormat="1" ht="14.25">
      <c r="A597" s="806"/>
      <c r="B597" s="799" t="s">
        <v>2615</v>
      </c>
      <c r="C597" s="802"/>
      <c r="D597" s="1891" t="s">
        <v>1279</v>
      </c>
      <c r="E597" s="1891"/>
      <c r="F597" s="1891"/>
      <c r="G597" s="803"/>
    </row>
    <row r="598" spans="1:7">
      <c r="D598" s="1891"/>
      <c r="E598" s="1891"/>
      <c r="F598" s="1891"/>
    </row>
    <row r="599" spans="1:7">
      <c r="D599" s="1891"/>
      <c r="E599" s="1891"/>
      <c r="F599" s="1891"/>
    </row>
    <row r="600" spans="1:7"/>
    <row r="601" spans="1:7">
      <c r="A601" s="1872" t="s">
        <v>1178</v>
      </c>
      <c r="B601" s="1872"/>
      <c r="C601" s="1872"/>
      <c r="D601" s="1872"/>
      <c r="E601" s="1872"/>
      <c r="F601" s="1872"/>
      <c r="G601" s="1872"/>
    </row>
    <row r="602" spans="1:7">
      <c r="A602" s="801"/>
      <c r="B602" s="801"/>
      <c r="G602" s="820"/>
    </row>
    <row r="603" spans="1:7">
      <c r="A603" s="840"/>
      <c r="B603" s="840"/>
      <c r="C603" s="794"/>
      <c r="D603" s="1929" t="s">
        <v>1280</v>
      </c>
      <c r="E603" s="1929"/>
      <c r="F603" s="1929"/>
      <c r="G603" s="820"/>
    </row>
    <row r="604" spans="1:7">
      <c r="A604" s="840"/>
      <c r="B604" s="840"/>
      <c r="C604" s="794"/>
      <c r="D604" s="1929"/>
      <c r="E604" s="1929"/>
      <c r="F604" s="1929"/>
      <c r="G604" s="820"/>
    </row>
    <row r="605" spans="1:7">
      <c r="C605" s="796"/>
      <c r="D605" s="1928" t="s">
        <v>1281</v>
      </c>
      <c r="E605" s="1928"/>
      <c r="F605" s="1928"/>
      <c r="G605" s="820"/>
    </row>
    <row r="606" spans="1:7">
      <c r="C606" s="796"/>
      <c r="D606" s="781"/>
      <c r="E606" s="781"/>
      <c r="F606" s="781"/>
      <c r="G606" s="820"/>
    </row>
    <row r="607" spans="1:7">
      <c r="A607" s="817"/>
      <c r="B607" s="799" t="s">
        <v>2615</v>
      </c>
      <c r="D607" s="1928" t="s">
        <v>455</v>
      </c>
      <c r="E607" s="1928"/>
      <c r="F607" s="1928"/>
      <c r="G607" s="820"/>
    </row>
    <row r="608" spans="1:7">
      <c r="C608" s="841"/>
      <c r="E608" s="791"/>
      <c r="G608" s="820"/>
    </row>
    <row r="609" spans="1:7">
      <c r="A609" s="817"/>
      <c r="B609" s="799" t="s">
        <v>2615</v>
      </c>
      <c r="D609" s="1888" t="s">
        <v>1282</v>
      </c>
      <c r="E609" s="1888"/>
      <c r="F609" s="1888"/>
      <c r="G609" s="820"/>
    </row>
    <row r="610" spans="1:7">
      <c r="D610" s="1888"/>
      <c r="E610" s="1888"/>
      <c r="F610" s="1888"/>
      <c r="G610" s="820"/>
    </row>
    <row r="611" spans="1:7">
      <c r="D611" s="791"/>
      <c r="G611" s="820"/>
    </row>
    <row r="612" spans="1:7">
      <c r="B612" s="799" t="s">
        <v>2615</v>
      </c>
      <c r="D612" s="1888" t="s">
        <v>1283</v>
      </c>
      <c r="E612" s="1888"/>
      <c r="F612" s="1888"/>
      <c r="G612" s="820"/>
    </row>
    <row r="613" spans="1:7">
      <c r="C613" s="841"/>
      <c r="D613" s="1888"/>
      <c r="E613" s="1888"/>
      <c r="F613" s="1888"/>
      <c r="G613" s="820"/>
    </row>
    <row r="614" spans="1:7">
      <c r="C614" s="841"/>
      <c r="G614" s="820"/>
    </row>
    <row r="615" spans="1:7">
      <c r="B615" s="799" t="s">
        <v>2467</v>
      </c>
      <c r="C615" s="841"/>
      <c r="D615" s="1888" t="s">
        <v>1284</v>
      </c>
      <c r="E615" s="1888"/>
      <c r="F615" s="1888"/>
      <c r="G615" s="820"/>
    </row>
    <row r="616" spans="1:7">
      <c r="C616" s="841"/>
      <c r="D616" s="1888"/>
      <c r="E616" s="1888"/>
      <c r="F616" s="1888"/>
      <c r="G616" s="820"/>
    </row>
    <row r="617" spans="1:7">
      <c r="C617" s="841"/>
      <c r="G617" s="820"/>
    </row>
    <row r="618" spans="1:7">
      <c r="A618" s="1872" t="s">
        <v>1179</v>
      </c>
      <c r="B618" s="1872"/>
      <c r="C618" s="1872"/>
      <c r="D618" s="1872"/>
      <c r="E618" s="1872"/>
      <c r="F618" s="1872"/>
      <c r="G618" s="1872"/>
    </row>
    <row r="619" spans="1:7">
      <c r="A619" s="842"/>
      <c r="B619" s="842"/>
      <c r="C619" s="842"/>
      <c r="G619" s="820"/>
    </row>
    <row r="620" spans="1:7">
      <c r="C620" s="817"/>
      <c r="D620" s="1889" t="s">
        <v>1285</v>
      </c>
      <c r="E620" s="1889"/>
      <c r="F620" s="1889"/>
      <c r="G620" s="820"/>
    </row>
    <row r="621" spans="1:7">
      <c r="A621" s="817"/>
      <c r="B621" s="817"/>
      <c r="C621" s="819"/>
      <c r="D621" s="795"/>
      <c r="G621" s="820"/>
    </row>
    <row r="622" spans="1:7" ht="14.25">
      <c r="A622" s="798"/>
      <c r="B622" s="799" t="s">
        <v>2615</v>
      </c>
      <c r="C622" s="819"/>
      <c r="D622" s="1890" t="s">
        <v>1512</v>
      </c>
      <c r="E622" s="1890"/>
      <c r="F622" s="1890"/>
      <c r="G622" s="820"/>
    </row>
    <row r="623" spans="1:7">
      <c r="C623" s="819"/>
      <c r="D623" s="1890"/>
      <c r="E623" s="1890"/>
      <c r="F623" s="1890"/>
      <c r="G623" s="820"/>
    </row>
    <row r="624" spans="1:7">
      <c r="C624" s="819"/>
      <c r="D624" s="1890"/>
      <c r="E624" s="1890"/>
      <c r="F624" s="1890"/>
      <c r="G624" s="820"/>
    </row>
    <row r="625" spans="1:7">
      <c r="C625" s="819"/>
      <c r="D625" s="1890"/>
      <c r="E625" s="1890"/>
      <c r="F625" s="1890"/>
      <c r="G625" s="820"/>
    </row>
    <row r="626" spans="1:7">
      <c r="C626" s="819"/>
      <c r="D626" s="1890"/>
      <c r="E626" s="1890"/>
      <c r="F626" s="1890"/>
      <c r="G626" s="820"/>
    </row>
    <row r="627" spans="1:7">
      <c r="C627" s="819"/>
      <c r="D627" s="1890"/>
      <c r="E627" s="1890"/>
      <c r="F627" s="1890"/>
      <c r="G627" s="820"/>
    </row>
    <row r="628" spans="1:7">
      <c r="C628" s="819"/>
      <c r="D628" s="785"/>
      <c r="E628" s="785"/>
      <c r="F628" s="785"/>
      <c r="G628" s="820"/>
    </row>
    <row r="629" spans="1:7" ht="14.25">
      <c r="A629" s="798"/>
      <c r="B629" s="799" t="s">
        <v>2467</v>
      </c>
      <c r="C629" s="819"/>
      <c r="D629" s="1890" t="s">
        <v>1287</v>
      </c>
      <c r="E629" s="1890"/>
      <c r="F629" s="1890"/>
      <c r="G629" s="820"/>
    </row>
    <row r="630" spans="1:7">
      <c r="A630" s="830"/>
      <c r="B630" s="830"/>
      <c r="C630" s="830"/>
      <c r="D630" s="1890"/>
      <c r="E630" s="1890"/>
      <c r="F630" s="1890"/>
      <c r="G630" s="820"/>
    </row>
    <row r="631" spans="1:7">
      <c r="A631" s="830"/>
      <c r="B631" s="830"/>
      <c r="C631" s="830"/>
      <c r="D631" s="786"/>
      <c r="E631" s="843"/>
      <c r="F631" s="843"/>
      <c r="G631" s="820"/>
    </row>
    <row r="632" spans="1:7" ht="14.25">
      <c r="A632" s="798"/>
      <c r="B632" s="799" t="s">
        <v>2467</v>
      </c>
      <c r="C632" s="830"/>
      <c r="D632" s="1891" t="s">
        <v>1448</v>
      </c>
      <c r="E632" s="1891"/>
      <c r="F632" s="1891"/>
      <c r="G632" s="820"/>
    </row>
    <row r="633" spans="1:7" ht="14.25">
      <c r="A633" s="798"/>
      <c r="B633" s="798"/>
      <c r="C633" s="830"/>
      <c r="D633" s="1891"/>
      <c r="E633" s="1891"/>
      <c r="F633" s="1891"/>
      <c r="G633" s="820"/>
    </row>
    <row r="634" spans="1:7" ht="14.25">
      <c r="A634" s="798"/>
      <c r="B634" s="798"/>
      <c r="C634" s="830"/>
      <c r="D634" s="1891"/>
      <c r="E634" s="1891"/>
      <c r="F634" s="1891"/>
      <c r="G634" s="820"/>
    </row>
    <row r="635" spans="1:7">
      <c r="A635" s="830"/>
      <c r="B635" s="799" t="s">
        <v>2467</v>
      </c>
      <c r="C635" s="830"/>
      <c r="D635" s="1892" t="s">
        <v>1289</v>
      </c>
      <c r="E635" s="1892"/>
      <c r="F635" s="1892"/>
      <c r="G635" s="820"/>
    </row>
    <row r="636" spans="1:7">
      <c r="A636" s="830"/>
      <c r="B636" s="830"/>
      <c r="C636" s="830"/>
      <c r="D636" s="728"/>
      <c r="E636" s="728"/>
      <c r="F636" s="728"/>
      <c r="G636" s="820"/>
    </row>
    <row r="637" spans="1:7">
      <c r="A637" s="1872" t="s">
        <v>1180</v>
      </c>
      <c r="B637" s="1872"/>
      <c r="C637" s="1872"/>
      <c r="D637" s="1872"/>
      <c r="E637" s="1872"/>
      <c r="F637" s="1872"/>
      <c r="G637" s="1872"/>
    </row>
    <row r="638" spans="1:7">
      <c r="A638" s="801"/>
      <c r="B638" s="801"/>
      <c r="C638" s="830"/>
      <c r="D638" s="843"/>
      <c r="E638" s="843"/>
      <c r="F638" s="843"/>
      <c r="G638" s="820"/>
    </row>
    <row r="639" spans="1:7">
      <c r="C639" s="842"/>
      <c r="D639" s="1990" t="s">
        <v>1339</v>
      </c>
      <c r="E639" s="1990"/>
      <c r="F639" s="1990"/>
      <c r="G639" s="820"/>
    </row>
    <row r="640" spans="1:7">
      <c r="A640" s="796"/>
      <c r="B640" s="796"/>
      <c r="C640" s="796"/>
      <c r="D640" s="1991" t="s">
        <v>1340</v>
      </c>
      <c r="E640" s="1991"/>
      <c r="F640" s="1991"/>
      <c r="G640" s="820"/>
    </row>
    <row r="641" spans="1:7">
      <c r="A641" s="796"/>
      <c r="B641" s="796"/>
      <c r="C641" s="796"/>
      <c r="D641" s="728"/>
      <c r="E641" s="728"/>
      <c r="F641" s="728"/>
      <c r="G641" s="820"/>
    </row>
    <row r="642" spans="1:7" ht="12.75" customHeight="1">
      <c r="B642" s="799" t="s">
        <v>2467</v>
      </c>
      <c r="C642" s="830"/>
      <c r="D642" s="1983" t="s">
        <v>1534</v>
      </c>
      <c r="E642" s="1983"/>
      <c r="F642" s="1983"/>
    </row>
    <row r="643" spans="1:7">
      <c r="D643" s="1983"/>
      <c r="E643" s="1983"/>
      <c r="F643" s="1983"/>
    </row>
    <row r="644" spans="1:7">
      <c r="D644" s="1983"/>
      <c r="E644" s="1983"/>
      <c r="F644" s="1983"/>
    </row>
    <row r="645" spans="1:7">
      <c r="D645" s="1983"/>
      <c r="E645" s="1983"/>
      <c r="F645" s="1983"/>
    </row>
    <row r="646" spans="1:7" ht="14.45" customHeight="1">
      <c r="A646" s="798"/>
      <c r="B646" s="798"/>
      <c r="C646" s="830"/>
      <c r="D646" s="902"/>
      <c r="E646" s="902"/>
      <c r="F646" s="902"/>
      <c r="G646" s="820"/>
    </row>
    <row r="647" spans="1:7" ht="12.75" customHeight="1">
      <c r="A647" s="796"/>
      <c r="B647" s="799" t="s">
        <v>2467</v>
      </c>
      <c r="C647" s="830"/>
      <c r="D647" s="1983" t="s">
        <v>1537</v>
      </c>
      <c r="E647" s="1983"/>
      <c r="F647" s="1983"/>
      <c r="G647" s="820"/>
    </row>
    <row r="648" spans="1:7" ht="14.25">
      <c r="A648" s="796"/>
      <c r="B648" s="798"/>
      <c r="C648" s="830"/>
      <c r="D648" s="1983"/>
      <c r="E648" s="1983"/>
      <c r="F648" s="1983"/>
      <c r="G648" s="820"/>
    </row>
    <row r="649" spans="1:7" ht="14.25">
      <c r="A649" s="796"/>
      <c r="B649" s="798"/>
      <c r="C649" s="830"/>
      <c r="D649" s="1983"/>
      <c r="E649" s="1983"/>
      <c r="F649" s="1983"/>
      <c r="G649" s="820"/>
    </row>
    <row r="650" spans="1:7" ht="14.25">
      <c r="A650" s="796"/>
      <c r="B650" s="798"/>
      <c r="C650" s="830"/>
      <c r="D650" s="1983"/>
      <c r="E650" s="1983"/>
      <c r="F650" s="1983"/>
      <c r="G650" s="820"/>
    </row>
    <row r="651" spans="1:7" ht="14.25">
      <c r="A651" s="796"/>
      <c r="B651" s="798"/>
      <c r="C651" s="830"/>
      <c r="D651" s="1983"/>
      <c r="E651" s="1983"/>
      <c r="F651" s="1983"/>
      <c r="G651" s="820"/>
    </row>
    <row r="652" spans="1:7" ht="14.25" customHeight="1">
      <c r="A652" s="796"/>
      <c r="B652" s="798"/>
      <c r="C652" s="830"/>
      <c r="F652" s="903"/>
      <c r="G652" s="820"/>
    </row>
    <row r="653" spans="1:7" ht="12.75" customHeight="1">
      <c r="A653" s="796"/>
      <c r="B653" s="799" t="s">
        <v>2467</v>
      </c>
      <c r="C653" s="830"/>
      <c r="D653" s="1983" t="s">
        <v>1535</v>
      </c>
      <c r="E653" s="1983"/>
      <c r="F653" s="1983"/>
      <c r="G653" s="820"/>
    </row>
    <row r="654" spans="1:7" ht="14.25">
      <c r="A654" s="796"/>
      <c r="B654" s="798"/>
      <c r="C654" s="830"/>
      <c r="D654" s="1983"/>
      <c r="E654" s="1983"/>
      <c r="F654" s="1983"/>
      <c r="G654" s="820"/>
    </row>
    <row r="655" spans="1:7" ht="14.25">
      <c r="A655" s="798"/>
      <c r="B655" s="798"/>
      <c r="C655" s="830"/>
      <c r="D655" s="1983"/>
      <c r="E655" s="1983"/>
      <c r="F655" s="1983"/>
      <c r="G655" s="820"/>
    </row>
    <row r="656" spans="1:7" ht="14.25">
      <c r="A656" s="798"/>
      <c r="B656" s="798"/>
      <c r="C656" s="830"/>
      <c r="D656" s="1983"/>
      <c r="E656" s="1983"/>
      <c r="F656" s="1983"/>
      <c r="G656" s="820"/>
    </row>
    <row r="657" spans="1:11" ht="14.25">
      <c r="A657" s="798"/>
      <c r="B657" s="798"/>
      <c r="C657" s="830"/>
      <c r="D657" s="894"/>
      <c r="E657" s="894"/>
      <c r="F657" s="894"/>
      <c r="G657" s="820"/>
    </row>
    <row r="658" spans="1:11" ht="12.75" customHeight="1">
      <c r="A658" s="796"/>
      <c r="B658" s="799" t="s">
        <v>2467</v>
      </c>
      <c r="C658" s="830"/>
      <c r="D658" s="1983" t="s">
        <v>1536</v>
      </c>
      <c r="E658" s="1983"/>
      <c r="F658" s="1983"/>
      <c r="G658" s="820"/>
    </row>
    <row r="659" spans="1:11" ht="12.75" customHeight="1">
      <c r="A659" s="796"/>
      <c r="B659" s="798"/>
      <c r="C659" s="830"/>
      <c r="D659" s="1983"/>
      <c r="E659" s="1983"/>
      <c r="F659" s="1983"/>
      <c r="G659" s="820"/>
    </row>
    <row r="660" spans="1:11" ht="12.75" customHeight="1">
      <c r="A660" s="796"/>
      <c r="B660" s="798"/>
      <c r="C660" s="830"/>
      <c r="D660" s="1983"/>
      <c r="E660" s="1983"/>
      <c r="F660" s="1983"/>
      <c r="G660" s="820"/>
    </row>
    <row r="661" spans="1:11" ht="12.75" customHeight="1">
      <c r="A661" s="796"/>
      <c r="B661" s="798"/>
      <c r="C661" s="830"/>
      <c r="D661" s="1983"/>
      <c r="E661" s="1983"/>
      <c r="F661" s="1983"/>
      <c r="G661" s="820"/>
    </row>
    <row r="662" spans="1:11" ht="12.75" customHeight="1">
      <c r="A662" s="796"/>
      <c r="B662" s="798"/>
      <c r="C662" s="830"/>
      <c r="D662" s="1983"/>
      <c r="E662" s="1983"/>
      <c r="F662" s="1983"/>
      <c r="G662" s="820"/>
    </row>
    <row r="663" spans="1:11" ht="12.75" customHeight="1">
      <c r="A663" s="796"/>
      <c r="B663" s="798"/>
      <c r="C663" s="830"/>
      <c r="D663" s="1983"/>
      <c r="E663" s="1983"/>
      <c r="F663" s="1983"/>
      <c r="G663" s="820"/>
    </row>
    <row r="664" spans="1:11" ht="12.75" customHeight="1">
      <c r="A664" s="796"/>
      <c r="B664" s="798"/>
      <c r="C664" s="830"/>
      <c r="D664" s="1983"/>
      <c r="E664" s="1983"/>
      <c r="F664" s="1983"/>
      <c r="G664" s="820"/>
    </row>
    <row r="665" spans="1:11" ht="12.75" customHeight="1">
      <c r="A665" s="796"/>
      <c r="B665" s="798"/>
      <c r="C665" s="830"/>
      <c r="D665" s="1983"/>
      <c r="E665" s="1983"/>
      <c r="F665" s="1983"/>
      <c r="G665" s="820"/>
    </row>
    <row r="666" spans="1:11" ht="12.75" customHeight="1">
      <c r="A666" s="796"/>
      <c r="B666" s="798"/>
      <c r="C666" s="830"/>
      <c r="D666" s="1983"/>
      <c r="E666" s="1983"/>
      <c r="F666" s="1983"/>
      <c r="G666" s="820"/>
    </row>
    <row r="667" spans="1:11">
      <c r="A667" s="830"/>
      <c r="B667" s="830"/>
      <c r="C667" s="830"/>
      <c r="D667" s="843"/>
      <c r="E667" s="843"/>
      <c r="F667" s="843"/>
      <c r="G667" s="820"/>
    </row>
    <row r="668" spans="1:11">
      <c r="A668" s="1872" t="s">
        <v>1181</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89" t="s">
        <v>104</v>
      </c>
      <c r="E670" s="1889"/>
      <c r="F670" s="1889"/>
      <c r="G670" s="820"/>
      <c r="H670" s="844"/>
      <c r="I670" s="844"/>
      <c r="J670" s="844"/>
      <c r="K670" s="844"/>
    </row>
    <row r="671" spans="1:11">
      <c r="A671" s="842"/>
      <c r="B671" s="842"/>
      <c r="C671" s="842"/>
      <c r="D671" s="1889" t="s">
        <v>128</v>
      </c>
      <c r="E671" s="1889"/>
      <c r="F671" s="1889"/>
      <c r="G671" s="820"/>
      <c r="H671" s="844"/>
      <c r="I671" s="844"/>
      <c r="J671" s="844"/>
      <c r="K671" s="844"/>
    </row>
    <row r="672" spans="1:11">
      <c r="A672" s="796"/>
      <c r="B672" s="796"/>
      <c r="C672" s="796"/>
      <c r="D672" s="1892" t="s">
        <v>1217</v>
      </c>
      <c r="E672" s="1892"/>
      <c r="F672" s="1892"/>
      <c r="G672" s="820"/>
      <c r="H672" s="844"/>
      <c r="I672" s="844"/>
      <c r="J672" s="844"/>
      <c r="K672" s="844"/>
    </row>
    <row r="673" spans="1:11">
      <c r="A673" s="796"/>
      <c r="B673" s="796"/>
      <c r="C673" s="796"/>
      <c r="G673" s="820"/>
      <c r="H673" s="844"/>
      <c r="I673" s="844"/>
      <c r="J673" s="844"/>
      <c r="K673" s="844"/>
    </row>
    <row r="674" spans="1:11" ht="14.25">
      <c r="A674" s="798"/>
      <c r="B674" s="799" t="s">
        <v>2467</v>
      </c>
      <c r="C674" s="796"/>
      <c r="D674" s="1892" t="s">
        <v>955</v>
      </c>
      <c r="E674" s="1892"/>
      <c r="F674" s="1892"/>
      <c r="G674" s="820"/>
      <c r="H674" s="844"/>
      <c r="I674" s="844"/>
      <c r="J674" s="844"/>
      <c r="K674" s="844"/>
    </row>
    <row r="675" spans="1:11">
      <c r="A675" s="796"/>
      <c r="B675" s="796"/>
      <c r="C675" s="796"/>
      <c r="D675" s="1892" t="s">
        <v>966</v>
      </c>
      <c r="E675" s="1892"/>
      <c r="F675" s="1892"/>
      <c r="G675" s="820"/>
      <c r="H675" s="844"/>
      <c r="I675" s="844"/>
      <c r="J675" s="844"/>
      <c r="K675" s="844"/>
    </row>
    <row r="676" spans="1:11">
      <c r="A676" s="796"/>
      <c r="B676" s="796"/>
      <c r="C676" s="796"/>
      <c r="D676" s="673"/>
      <c r="E676" s="1971" t="s">
        <v>1218</v>
      </c>
      <c r="F676" s="1971"/>
      <c r="G676" s="820"/>
      <c r="H676" s="844"/>
      <c r="I676" s="844"/>
      <c r="J676" s="844"/>
      <c r="K676" s="844"/>
    </row>
    <row r="677" spans="1:11">
      <c r="A677" s="796"/>
      <c r="B677" s="796"/>
      <c r="C677" s="796"/>
      <c r="D677" s="673"/>
      <c r="E677" s="1971"/>
      <c r="F677" s="1971"/>
      <c r="G677" s="820"/>
      <c r="H677" s="844"/>
      <c r="I677" s="844"/>
      <c r="J677" s="844"/>
      <c r="K677" s="844"/>
    </row>
    <row r="678" spans="1:11">
      <c r="A678" s="796"/>
      <c r="B678" s="796"/>
      <c r="C678" s="796"/>
      <c r="D678" s="845"/>
      <c r="E678" s="801"/>
      <c r="G678" s="820"/>
      <c r="H678" s="844"/>
      <c r="I678" s="844"/>
      <c r="J678" s="844"/>
      <c r="K678" s="844"/>
    </row>
    <row r="679" spans="1:11" ht="14.25">
      <c r="A679" s="798"/>
      <c r="B679" s="799" t="s">
        <v>2615</v>
      </c>
      <c r="C679" s="796"/>
      <c r="D679" s="1890" t="s">
        <v>1414</v>
      </c>
      <c r="E679" s="1890"/>
      <c r="F679" s="1890"/>
      <c r="G679" s="820"/>
      <c r="H679" s="844"/>
      <c r="I679" s="844"/>
      <c r="J679" s="844"/>
      <c r="K679" s="844"/>
    </row>
    <row r="680" spans="1:11">
      <c r="A680" s="817"/>
      <c r="B680" s="817"/>
      <c r="C680" s="796"/>
      <c r="D680" s="1890"/>
      <c r="E680" s="1890"/>
      <c r="F680" s="1890"/>
      <c r="G680" s="820"/>
      <c r="H680" s="844"/>
      <c r="I680" s="844"/>
      <c r="J680" s="844"/>
      <c r="K680" s="844"/>
    </row>
    <row r="681" spans="1:11">
      <c r="A681" s="796"/>
      <c r="B681" s="796"/>
      <c r="C681" s="796"/>
      <c r="D681" s="1890"/>
      <c r="E681" s="1890"/>
      <c r="F681" s="1890"/>
      <c r="G681" s="820"/>
      <c r="H681" s="844"/>
      <c r="I681" s="844"/>
      <c r="J681" s="844"/>
      <c r="K681" s="844"/>
    </row>
    <row r="682" spans="1:11">
      <c r="A682" s="796"/>
      <c r="B682" s="796"/>
      <c r="C682" s="796"/>
      <c r="G682" s="820"/>
      <c r="H682" s="844"/>
      <c r="I682" s="844"/>
      <c r="J682" s="844"/>
      <c r="K682" s="844"/>
    </row>
    <row r="683" spans="1:11" ht="14.25">
      <c r="A683" s="798"/>
      <c r="B683" s="799" t="s">
        <v>2615</v>
      </c>
      <c r="C683" s="796"/>
      <c r="D683" s="1892" t="s">
        <v>995</v>
      </c>
      <c r="E683" s="1892"/>
      <c r="F683" s="1892"/>
      <c r="G683" s="820"/>
      <c r="H683" s="844"/>
      <c r="I683" s="844"/>
      <c r="J683" s="844"/>
      <c r="K683" s="844"/>
    </row>
    <row r="684" spans="1:11" ht="14.25">
      <c r="A684" s="798"/>
      <c r="B684" s="798"/>
      <c r="C684" s="796"/>
      <c r="D684" s="1892" t="s">
        <v>966</v>
      </c>
      <c r="E684" s="1892"/>
      <c r="F684" s="1892"/>
      <c r="G684" s="820"/>
      <c r="H684" s="844"/>
      <c r="I684" s="844"/>
      <c r="J684" s="844"/>
      <c r="K684" s="844"/>
    </row>
    <row r="685" spans="1:11">
      <c r="A685" s="796"/>
      <c r="B685" s="796"/>
      <c r="C685" s="796"/>
      <c r="D685" s="673"/>
      <c r="E685" s="1969" t="s">
        <v>1220</v>
      </c>
      <c r="F685" s="1969"/>
      <c r="G685" s="820"/>
      <c r="H685" s="844"/>
      <c r="I685" s="844"/>
      <c r="J685" s="844"/>
      <c r="K685" s="844"/>
    </row>
    <row r="686" spans="1:11">
      <c r="A686" s="796"/>
      <c r="B686" s="796"/>
      <c r="C686" s="796"/>
      <c r="D686" s="795"/>
      <c r="G686" s="820"/>
      <c r="H686" s="844"/>
      <c r="I686" s="844"/>
      <c r="J686" s="844"/>
      <c r="K686" s="844"/>
    </row>
    <row r="687" spans="1:11" ht="14.25">
      <c r="A687" s="798"/>
      <c r="B687" s="799" t="s">
        <v>2467</v>
      </c>
      <c r="C687" s="796"/>
      <c r="D687" s="1970" t="s">
        <v>1230</v>
      </c>
      <c r="E687" s="1970"/>
      <c r="F687" s="1970"/>
      <c r="G687" s="820"/>
      <c r="H687" s="844"/>
      <c r="I687" s="844"/>
      <c r="J687" s="844"/>
      <c r="K687" s="844"/>
    </row>
    <row r="688" spans="1:11">
      <c r="A688" s="796"/>
      <c r="B688" s="796"/>
      <c r="C688" s="796"/>
      <c r="D688" s="1970"/>
      <c r="E688" s="1970"/>
      <c r="F688" s="1970"/>
      <c r="G688" s="820"/>
      <c r="H688" s="844"/>
      <c r="I688" s="844"/>
      <c r="J688" s="844"/>
      <c r="K688" s="844"/>
    </row>
    <row r="689" spans="1:11">
      <c r="A689" s="796"/>
      <c r="B689" s="796"/>
      <c r="C689" s="796"/>
      <c r="D689" s="1970"/>
      <c r="E689" s="1970"/>
      <c r="F689" s="1970"/>
      <c r="G689" s="820"/>
      <c r="H689" s="844"/>
      <c r="I689" s="844"/>
      <c r="J689" s="844"/>
      <c r="K689" s="844"/>
    </row>
    <row r="690" spans="1:11">
      <c r="A690" s="796"/>
      <c r="B690" s="796"/>
      <c r="C690" s="796"/>
      <c r="D690" s="1970"/>
      <c r="E690" s="1970"/>
      <c r="F690" s="1970"/>
      <c r="G690" s="820"/>
      <c r="H690" s="844"/>
      <c r="I690" s="844"/>
      <c r="J690" s="844"/>
      <c r="K690" s="844"/>
    </row>
    <row r="691" spans="1:11">
      <c r="A691" s="796"/>
      <c r="B691" s="796"/>
      <c r="C691" s="796"/>
      <c r="D691" s="1970"/>
      <c r="E691" s="1970"/>
      <c r="F691" s="1970"/>
      <c r="G691" s="820"/>
      <c r="H691" s="844"/>
      <c r="I691" s="844"/>
      <c r="J691" s="844"/>
      <c r="K691" s="844"/>
    </row>
    <row r="692" spans="1:11" s="792" customFormat="1">
      <c r="A692" s="836"/>
      <c r="B692" s="836"/>
      <c r="C692" s="836"/>
      <c r="D692" s="1970"/>
      <c r="E692" s="1970"/>
      <c r="F692" s="197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2467</v>
      </c>
      <c r="C694" s="836"/>
      <c r="D694" s="1970" t="s">
        <v>1416</v>
      </c>
      <c r="E694" s="1970"/>
      <c r="F694" s="1970"/>
      <c r="G694" s="846"/>
      <c r="H694" s="847"/>
      <c r="I694" s="847"/>
      <c r="J694" s="847"/>
      <c r="K694" s="847"/>
    </row>
    <row r="695" spans="1:11" s="792" customFormat="1">
      <c r="A695" s="836"/>
      <c r="B695" s="836"/>
      <c r="C695" s="836"/>
      <c r="D695" s="1970"/>
      <c r="E695" s="1970"/>
      <c r="F695" s="1970"/>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2467</v>
      </c>
      <c r="C697" s="796"/>
      <c r="D697" s="1970" t="s">
        <v>1221</v>
      </c>
      <c r="E697" s="1970"/>
      <c r="F697" s="1970"/>
      <c r="G697" s="820"/>
      <c r="H697" s="844"/>
      <c r="I697" s="844"/>
      <c r="J697" s="844"/>
      <c r="K697" s="844"/>
    </row>
    <row r="698" spans="1:11">
      <c r="A698" s="796"/>
      <c r="B698" s="796"/>
      <c r="C698" s="796"/>
      <c r="D698" s="1970"/>
      <c r="E698" s="1970"/>
      <c r="F698" s="1970"/>
      <c r="G698" s="820"/>
      <c r="H698" s="844"/>
      <c r="I698" s="844"/>
      <c r="J698" s="844"/>
      <c r="K698" s="844"/>
    </row>
    <row r="699" spans="1:11">
      <c r="A699" s="796"/>
      <c r="B699" s="796"/>
      <c r="C699" s="796"/>
      <c r="D699" s="1970"/>
      <c r="E699" s="1970"/>
      <c r="F699" s="1970"/>
      <c r="G699" s="820"/>
      <c r="H699" s="844"/>
      <c r="I699" s="844"/>
      <c r="J699" s="844"/>
      <c r="K699" s="844"/>
    </row>
    <row r="700" spans="1:11" ht="15" customHeight="1">
      <c r="A700" s="796"/>
      <c r="B700" s="796"/>
      <c r="C700" s="796"/>
      <c r="D700" s="1970"/>
      <c r="E700" s="1970"/>
      <c r="F700" s="1970"/>
      <c r="G700" s="820"/>
      <c r="H700" s="844"/>
      <c r="I700" s="844"/>
      <c r="J700" s="844"/>
      <c r="K700" s="844"/>
    </row>
    <row r="701" spans="1:11" ht="15" customHeight="1">
      <c r="A701" s="796"/>
      <c r="B701" s="796"/>
      <c r="C701" s="796"/>
      <c r="D701" s="1970"/>
      <c r="E701" s="1970"/>
      <c r="F701" s="1970"/>
      <c r="G701" s="820"/>
      <c r="H701" s="844"/>
      <c r="I701" s="844"/>
      <c r="J701" s="844"/>
      <c r="K701" s="844"/>
    </row>
    <row r="702" spans="1:11">
      <c r="A702" s="796"/>
      <c r="B702" s="796"/>
      <c r="C702" s="796"/>
      <c r="D702" s="1970"/>
      <c r="E702" s="1970"/>
      <c r="F702" s="1970"/>
      <c r="G702" s="820"/>
      <c r="H702" s="844"/>
      <c r="I702" s="844"/>
      <c r="J702" s="844"/>
      <c r="K702" s="844"/>
    </row>
    <row r="703" spans="1:11">
      <c r="A703" s="796"/>
      <c r="B703" s="796"/>
      <c r="C703" s="796"/>
      <c r="D703" s="1970"/>
      <c r="E703" s="1970"/>
      <c r="F703" s="1970"/>
      <c r="G703" s="820"/>
      <c r="H703" s="844"/>
      <c r="I703" s="844"/>
      <c r="J703" s="844"/>
      <c r="K703" s="844"/>
    </row>
    <row r="704" spans="1:11">
      <c r="A704" s="796"/>
      <c r="B704" s="796"/>
      <c r="C704" s="796"/>
      <c r="D704" s="1970"/>
      <c r="E704" s="1970"/>
      <c r="F704" s="1970"/>
      <c r="G704" s="820"/>
      <c r="H704" s="844"/>
      <c r="I704" s="844"/>
      <c r="J704" s="844"/>
      <c r="K704" s="844"/>
    </row>
    <row r="705" spans="1:11" ht="15" customHeight="1">
      <c r="A705" s="796"/>
      <c r="B705" s="796"/>
      <c r="C705" s="796"/>
      <c r="D705" s="1970"/>
      <c r="E705" s="1970"/>
      <c r="F705" s="1970"/>
      <c r="G705" s="820"/>
      <c r="H705" s="844"/>
      <c r="I705" s="844"/>
      <c r="J705" s="844"/>
      <c r="K705" s="844"/>
    </row>
    <row r="706" spans="1:11">
      <c r="A706" s="796"/>
      <c r="B706" s="796"/>
      <c r="C706" s="796"/>
      <c r="D706" s="1970"/>
      <c r="E706" s="1970"/>
      <c r="F706" s="1970"/>
      <c r="G706" s="820"/>
      <c r="H706" s="844"/>
      <c r="I706" s="844"/>
      <c r="J706" s="844"/>
      <c r="K706" s="844"/>
    </row>
    <row r="707" spans="1:11">
      <c r="A707" s="796"/>
      <c r="B707" s="796"/>
      <c r="C707" s="796"/>
      <c r="D707" s="1970"/>
      <c r="E707" s="1970"/>
      <c r="F707" s="1970"/>
      <c r="G707" s="820"/>
      <c r="H707" s="844"/>
      <c r="I707" s="844"/>
      <c r="J707" s="844"/>
      <c r="K707" s="844"/>
    </row>
    <row r="708" spans="1:11">
      <c r="A708" s="796"/>
      <c r="B708" s="796"/>
      <c r="C708" s="796"/>
      <c r="D708" s="1970"/>
      <c r="E708" s="1970"/>
      <c r="F708" s="1970"/>
      <c r="G708" s="820"/>
      <c r="H708" s="844"/>
      <c r="I708" s="844"/>
      <c r="J708" s="844"/>
      <c r="K708" s="844"/>
    </row>
    <row r="709" spans="1:11">
      <c r="A709" s="796"/>
      <c r="B709" s="796"/>
      <c r="C709" s="796"/>
      <c r="D709" s="1970"/>
      <c r="E709" s="1970"/>
      <c r="F709" s="1970"/>
      <c r="G709" s="820"/>
      <c r="H709" s="844"/>
      <c r="I709" s="844"/>
      <c r="J709" s="844"/>
      <c r="K709" s="844"/>
    </row>
    <row r="710" spans="1:11">
      <c r="A710" s="796"/>
      <c r="B710" s="799" t="s">
        <v>2467</v>
      </c>
      <c r="C710" s="796"/>
      <c r="D710" s="1970" t="s">
        <v>1228</v>
      </c>
      <c r="E710" s="1970"/>
      <c r="F710" s="1970"/>
      <c r="G710" s="820"/>
      <c r="H710" s="844"/>
      <c r="I710" s="844"/>
      <c r="J710" s="844"/>
      <c r="K710" s="844"/>
    </row>
    <row r="711" spans="1:11">
      <c r="A711" s="796"/>
      <c r="B711" s="796"/>
      <c r="C711" s="796"/>
      <c r="D711" s="1970"/>
      <c r="E711" s="1970"/>
      <c r="F711" s="1970"/>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2467</v>
      </c>
      <c r="C713" s="796"/>
      <c r="D713" s="1970" t="s">
        <v>1229</v>
      </c>
      <c r="E713" s="1970"/>
      <c r="F713" s="1970"/>
      <c r="G713" s="820"/>
      <c r="H713" s="844"/>
      <c r="I713" s="844"/>
      <c r="J713" s="844"/>
      <c r="K713" s="844"/>
    </row>
    <row r="714" spans="1:11">
      <c r="A714" s="796"/>
      <c r="B714" s="796"/>
      <c r="C714" s="796"/>
      <c r="D714" s="1970"/>
      <c r="E714" s="1970"/>
      <c r="F714" s="1970"/>
      <c r="G714" s="820"/>
      <c r="H714" s="844"/>
      <c r="I714" s="844"/>
      <c r="J714" s="844"/>
      <c r="K714" s="844"/>
    </row>
    <row r="715" spans="1:11">
      <c r="A715" s="796"/>
      <c r="B715" s="796"/>
      <c r="C715" s="796"/>
      <c r="D715" s="1970"/>
      <c r="E715" s="1970"/>
      <c r="F715" s="1970"/>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2467</v>
      </c>
      <c r="C717" s="796"/>
      <c r="D717" s="1970" t="s">
        <v>1222</v>
      </c>
      <c r="E717" s="1970"/>
      <c r="F717" s="1970"/>
      <c r="G717" s="820"/>
      <c r="H717" s="844"/>
      <c r="I717" s="844"/>
      <c r="J717" s="844"/>
      <c r="K717" s="844"/>
    </row>
    <row r="718" spans="1:11">
      <c r="A718" s="796"/>
      <c r="B718" s="796"/>
      <c r="C718" s="796"/>
      <c r="D718" s="1970"/>
      <c r="E718" s="1970"/>
      <c r="F718" s="1970"/>
      <c r="G718" s="820"/>
      <c r="H718" s="844"/>
      <c r="I718" s="844"/>
      <c r="J718" s="844"/>
      <c r="K718" s="844"/>
    </row>
    <row r="719" spans="1:11">
      <c r="A719" s="796"/>
      <c r="B719" s="796"/>
      <c r="C719" s="796"/>
      <c r="D719" s="1970"/>
      <c r="E719" s="1970"/>
      <c r="F719" s="1970"/>
      <c r="G719" s="820"/>
      <c r="H719" s="844"/>
      <c r="I719" s="844"/>
      <c r="J719" s="844"/>
      <c r="K719" s="844"/>
    </row>
    <row r="720" spans="1:11">
      <c r="A720" s="796"/>
      <c r="B720" s="796"/>
      <c r="C720" s="796"/>
      <c r="D720" s="803"/>
      <c r="G720" s="820"/>
      <c r="H720" s="844"/>
      <c r="I720" s="844"/>
      <c r="J720" s="844"/>
      <c r="K720" s="844"/>
    </row>
    <row r="721" spans="1:11">
      <c r="A721" s="796"/>
      <c r="B721" s="799" t="s">
        <v>2467</v>
      </c>
      <c r="C721" s="796"/>
      <c r="D721" s="1970" t="s">
        <v>1223</v>
      </c>
      <c r="E721" s="1970"/>
      <c r="F721" s="1970"/>
      <c r="G721" s="820"/>
      <c r="H721" s="844"/>
      <c r="I721" s="844"/>
      <c r="J721" s="844"/>
      <c r="K721" s="844"/>
    </row>
    <row r="722" spans="1:11">
      <c r="A722" s="796"/>
      <c r="B722" s="796"/>
      <c r="C722" s="796"/>
      <c r="D722" s="1970"/>
      <c r="E722" s="1970"/>
      <c r="F722" s="1970"/>
      <c r="G722" s="820"/>
      <c r="H722" s="844"/>
      <c r="I722" s="844"/>
      <c r="J722" s="844"/>
      <c r="K722" s="844"/>
    </row>
    <row r="723" spans="1:11">
      <c r="A723" s="796"/>
      <c r="B723" s="796"/>
      <c r="C723" s="796"/>
      <c r="D723" s="1970"/>
      <c r="E723" s="1970"/>
      <c r="F723" s="1970"/>
      <c r="G723" s="820"/>
      <c r="H723" s="844"/>
      <c r="I723" s="844"/>
      <c r="J723" s="844"/>
      <c r="K723" s="844"/>
    </row>
    <row r="724" spans="1:11">
      <c r="A724" s="796"/>
      <c r="B724" s="796"/>
      <c r="C724" s="796"/>
      <c r="D724" s="791"/>
      <c r="G724" s="820"/>
      <c r="H724" s="844"/>
      <c r="I724" s="844"/>
      <c r="J724" s="844"/>
      <c r="K724" s="844"/>
    </row>
    <row r="725" spans="1:11" ht="14.25">
      <c r="A725" s="798"/>
      <c r="B725" s="799" t="s">
        <v>2467</v>
      </c>
      <c r="C725" s="796"/>
      <c r="D725" s="1890" t="s">
        <v>1224</v>
      </c>
      <c r="E725" s="1890"/>
      <c r="F725" s="1890"/>
      <c r="G725" s="820"/>
      <c r="H725" s="844"/>
      <c r="I725" s="844"/>
      <c r="J725" s="844"/>
      <c r="K725" s="844"/>
    </row>
    <row r="726" spans="1:11">
      <c r="A726" s="796"/>
      <c r="B726" s="796"/>
      <c r="C726" s="796"/>
      <c r="D726" s="1890"/>
      <c r="E726" s="1890"/>
      <c r="F726" s="1890"/>
      <c r="G726" s="820"/>
      <c r="H726" s="844"/>
      <c r="I726" s="844"/>
      <c r="J726" s="844"/>
      <c r="K726" s="844"/>
    </row>
    <row r="727" spans="1:11">
      <c r="A727" s="796"/>
      <c r="B727" s="796"/>
      <c r="C727" s="796"/>
      <c r="D727" s="1890"/>
      <c r="E727" s="1890"/>
      <c r="F727" s="1890"/>
      <c r="G727" s="820"/>
      <c r="H727" s="844"/>
      <c r="I727" s="844"/>
      <c r="J727" s="844"/>
      <c r="K727" s="844"/>
    </row>
    <row r="728" spans="1:11">
      <c r="A728" s="796"/>
      <c r="B728" s="796"/>
      <c r="C728" s="796"/>
      <c r="D728" s="1890"/>
      <c r="E728" s="1890"/>
      <c r="F728" s="1890"/>
      <c r="G728" s="820"/>
      <c r="H728" s="844"/>
      <c r="I728" s="844"/>
      <c r="J728" s="844"/>
      <c r="K728" s="844"/>
    </row>
    <row r="729" spans="1:11">
      <c r="A729" s="796"/>
      <c r="B729" s="796"/>
      <c r="C729" s="796"/>
      <c r="D729" s="823"/>
      <c r="G729" s="820"/>
      <c r="H729" s="844"/>
      <c r="I729" s="844"/>
      <c r="J729" s="844"/>
      <c r="K729" s="844"/>
    </row>
    <row r="730" spans="1:11" ht="14.25">
      <c r="A730" s="798"/>
      <c r="B730" s="799" t="s">
        <v>2467</v>
      </c>
      <c r="C730" s="796"/>
      <c r="D730" s="1970" t="s">
        <v>1357</v>
      </c>
      <c r="E730" s="1970"/>
      <c r="F730" s="1970"/>
      <c r="G730" s="820"/>
      <c r="H730" s="844"/>
      <c r="I730" s="844"/>
      <c r="J730" s="844"/>
      <c r="K730" s="844"/>
    </row>
    <row r="731" spans="1:11">
      <c r="A731" s="796"/>
      <c r="B731" s="796"/>
      <c r="C731" s="796"/>
      <c r="D731" s="1970"/>
      <c r="E731" s="1970"/>
      <c r="F731" s="1970"/>
      <c r="G731" s="820"/>
      <c r="H731" s="844"/>
      <c r="I731" s="844"/>
      <c r="J731" s="844"/>
      <c r="K731" s="844"/>
    </row>
    <row r="732" spans="1:11">
      <c r="A732" s="796"/>
      <c r="B732" s="796"/>
      <c r="C732" s="796"/>
      <c r="D732" s="1970"/>
      <c r="E732" s="1970"/>
      <c r="F732" s="1970"/>
      <c r="G732" s="820"/>
      <c r="H732" s="844"/>
      <c r="I732" s="844"/>
      <c r="J732" s="844"/>
      <c r="K732" s="844"/>
    </row>
    <row r="733" spans="1:11">
      <c r="A733" s="796"/>
      <c r="B733" s="796"/>
      <c r="C733" s="796"/>
      <c r="D733" s="1970"/>
      <c r="E733" s="1970"/>
      <c r="F733" s="1970"/>
      <c r="G733" s="820"/>
      <c r="H733" s="844"/>
      <c r="I733" s="844"/>
      <c r="J733" s="844"/>
      <c r="K733" s="844"/>
    </row>
    <row r="734" spans="1:11">
      <c r="A734" s="796"/>
      <c r="B734" s="796"/>
      <c r="C734" s="796"/>
      <c r="D734" s="1970"/>
      <c r="E734" s="1970"/>
      <c r="F734" s="1970"/>
      <c r="G734" s="820"/>
      <c r="H734" s="844"/>
      <c r="I734" s="844"/>
      <c r="J734" s="844"/>
      <c r="K734" s="844"/>
    </row>
    <row r="735" spans="1:11">
      <c r="A735" s="796"/>
      <c r="B735" s="796"/>
      <c r="C735" s="796"/>
      <c r="D735" s="1970"/>
      <c r="E735" s="1970"/>
      <c r="F735" s="1970"/>
      <c r="G735" s="820"/>
      <c r="H735" s="844"/>
      <c r="I735" s="844"/>
      <c r="J735" s="844"/>
      <c r="K735" s="844"/>
    </row>
    <row r="736" spans="1:11">
      <c r="A736" s="796"/>
      <c r="B736" s="796"/>
      <c r="C736" s="796"/>
      <c r="D736" s="1970"/>
      <c r="E736" s="1970"/>
      <c r="F736" s="1970"/>
      <c r="G736" s="820"/>
      <c r="H736" s="844"/>
      <c r="I736" s="844"/>
      <c r="J736" s="844"/>
      <c r="K736" s="844"/>
    </row>
    <row r="737" spans="1:11">
      <c r="A737" s="796"/>
      <c r="B737" s="796"/>
      <c r="C737" s="796"/>
      <c r="D737" s="1920" t="s">
        <v>1225</v>
      </c>
      <c r="E737" s="1920"/>
      <c r="F737" s="1920"/>
      <c r="G737" s="820"/>
      <c r="H737" s="844"/>
      <c r="I737" s="844"/>
      <c r="J737" s="844"/>
      <c r="K737" s="844"/>
    </row>
    <row r="738" spans="1:11">
      <c r="A738" s="796"/>
      <c r="B738" s="796"/>
      <c r="C738" s="796"/>
      <c r="D738" s="783"/>
      <c r="G738" s="820"/>
      <c r="H738" s="844"/>
      <c r="I738" s="844"/>
      <c r="J738" s="844"/>
      <c r="K738" s="844"/>
    </row>
    <row r="739" spans="1:11">
      <c r="A739" s="1922" t="s">
        <v>1182</v>
      </c>
      <c r="B739" s="1922"/>
      <c r="C739" s="1922"/>
      <c r="D739" s="1922"/>
      <c r="E739" s="1922"/>
      <c r="F739" s="1922"/>
      <c r="G739" s="1922"/>
      <c r="H739" s="844"/>
      <c r="I739" s="844"/>
      <c r="J739" s="844"/>
      <c r="K739" s="844"/>
    </row>
    <row r="740" spans="1:11">
      <c r="A740" s="796"/>
      <c r="B740" s="796"/>
      <c r="C740" s="796"/>
      <c r="D740" s="823"/>
      <c r="G740" s="849"/>
      <c r="H740" s="844"/>
      <c r="I740" s="844"/>
      <c r="J740" s="844"/>
      <c r="K740" s="844"/>
    </row>
    <row r="741" spans="1:11" ht="13.7" customHeight="1">
      <c r="C741" s="796"/>
      <c r="D741" s="1967" t="s">
        <v>1198</v>
      </c>
      <c r="E741" s="1967"/>
      <c r="F741" s="1967"/>
      <c r="G741" s="849"/>
      <c r="H741" s="844"/>
      <c r="I741" s="844"/>
      <c r="J741" s="844"/>
      <c r="K741" s="844"/>
    </row>
    <row r="742" spans="1:11">
      <c r="A742" s="796"/>
      <c r="B742" s="796"/>
      <c r="C742" s="796"/>
      <c r="D742" s="1916" t="s">
        <v>1199</v>
      </c>
      <c r="E742" s="1916"/>
      <c r="F742" s="1916"/>
      <c r="G742" s="849"/>
      <c r="H742" s="844"/>
      <c r="I742" s="844"/>
      <c r="J742" s="844"/>
      <c r="K742" s="844"/>
    </row>
    <row r="743" spans="1:11">
      <c r="A743" s="796"/>
      <c r="B743" s="796"/>
      <c r="C743" s="796"/>
      <c r="G743" s="849"/>
      <c r="H743" s="844"/>
      <c r="I743" s="844"/>
      <c r="J743" s="844"/>
      <c r="K743" s="844"/>
    </row>
    <row r="744" spans="1:11" s="792" customFormat="1" ht="14.25">
      <c r="A744" s="798"/>
      <c r="B744" s="799" t="s">
        <v>2615</v>
      </c>
      <c r="C744" s="789"/>
      <c r="D744" s="1890" t="s">
        <v>1200</v>
      </c>
      <c r="E744" s="1890"/>
      <c r="F744" s="1890"/>
      <c r="G744" s="849"/>
      <c r="H744" s="847"/>
      <c r="I744" s="847"/>
      <c r="J744" s="847"/>
      <c r="K744" s="847"/>
    </row>
    <row r="745" spans="1:11" s="792" customFormat="1" ht="10.5" customHeight="1">
      <c r="A745" s="789"/>
      <c r="B745" s="789"/>
      <c r="C745" s="789"/>
      <c r="D745" s="1890"/>
      <c r="E745" s="1890"/>
      <c r="F745" s="1890"/>
      <c r="G745" s="849"/>
      <c r="H745" s="847"/>
      <c r="I745" s="847"/>
      <c r="J745" s="847"/>
      <c r="K745" s="847"/>
    </row>
    <row r="746" spans="1:11" s="792" customFormat="1">
      <c r="A746" s="789"/>
      <c r="B746" s="789"/>
      <c r="C746" s="789"/>
      <c r="D746" s="1890"/>
      <c r="E746" s="1890"/>
      <c r="F746" s="1890"/>
      <c r="G746" s="849"/>
      <c r="H746" s="847"/>
      <c r="I746" s="847"/>
      <c r="J746" s="847"/>
      <c r="K746" s="847"/>
    </row>
    <row r="747" spans="1:11">
      <c r="D747" s="1890"/>
      <c r="E747" s="1890"/>
      <c r="F747" s="1890"/>
      <c r="G747" s="849"/>
      <c r="H747" s="844"/>
      <c r="I747" s="844"/>
      <c r="J747" s="844"/>
      <c r="K747" s="844"/>
    </row>
    <row r="748" spans="1:11">
      <c r="A748" s="802"/>
      <c r="B748" s="802"/>
      <c r="C748" s="802"/>
      <c r="D748" s="1890"/>
      <c r="E748" s="1890"/>
      <c r="F748" s="1890"/>
      <c r="G748" s="850"/>
      <c r="H748" s="844"/>
      <c r="I748" s="844"/>
      <c r="J748" s="844"/>
      <c r="K748" s="844"/>
    </row>
    <row r="749" spans="1:11" ht="15.6" customHeight="1">
      <c r="A749" s="802"/>
      <c r="B749" s="802"/>
      <c r="C749" s="802"/>
      <c r="D749" s="1890"/>
      <c r="E749" s="1890"/>
      <c r="F749" s="1890"/>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2615</v>
      </c>
      <c r="C751" s="853"/>
      <c r="D751" s="1891" t="s">
        <v>1468</v>
      </c>
      <c r="E751" s="1891"/>
      <c r="F751" s="1891"/>
      <c r="G751" s="854"/>
    </row>
    <row r="752" spans="1:11" s="855" customFormat="1">
      <c r="A752" s="853"/>
      <c r="B752" s="853"/>
      <c r="C752" s="853"/>
      <c r="D752" s="1891"/>
      <c r="E752" s="1891"/>
      <c r="F752" s="1891"/>
      <c r="G752" s="854"/>
    </row>
    <row r="753" spans="1:11" s="855" customFormat="1">
      <c r="A753" s="853"/>
      <c r="B753" s="853"/>
      <c r="C753" s="853"/>
      <c r="D753" s="1891"/>
      <c r="E753" s="1891"/>
      <c r="F753" s="1891"/>
      <c r="G753" s="854"/>
    </row>
    <row r="754" spans="1:11" s="855" customFormat="1">
      <c r="A754" s="853"/>
      <c r="B754" s="853"/>
      <c r="C754" s="853"/>
      <c r="D754" s="1891"/>
      <c r="E754" s="1891"/>
      <c r="F754" s="1891"/>
      <c r="G754" s="854"/>
    </row>
    <row r="755" spans="1:11" s="855" customFormat="1">
      <c r="A755" s="853"/>
      <c r="B755" s="853"/>
      <c r="C755" s="853"/>
      <c r="D755" s="839"/>
      <c r="E755" s="854"/>
      <c r="F755" s="854"/>
      <c r="G755" s="854"/>
    </row>
    <row r="756" spans="1:11" s="855" customFormat="1" ht="14.25">
      <c r="A756" s="798"/>
      <c r="B756" s="799" t="s">
        <v>2615</v>
      </c>
      <c r="C756" s="853"/>
      <c r="D756" s="1972" t="s">
        <v>1469</v>
      </c>
      <c r="E756" s="1972"/>
      <c r="F756" s="1972"/>
      <c r="G756" s="854"/>
    </row>
    <row r="757" spans="1:11" s="855" customFormat="1">
      <c r="A757" s="853"/>
      <c r="B757" s="853"/>
      <c r="C757" s="853"/>
      <c r="D757" s="1972"/>
      <c r="E757" s="1972"/>
      <c r="F757" s="1972"/>
      <c r="G757" s="854"/>
    </row>
    <row r="758" spans="1:11" s="855" customFormat="1">
      <c r="A758" s="853"/>
      <c r="B758" s="853"/>
      <c r="C758" s="853"/>
      <c r="D758" s="1972"/>
      <c r="E758" s="1972"/>
      <c r="F758" s="1972"/>
      <c r="G758" s="854"/>
    </row>
    <row r="759" spans="1:11">
      <c r="A759" s="802"/>
      <c r="B759" s="802"/>
      <c r="C759" s="802"/>
      <c r="D759" s="839"/>
      <c r="E759" s="851"/>
      <c r="F759" s="851"/>
      <c r="G759" s="850"/>
      <c r="H759" s="844"/>
      <c r="I759" s="844"/>
      <c r="J759" s="844"/>
      <c r="K759" s="844"/>
    </row>
    <row r="760" spans="1:11" ht="14.25">
      <c r="A760" s="798"/>
      <c r="B760" s="799" t="s">
        <v>2467</v>
      </c>
      <c r="C760" s="802"/>
      <c r="D760" s="1891" t="s">
        <v>1411</v>
      </c>
      <c r="E760" s="1891"/>
      <c r="F760" s="1891"/>
      <c r="G760" s="850"/>
      <c r="H760" s="844"/>
      <c r="I760" s="844"/>
      <c r="J760" s="844"/>
      <c r="K760" s="844"/>
    </row>
    <row r="761" spans="1:11">
      <c r="A761" s="802"/>
      <c r="B761" s="802"/>
      <c r="C761" s="802"/>
      <c r="D761" s="1891"/>
      <c r="E761" s="1891"/>
      <c r="F761" s="1891"/>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2467</v>
      </c>
      <c r="C763" s="802"/>
      <c r="D763" s="1891" t="s">
        <v>1433</v>
      </c>
      <c r="E763" s="1891"/>
      <c r="F763" s="1891"/>
      <c r="G763" s="850"/>
      <c r="H763" s="844"/>
      <c r="I763" s="844"/>
      <c r="J763" s="844"/>
      <c r="K763" s="844"/>
    </row>
    <row r="764" spans="1:11">
      <c r="A764" s="802"/>
      <c r="B764" s="802"/>
      <c r="C764" s="802"/>
      <c r="D764" s="1891"/>
      <c r="E764" s="1891"/>
      <c r="F764" s="1891"/>
      <c r="G764" s="850"/>
      <c r="H764" s="844"/>
      <c r="I764" s="844"/>
      <c r="J764" s="844"/>
      <c r="K764" s="844"/>
    </row>
    <row r="765" spans="1:11">
      <c r="A765" s="802"/>
      <c r="B765" s="802"/>
      <c r="C765" s="802"/>
      <c r="D765" s="1891"/>
      <c r="E765" s="1891"/>
      <c r="F765" s="1891"/>
      <c r="G765" s="850"/>
      <c r="H765" s="844"/>
      <c r="I765" s="844"/>
      <c r="J765" s="844"/>
      <c r="K765" s="844"/>
    </row>
    <row r="766" spans="1:11">
      <c r="A766" s="802"/>
      <c r="B766" s="802"/>
      <c r="C766" s="802"/>
      <c r="D766" s="782"/>
      <c r="E766" s="782"/>
      <c r="F766" s="782"/>
      <c r="G766" s="850"/>
      <c r="H766" s="844"/>
      <c r="I766" s="844"/>
      <c r="J766" s="844"/>
      <c r="K766" s="844"/>
    </row>
    <row r="767" spans="1:11">
      <c r="A767" s="1992" t="s">
        <v>2382</v>
      </c>
      <c r="B767" s="1992"/>
      <c r="C767" s="1992"/>
      <c r="D767" s="1992"/>
      <c r="E767" s="1992"/>
      <c r="F767" s="1992"/>
      <c r="G767" s="1992"/>
    </row>
    <row r="768" spans="1:11">
      <c r="A768" s="93"/>
      <c r="B768" s="93"/>
      <c r="C768" s="1739"/>
      <c r="D768" s="155"/>
      <c r="E768" s="155"/>
      <c r="F768" s="155"/>
      <c r="G768" s="687"/>
    </row>
    <row r="769" spans="1:7">
      <c r="A769" s="93"/>
      <c r="B769" s="93"/>
      <c r="C769" s="1739"/>
      <c r="D769" s="1993" t="s">
        <v>2449</v>
      </c>
      <c r="E769" s="1993"/>
      <c r="F769" s="1993"/>
      <c r="G769" s="687"/>
    </row>
    <row r="770" spans="1:7">
      <c r="A770" s="93"/>
      <c r="B770" s="93"/>
      <c r="C770" s="1739"/>
      <c r="D770" s="1989" t="s">
        <v>2285</v>
      </c>
      <c r="E770" s="1989"/>
      <c r="F770" s="1989"/>
      <c r="G770" s="687"/>
    </row>
    <row r="771" spans="1:7">
      <c r="A771" s="93"/>
      <c r="B771" s="93"/>
      <c r="C771" s="1739"/>
      <c r="D771" s="734"/>
      <c r="E771" s="734"/>
      <c r="F771" s="734"/>
      <c r="G771" s="687"/>
    </row>
    <row r="772" spans="1:7">
      <c r="A772" s="93"/>
      <c r="B772" s="799" t="s">
        <v>2615</v>
      </c>
      <c r="C772" s="1739"/>
      <c r="D772" s="1912" t="s">
        <v>2286</v>
      </c>
      <c r="E772" s="1912"/>
      <c r="F772" s="1912"/>
      <c r="G772" s="687"/>
    </row>
    <row r="773" spans="1:7">
      <c r="A773" s="93"/>
      <c r="B773" s="93"/>
      <c r="C773" s="1739"/>
      <c r="D773" s="1912"/>
      <c r="E773" s="1912"/>
      <c r="F773" s="1912"/>
      <c r="G773" s="687"/>
    </row>
    <row r="774" spans="1:7">
      <c r="A774" s="721"/>
      <c r="B774" s="721"/>
      <c r="C774" s="314"/>
      <c r="D774" s="1912"/>
      <c r="E774" s="1912"/>
      <c r="F774" s="1912"/>
      <c r="G774" s="1740"/>
    </row>
    <row r="775" spans="1:7">
      <c r="A775" s="1733"/>
      <c r="B775" s="1733"/>
      <c r="C775" s="1741"/>
      <c r="D775" s="1716"/>
      <c r="E775" s="687"/>
      <c r="F775" s="687"/>
      <c r="G775" s="687"/>
    </row>
    <row r="776" spans="1:7">
      <c r="A776" s="267"/>
      <c r="B776" s="799" t="s">
        <v>2467</v>
      </c>
      <c r="C776" s="1742"/>
      <c r="D776" s="1912" t="s">
        <v>2287</v>
      </c>
      <c r="E776" s="1912"/>
      <c r="F776" s="1912"/>
      <c r="G776" s="687"/>
    </row>
    <row r="777" spans="1:7">
      <c r="A777" s="1743"/>
      <c r="B777" s="1743"/>
      <c r="C777" s="1744"/>
      <c r="D777" s="1912"/>
      <c r="E777" s="1912"/>
      <c r="F777" s="1912"/>
      <c r="G777" s="687"/>
    </row>
    <row r="778" spans="1:7">
      <c r="A778" s="267"/>
      <c r="B778" s="267"/>
      <c r="C778" s="1742"/>
      <c r="D778" s="1912"/>
      <c r="E778" s="1912"/>
      <c r="F778" s="1912"/>
      <c r="G778" s="687"/>
    </row>
    <row r="779" spans="1:7">
      <c r="A779" s="721"/>
      <c r="B779" s="721"/>
      <c r="C779" s="314"/>
      <c r="D779" s="6"/>
      <c r="E779" s="1745"/>
      <c r="F779" s="1745"/>
      <c r="G779" s="1746"/>
    </row>
    <row r="780" spans="1:7" ht="14.25">
      <c r="A780" s="715"/>
      <c r="B780" s="799" t="s">
        <v>2467</v>
      </c>
      <c r="C780" s="1747"/>
      <c r="D780" s="1912" t="s">
        <v>2288</v>
      </c>
      <c r="E780" s="1912"/>
      <c r="F780" s="1912"/>
      <c r="G780" s="1746"/>
    </row>
    <row r="781" spans="1:7" ht="14.25">
      <c r="A781" s="715"/>
      <c r="B781" s="715"/>
      <c r="C781" s="1747"/>
      <c r="D781" s="1912"/>
      <c r="E781" s="1912"/>
      <c r="F781" s="1912"/>
      <c r="G781" s="1746"/>
    </row>
    <row r="782" spans="1:7" ht="14.25">
      <c r="A782" s="715"/>
      <c r="B782" s="715"/>
      <c r="C782" s="1747"/>
      <c r="D782" s="1912"/>
      <c r="E782" s="1912"/>
      <c r="F782" s="1912"/>
      <c r="G782" s="1746"/>
    </row>
    <row r="783" spans="1:7" ht="14.25">
      <c r="A783" s="715"/>
      <c r="B783" s="715"/>
      <c r="C783" s="1747"/>
      <c r="D783" s="1713"/>
      <c r="E783" s="6"/>
      <c r="F783" s="6"/>
      <c r="G783" s="1746"/>
    </row>
    <row r="784" spans="1:7" ht="14.25">
      <c r="A784" s="715"/>
      <c r="B784" s="799" t="s">
        <v>2467</v>
      </c>
      <c r="C784" s="1747"/>
      <c r="D784" s="1912" t="s">
        <v>2289</v>
      </c>
      <c r="E784" s="1912"/>
      <c r="F784" s="1912"/>
      <c r="G784" s="1746"/>
    </row>
    <row r="785" spans="1:7" ht="14.25">
      <c r="A785" s="715"/>
      <c r="B785" s="715"/>
      <c r="C785" s="1747"/>
      <c r="D785" s="1912"/>
      <c r="E785" s="1912"/>
      <c r="F785" s="1912"/>
      <c r="G785" s="1746"/>
    </row>
    <row r="786" spans="1:7" ht="14.25">
      <c r="A786" s="715"/>
      <c r="B786" s="715"/>
      <c r="C786" s="1747"/>
      <c r="D786" s="1912"/>
      <c r="E786" s="1912"/>
      <c r="F786" s="1912"/>
      <c r="G786" s="1746"/>
    </row>
    <row r="787" spans="1:7" ht="14.25">
      <c r="A787" s="715"/>
      <c r="B787" s="715"/>
      <c r="C787" s="1747"/>
      <c r="D787" s="1912"/>
      <c r="E787" s="1912"/>
      <c r="F787" s="1912"/>
      <c r="G787" s="1746"/>
    </row>
    <row r="788" spans="1:7" ht="14.25">
      <c r="A788" s="715"/>
      <c r="B788" s="715"/>
      <c r="C788" s="1747"/>
      <c r="D788" s="1912"/>
      <c r="E788" s="1912"/>
      <c r="F788" s="1912"/>
      <c r="G788" s="1746"/>
    </row>
    <row r="789" spans="1:7" ht="14.25">
      <c r="A789" s="715"/>
      <c r="B789" s="715"/>
      <c r="C789" s="1747"/>
      <c r="D789" s="1912"/>
      <c r="E789" s="1912"/>
      <c r="F789" s="1912"/>
      <c r="G789" s="1746"/>
    </row>
    <row r="790" spans="1:7" ht="14.25">
      <c r="A790" s="715"/>
      <c r="B790" s="715"/>
      <c r="C790" s="1747"/>
      <c r="D790" s="1912" t="s">
        <v>2383</v>
      </c>
      <c r="E790" s="1912"/>
      <c r="F790" s="1912"/>
      <c r="G790" s="1746"/>
    </row>
    <row r="791" spans="1:7" ht="14.25">
      <c r="A791" s="715"/>
      <c r="B791" s="715"/>
      <c r="C791" s="1747"/>
      <c r="D791" s="1912"/>
      <c r="E791" s="1912"/>
      <c r="F791" s="1912"/>
      <c r="G791" s="1746"/>
    </row>
    <row r="792" spans="1:7" ht="14.25">
      <c r="A792" s="715"/>
      <c r="B792" s="715"/>
      <c r="C792" s="1747"/>
      <c r="D792" s="1912"/>
      <c r="E792" s="1912"/>
      <c r="F792" s="1912"/>
      <c r="G792" s="1746"/>
    </row>
    <row r="793" spans="1:7" ht="14.25">
      <c r="A793" s="715"/>
      <c r="B793" s="557"/>
      <c r="C793" s="1747"/>
      <c r="D793" s="1748"/>
      <c r="E793" s="1748"/>
      <c r="F793" s="1748"/>
      <c r="G793" s="1746"/>
    </row>
    <row r="794" spans="1:7" ht="14.25">
      <c r="A794" s="715"/>
      <c r="B794" s="799" t="s">
        <v>2467</v>
      </c>
      <c r="C794" s="1747"/>
      <c r="D794" s="1912" t="s">
        <v>2290</v>
      </c>
      <c r="E794" s="1912"/>
      <c r="F794" s="1912"/>
      <c r="G794" s="1746"/>
    </row>
    <row r="795" spans="1:7" ht="14.25">
      <c r="A795" s="715"/>
      <c r="B795" s="715"/>
      <c r="C795" s="1747"/>
      <c r="D795" s="1912"/>
      <c r="E795" s="1912"/>
      <c r="F795" s="1912"/>
      <c r="G795" s="1746"/>
    </row>
    <row r="796" spans="1:7" ht="14.25">
      <c r="A796" s="715"/>
      <c r="B796" s="715"/>
      <c r="C796" s="1747"/>
      <c r="D796" s="1912"/>
      <c r="E796" s="1912"/>
      <c r="F796" s="1912"/>
      <c r="G796" s="1746"/>
    </row>
    <row r="797" spans="1:7" ht="14.25">
      <c r="A797" s="715"/>
      <c r="B797" s="715"/>
      <c r="C797" s="1747"/>
      <c r="D797" s="1912"/>
      <c r="E797" s="1912"/>
      <c r="F797" s="1912"/>
      <c r="G797" s="1746"/>
    </row>
    <row r="798" spans="1:7" ht="14.25">
      <c r="A798" s="715"/>
      <c r="B798" s="715"/>
      <c r="C798" s="1747"/>
      <c r="D798" s="1912"/>
      <c r="E798" s="1912"/>
      <c r="F798" s="1912"/>
      <c r="G798" s="1746"/>
    </row>
    <row r="799" spans="1:7" ht="14.25">
      <c r="A799" s="715"/>
      <c r="B799" s="715"/>
      <c r="C799" s="1747"/>
      <c r="D799" s="1912"/>
      <c r="E799" s="1912"/>
      <c r="F799" s="1912"/>
      <c r="G799" s="1746"/>
    </row>
    <row r="800" spans="1:7" ht="14.25">
      <c r="A800" s="715"/>
      <c r="B800" s="715"/>
      <c r="C800" s="1747"/>
      <c r="D800" s="1724"/>
      <c r="E800" s="1724"/>
      <c r="F800" s="1724"/>
      <c r="G800" s="1746"/>
    </row>
    <row r="801" spans="1:7" ht="14.25">
      <c r="A801" s="715"/>
      <c r="B801" s="799" t="s">
        <v>2467</v>
      </c>
      <c r="C801" s="1747"/>
      <c r="D801" s="1912" t="s">
        <v>2291</v>
      </c>
      <c r="E801" s="1912"/>
      <c r="F801" s="1912"/>
      <c r="G801" s="1746"/>
    </row>
    <row r="802" spans="1:7" ht="14.25">
      <c r="A802" s="715"/>
      <c r="B802" s="715"/>
      <c r="C802" s="1747"/>
      <c r="D802" s="1912"/>
      <c r="E802" s="1912"/>
      <c r="F802" s="1912"/>
      <c r="G802" s="1746"/>
    </row>
    <row r="803" spans="1:7" ht="14.25">
      <c r="A803" s="715"/>
      <c r="B803" s="715"/>
      <c r="C803" s="1747"/>
      <c r="D803" s="1912"/>
      <c r="E803" s="1912"/>
      <c r="F803" s="1912"/>
      <c r="G803" s="1746"/>
    </row>
    <row r="804" spans="1:7" ht="14.25">
      <c r="A804" s="715"/>
      <c r="B804" s="715"/>
      <c r="C804" s="1747"/>
      <c r="D804" s="1912"/>
      <c r="E804" s="1912"/>
      <c r="F804" s="1912"/>
      <c r="G804" s="1746"/>
    </row>
    <row r="805" spans="1:7" ht="14.25">
      <c r="A805" s="715"/>
      <c r="B805" s="715"/>
      <c r="C805" s="1747"/>
      <c r="D805" s="1912"/>
      <c r="E805" s="1912"/>
      <c r="F805" s="1912"/>
      <c r="G805" s="1746"/>
    </row>
    <row r="806" spans="1:7" ht="14.25">
      <c r="A806" s="715"/>
      <c r="B806" s="715"/>
      <c r="C806" s="1747"/>
      <c r="D806" s="1912"/>
      <c r="E806" s="1912"/>
      <c r="F806" s="1912"/>
      <c r="G806" s="1746"/>
    </row>
    <row r="807" spans="1:7" ht="14.25">
      <c r="A807" s="715"/>
      <c r="B807" s="715"/>
      <c r="C807" s="1747"/>
      <c r="D807" s="1724"/>
      <c r="E807" s="1724"/>
      <c r="F807" s="1724"/>
      <c r="G807" s="1746"/>
    </row>
    <row r="808" spans="1:7" ht="14.25">
      <c r="A808" s="715"/>
      <c r="B808" s="799" t="s">
        <v>2467</v>
      </c>
      <c r="C808" s="1747"/>
      <c r="D808" s="1909" t="s">
        <v>2292</v>
      </c>
      <c r="E808" s="1909"/>
      <c r="F808" s="1909"/>
      <c r="G808" s="1746"/>
    </row>
    <row r="809" spans="1:7" ht="14.25">
      <c r="A809" s="715"/>
      <c r="B809" s="715"/>
      <c r="C809" s="1747"/>
      <c r="D809" s="1909"/>
      <c r="E809" s="1909"/>
      <c r="F809" s="1909"/>
      <c r="G809" s="1746"/>
    </row>
    <row r="810" spans="1:7">
      <c r="A810" s="1732"/>
      <c r="B810" s="1732"/>
      <c r="C810" s="1747"/>
      <c r="D810" s="1909"/>
      <c r="E810" s="1909"/>
      <c r="F810" s="1909"/>
      <c r="G810" s="1746"/>
    </row>
    <row r="811" spans="1:7" ht="14.25">
      <c r="A811" s="715"/>
      <c r="B811" s="1732"/>
      <c r="C811" s="1747"/>
      <c r="D811" s="1909"/>
      <c r="E811" s="1909"/>
      <c r="F811" s="1909"/>
      <c r="G811" s="1746"/>
    </row>
    <row r="812" spans="1:7" ht="12.75" customHeight="1">
      <c r="A812" s="715"/>
      <c r="B812" s="1732"/>
      <c r="C812" s="1747"/>
      <c r="D812" s="1909"/>
      <c r="E812" s="1909"/>
      <c r="F812" s="1909"/>
      <c r="G812" s="1746"/>
    </row>
    <row r="813" spans="1:7" ht="12.75" customHeight="1">
      <c r="A813" s="715"/>
      <c r="B813" s="1732"/>
      <c r="C813" s="1747"/>
      <c r="D813" s="1909"/>
      <c r="E813" s="1909"/>
      <c r="F813" s="1909"/>
      <c r="G813" s="1746"/>
    </row>
    <row r="814" spans="1:7" ht="12.75" customHeight="1">
      <c r="A814" s="1732"/>
      <c r="B814" s="1732"/>
      <c r="C814" s="1747"/>
      <c r="D814" s="1745"/>
      <c r="E814" s="6"/>
      <c r="F814" s="6"/>
      <c r="G814" s="1746"/>
    </row>
    <row r="815" spans="1:7" ht="12.75" customHeight="1">
      <c r="A815" s="1921" t="s">
        <v>2293</v>
      </c>
      <c r="B815" s="1921"/>
      <c r="C815" s="1921"/>
      <c r="D815" s="1921"/>
      <c r="E815" s="1921"/>
      <c r="F815" s="1921"/>
      <c r="G815" s="1921"/>
    </row>
    <row r="816" spans="1:7" ht="12.75" customHeight="1">
      <c r="A816" s="1721"/>
      <c r="B816" s="1721"/>
      <c r="C816" s="1747"/>
      <c r="D816" s="1745"/>
      <c r="E816" s="1745"/>
      <c r="F816" s="1745"/>
      <c r="G816" s="1746"/>
    </row>
    <row r="817" spans="1:7" ht="12.75" customHeight="1">
      <c r="A817" s="715"/>
      <c r="B817" s="715"/>
      <c r="C817" s="557"/>
      <c r="D817" s="1901" t="s">
        <v>2384</v>
      </c>
      <c r="E817" s="1901"/>
      <c r="F817" s="1901"/>
      <c r="G817" s="679"/>
    </row>
    <row r="818" spans="1:7" ht="14.25" customHeight="1">
      <c r="A818" s="715"/>
      <c r="B818" s="715"/>
      <c r="C818" s="557"/>
      <c r="D818" s="1852" t="s">
        <v>2294</v>
      </c>
      <c r="E818" s="1852"/>
      <c r="F818" s="1852"/>
      <c r="G818" s="679"/>
    </row>
    <row r="819" spans="1:7" ht="12.75" customHeight="1">
      <c r="A819" s="715"/>
      <c r="B819" s="715"/>
      <c r="C819" s="557"/>
      <c r="D819" s="1707"/>
      <c r="E819" s="1707"/>
      <c r="F819" s="1707"/>
      <c r="G819" s="679"/>
    </row>
    <row r="820" spans="1:7" ht="12.75" customHeight="1">
      <c r="A820" s="1749"/>
      <c r="B820" s="799" t="s">
        <v>2615</v>
      </c>
      <c r="C820" s="1747"/>
      <c r="D820" s="1852" t="s">
        <v>2295</v>
      </c>
      <c r="E820" s="1852"/>
      <c r="F820" s="1852"/>
      <c r="G820" s="679"/>
    </row>
    <row r="821" spans="1:7" ht="14.25" customHeight="1">
      <c r="A821" s="1732"/>
      <c r="B821" s="1732"/>
      <c r="C821" s="1747"/>
      <c r="D821" s="5" t="s">
        <v>2271</v>
      </c>
      <c r="E821" s="1861" t="s">
        <v>2296</v>
      </c>
      <c r="F821" s="1861"/>
      <c r="G821" s="679"/>
    </row>
    <row r="822" spans="1:7" ht="12.75" customHeight="1">
      <c r="A822" s="1732"/>
      <c r="B822" s="1732"/>
      <c r="C822" s="1747"/>
      <c r="D822" s="1750"/>
      <c r="E822" s="6"/>
      <c r="F822" s="6"/>
      <c r="G822" s="679"/>
    </row>
    <row r="823" spans="1:7" ht="14.25" hidden="1" customHeight="1">
      <c r="A823" s="1732"/>
      <c r="B823" s="799" t="s">
        <v>318</v>
      </c>
      <c r="C823" s="1747"/>
      <c r="D823" s="1965" t="s">
        <v>2297</v>
      </c>
      <c r="E823" s="1965"/>
      <c r="F823" s="1965"/>
      <c r="G823" s="679"/>
    </row>
    <row r="824" spans="1:7" ht="12.75" hidden="1" customHeight="1">
      <c r="A824" s="1732"/>
      <c r="B824" s="1732"/>
      <c r="C824" s="1747"/>
      <c r="D824" s="1965"/>
      <c r="E824" s="1965"/>
      <c r="F824" s="1965"/>
      <c r="G824" s="679"/>
    </row>
    <row r="825" spans="1:7" ht="12.75" hidden="1" customHeight="1">
      <c r="A825" s="1732"/>
      <c r="B825" s="1732"/>
      <c r="C825" s="1747"/>
      <c r="D825" s="1965"/>
      <c r="E825" s="1965"/>
      <c r="F825" s="1965"/>
      <c r="G825" s="679"/>
    </row>
    <row r="826" spans="1:7" ht="12.75" hidden="1" customHeight="1">
      <c r="A826" s="1732"/>
      <c r="B826" s="1732"/>
      <c r="C826" s="1747"/>
      <c r="D826" s="1965"/>
      <c r="E826" s="1965"/>
      <c r="F826" s="1965"/>
      <c r="G826" s="679"/>
    </row>
    <row r="827" spans="1:7" ht="12.75" hidden="1" customHeight="1">
      <c r="A827" s="1732"/>
      <c r="B827" s="1732"/>
      <c r="C827" s="1747"/>
      <c r="D827" s="1965"/>
      <c r="E827" s="1965"/>
      <c r="F827" s="1965"/>
      <c r="G827" s="679"/>
    </row>
    <row r="828" spans="1:7" ht="12.75" hidden="1" customHeight="1">
      <c r="A828" s="1732"/>
      <c r="B828" s="1732"/>
      <c r="C828" s="1747"/>
      <c r="D828" s="1965"/>
      <c r="E828" s="1965"/>
      <c r="F828" s="1965"/>
      <c r="G828" s="679"/>
    </row>
    <row r="829" spans="1:7" ht="12.75" hidden="1" customHeight="1">
      <c r="A829" s="1732"/>
      <c r="B829" s="1732"/>
      <c r="C829" s="1747"/>
      <c r="D829" s="1965"/>
      <c r="E829" s="1965"/>
      <c r="F829" s="1965"/>
      <c r="G829" s="679"/>
    </row>
    <row r="830" spans="1:7" ht="12.75" hidden="1" customHeight="1">
      <c r="A830" s="1732"/>
      <c r="B830" s="1732"/>
      <c r="C830" s="1747"/>
      <c r="D830" s="1965"/>
      <c r="E830" s="1965"/>
      <c r="F830" s="1965"/>
      <c r="G830" s="679"/>
    </row>
    <row r="831" spans="1:7" ht="12.75" hidden="1" customHeight="1">
      <c r="A831" s="1732"/>
      <c r="B831" s="1732"/>
      <c r="C831" s="1747"/>
      <c r="D831" s="1965"/>
      <c r="E831" s="1965"/>
      <c r="F831" s="1965"/>
      <c r="G831" s="679"/>
    </row>
    <row r="832" spans="1:7" ht="12.75" hidden="1" customHeight="1">
      <c r="A832" s="1732"/>
      <c r="B832" s="1732"/>
      <c r="C832" s="1747"/>
      <c r="D832" s="1965"/>
      <c r="E832" s="1965"/>
      <c r="F832" s="1965"/>
      <c r="G832" s="679"/>
    </row>
    <row r="833" spans="1:7" ht="12.75" hidden="1" customHeight="1">
      <c r="A833" s="1732"/>
      <c r="B833" s="1732"/>
      <c r="C833" s="1747"/>
      <c r="D833" s="1750"/>
      <c r="E833" s="6"/>
      <c r="F833" s="6"/>
      <c r="G833" s="679"/>
    </row>
    <row r="834" spans="1:7" ht="12.75" customHeight="1">
      <c r="A834" s="715"/>
      <c r="B834" s="799" t="s">
        <v>2615</v>
      </c>
      <c r="C834" s="1747"/>
      <c r="D834" s="1852" t="s">
        <v>2298</v>
      </c>
      <c r="E834" s="1852"/>
      <c r="F834" s="1852"/>
      <c r="G834" s="679"/>
    </row>
    <row r="835" spans="1:7" ht="12.75" customHeight="1">
      <c r="A835" s="715"/>
      <c r="B835" s="715"/>
      <c r="C835" s="1747"/>
      <c r="D835" s="1852"/>
      <c r="E835" s="1852"/>
      <c r="F835" s="1852"/>
      <c r="G835" s="679"/>
    </row>
    <row r="836" spans="1:7" ht="12.75" customHeight="1">
      <c r="A836" s="715"/>
      <c r="B836" s="715"/>
      <c r="C836" s="1747"/>
      <c r="D836" s="1852"/>
      <c r="E836" s="1852"/>
      <c r="F836" s="1852"/>
      <c r="G836" s="679"/>
    </row>
    <row r="837" spans="1:7" ht="12.75" customHeight="1">
      <c r="A837" s="404"/>
      <c r="B837" s="404"/>
      <c r="C837" s="1751"/>
      <c r="D837" s="1728"/>
      <c r="E837" s="679"/>
      <c r="F837" s="679"/>
      <c r="G837" s="679"/>
    </row>
    <row r="838" spans="1:7" ht="12.75" customHeight="1">
      <c r="A838" s="1752"/>
      <c r="B838" s="799" t="s">
        <v>2467</v>
      </c>
      <c r="C838" s="1751"/>
      <c r="D838" s="1963" t="s">
        <v>2299</v>
      </c>
      <c r="E838" s="1963"/>
      <c r="F838" s="1963"/>
      <c r="G838" s="679"/>
    </row>
    <row r="839" spans="1:7" ht="12.75" customHeight="1">
      <c r="A839" s="557"/>
      <c r="B839" s="1752"/>
      <c r="C839" s="1751"/>
      <c r="D839" s="1963"/>
      <c r="E839" s="1963"/>
      <c r="F839" s="1963"/>
      <c r="G839" s="679"/>
    </row>
    <row r="840" spans="1:7" ht="12.75" customHeight="1">
      <c r="A840" s="404"/>
      <c r="B840" s="557"/>
      <c r="C840" s="1751"/>
      <c r="D840" s="1853" t="s">
        <v>2300</v>
      </c>
      <c r="E840" s="1853"/>
      <c r="F840" s="1853"/>
      <c r="G840" s="679"/>
    </row>
    <row r="841" spans="1:7" ht="12.75" customHeight="1">
      <c r="A841" s="404"/>
      <c r="B841" s="404"/>
      <c r="C841" s="1751"/>
      <c r="D841" s="1853"/>
      <c r="E841" s="1853"/>
      <c r="F841" s="1853"/>
      <c r="G841" s="679"/>
    </row>
    <row r="842" spans="1:7" ht="12.75" customHeight="1">
      <c r="A842" s="404"/>
      <c r="B842" s="404"/>
      <c r="C842" s="1751"/>
      <c r="D842" s="1853"/>
      <c r="E842" s="1853"/>
      <c r="F842" s="1853"/>
      <c r="G842" s="679"/>
    </row>
    <row r="843" spans="1:7" ht="12.75" customHeight="1">
      <c r="A843" s="404"/>
      <c r="B843" s="404"/>
      <c r="C843" s="1751"/>
      <c r="D843" s="1853"/>
      <c r="E843" s="1853"/>
      <c r="F843" s="1853"/>
      <c r="G843" s="679"/>
    </row>
    <row r="844" spans="1:7" ht="12.75" customHeight="1">
      <c r="A844" s="404"/>
      <c r="B844" s="404"/>
      <c r="C844" s="1751"/>
      <c r="D844" s="1853"/>
      <c r="E844" s="1853"/>
      <c r="F844" s="1853"/>
      <c r="G844" s="679"/>
    </row>
    <row r="845" spans="1:7" ht="12.75" customHeight="1">
      <c r="A845" s="404"/>
      <c r="B845" s="404"/>
      <c r="C845" s="1751"/>
      <c r="D845" s="1853"/>
      <c r="E845" s="1853"/>
      <c r="F845" s="1853"/>
      <c r="G845" s="679"/>
    </row>
    <row r="846" spans="1:7" ht="12.75" customHeight="1">
      <c r="A846" s="404"/>
      <c r="B846" s="404"/>
      <c r="C846" s="1751"/>
      <c r="D846" s="1728"/>
      <c r="E846" s="679"/>
      <c r="F846" s="679"/>
      <c r="G846" s="679"/>
    </row>
    <row r="847" spans="1:7" ht="12.75" customHeight="1">
      <c r="A847" s="404"/>
      <c r="B847" s="799" t="s">
        <v>2467</v>
      </c>
      <c r="C847" s="1751"/>
      <c r="D847" s="1853" t="s">
        <v>2301</v>
      </c>
      <c r="E847" s="1853"/>
      <c r="F847" s="1853"/>
      <c r="G847" s="679"/>
    </row>
    <row r="848" spans="1:7" ht="12.75" customHeight="1">
      <c r="A848" s="404"/>
      <c r="B848" s="404"/>
      <c r="C848" s="1751"/>
      <c r="D848" s="1853" t="s">
        <v>2302</v>
      </c>
      <c r="E848" s="1853"/>
      <c r="F848" s="1853"/>
      <c r="G848" s="679"/>
    </row>
    <row r="849" spans="1:7" ht="12.75" customHeight="1">
      <c r="A849" s="404"/>
      <c r="B849" s="404"/>
      <c r="C849" s="1751"/>
      <c r="D849" s="183" t="s">
        <v>2268</v>
      </c>
      <c r="E849" s="1958" t="s">
        <v>2303</v>
      </c>
      <c r="F849" s="1958"/>
      <c r="G849" s="679"/>
    </row>
    <row r="850" spans="1:7" ht="12.75" customHeight="1">
      <c r="A850" s="404"/>
      <c r="B850" s="404"/>
      <c r="C850" s="1751"/>
      <c r="D850" s="1728"/>
      <c r="E850" s="679"/>
      <c r="F850" s="679"/>
      <c r="G850" s="679"/>
    </row>
    <row r="851" spans="1:7" ht="12.75" customHeight="1">
      <c r="A851" s="404"/>
      <c r="B851" s="799" t="s">
        <v>2467</v>
      </c>
      <c r="C851" s="1751"/>
      <c r="D851" s="1853" t="s">
        <v>2304</v>
      </c>
      <c r="E851" s="1853"/>
      <c r="F851" s="1853"/>
      <c r="G851" s="679"/>
    </row>
    <row r="852" spans="1:7" ht="12.75" customHeight="1">
      <c r="A852" s="404"/>
      <c r="B852" s="404"/>
      <c r="C852" s="1751"/>
      <c r="D852" s="1853"/>
      <c r="E852" s="1853"/>
      <c r="F852" s="1853"/>
      <c r="G852" s="679"/>
    </row>
    <row r="853" spans="1:7" ht="12.75" customHeight="1">
      <c r="A853" s="404"/>
      <c r="B853" s="404"/>
      <c r="C853" s="1751"/>
      <c r="D853" s="1853"/>
      <c r="E853" s="1853"/>
      <c r="F853" s="1853"/>
      <c r="G853" s="679"/>
    </row>
    <row r="854" spans="1:7" ht="12.75" customHeight="1">
      <c r="A854" s="404"/>
      <c r="B854" s="404"/>
      <c r="C854" s="1751"/>
      <c r="D854" s="1853"/>
      <c r="E854" s="1853"/>
      <c r="F854" s="1853"/>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5" t="s">
        <v>2385</v>
      </c>
      <c r="E858" s="1875"/>
      <c r="F858" s="1875"/>
      <c r="G858" s="1746"/>
    </row>
    <row r="859" spans="1:7" ht="12.75" customHeight="1">
      <c r="A859" s="1749"/>
      <c r="B859" s="1749"/>
      <c r="C859" s="314"/>
      <c r="D859" s="1964" t="s">
        <v>2306</v>
      </c>
      <c r="E859" s="1964"/>
      <c r="F859" s="1964"/>
      <c r="G859" s="1746"/>
    </row>
    <row r="860" spans="1:7" ht="12.75" customHeight="1">
      <c r="A860" s="1749"/>
      <c r="B860" s="1749"/>
      <c r="C860" s="314"/>
      <c r="D860" s="1757"/>
      <c r="E860" s="1757"/>
      <c r="F860" s="1757"/>
      <c r="G860" s="1746"/>
    </row>
    <row r="861" spans="1:7" ht="12.75" customHeight="1">
      <c r="A861" s="715"/>
      <c r="B861" s="799" t="s">
        <v>2615</v>
      </c>
      <c r="C861" s="557"/>
      <c r="D861" s="1865" t="s">
        <v>2307</v>
      </c>
      <c r="E861" s="1865"/>
      <c r="F861" s="1865"/>
      <c r="G861" s="1746"/>
    </row>
    <row r="862" spans="1:7" ht="12.75" customHeight="1">
      <c r="A862" s="1749"/>
      <c r="B862" s="1749"/>
      <c r="C862" s="557"/>
      <c r="D862" s="5" t="s">
        <v>2268</v>
      </c>
      <c r="E862" s="1960" t="s">
        <v>2303</v>
      </c>
      <c r="F862" s="1960"/>
      <c r="G862" s="1746"/>
    </row>
    <row r="863" spans="1:7" ht="12.75" customHeight="1">
      <c r="A863" s="1749"/>
      <c r="B863" s="1749"/>
      <c r="C863" s="557"/>
      <c r="D863" s="1713"/>
      <c r="E863" s="1745"/>
      <c r="F863" s="1745"/>
      <c r="G863" s="1746"/>
    </row>
    <row r="864" spans="1:7" ht="12.75" customHeight="1">
      <c r="A864" s="715"/>
      <c r="B864" s="799" t="s">
        <v>2615</v>
      </c>
      <c r="C864" s="557"/>
      <c r="D864" s="1852" t="s">
        <v>2308</v>
      </c>
      <c r="E864" s="1876"/>
      <c r="F864" s="1876"/>
      <c r="G864" s="679"/>
    </row>
    <row r="865" spans="1:7" ht="12.75" customHeight="1">
      <c r="A865" s="1749"/>
      <c r="B865" s="1749"/>
      <c r="C865" s="557"/>
      <c r="D865" s="1876"/>
      <c r="E865" s="1876"/>
      <c r="F865" s="1876"/>
      <c r="G865" s="679"/>
    </row>
    <row r="866" spans="1:7" ht="12.75" customHeight="1">
      <c r="A866" s="1749"/>
      <c r="B866" s="1749"/>
      <c r="C866" s="557"/>
      <c r="D866" s="1713"/>
      <c r="E866" s="6"/>
      <c r="F866" s="6"/>
      <c r="G866" s="679"/>
    </row>
    <row r="867" spans="1:7" ht="12.75" customHeight="1">
      <c r="A867" s="557"/>
      <c r="B867" s="799" t="s">
        <v>2467</v>
      </c>
      <c r="C867" s="558"/>
      <c r="D867" s="1961" t="s">
        <v>2309</v>
      </c>
      <c r="E867" s="1961"/>
      <c r="F867" s="1961"/>
      <c r="G867" s="1746"/>
    </row>
    <row r="868" spans="1:7" ht="12.75" customHeight="1">
      <c r="A868" s="557"/>
      <c r="B868" s="1758"/>
      <c r="C868" s="558"/>
      <c r="D868" s="1961"/>
      <c r="E868" s="1961"/>
      <c r="F868" s="1961"/>
      <c r="G868" s="1746"/>
    </row>
    <row r="869" spans="1:7" ht="12.75" customHeight="1">
      <c r="A869" s="715"/>
      <c r="B869" s="678"/>
      <c r="C869" s="557"/>
      <c r="D869" s="1853" t="s">
        <v>2300</v>
      </c>
      <c r="E869" s="1853"/>
      <c r="F869" s="1853"/>
      <c r="G869" s="1746"/>
    </row>
    <row r="870" spans="1:7" ht="12.75" customHeight="1">
      <c r="A870" s="715"/>
      <c r="B870" s="715"/>
      <c r="C870" s="557"/>
      <c r="D870" s="1853"/>
      <c r="E870" s="1853"/>
      <c r="F870" s="1853"/>
      <c r="G870" s="1746"/>
    </row>
    <row r="871" spans="1:7" ht="12.75" customHeight="1">
      <c r="A871" s="715"/>
      <c r="B871" s="715"/>
      <c r="C871" s="557"/>
      <c r="D871" s="1853"/>
      <c r="E871" s="1853"/>
      <c r="F871" s="1853"/>
      <c r="G871" s="1746"/>
    </row>
    <row r="872" spans="1:7" ht="12.75" customHeight="1">
      <c r="A872" s="715"/>
      <c r="B872" s="715"/>
      <c r="C872" s="557"/>
      <c r="D872" s="1853"/>
      <c r="E872" s="1853"/>
      <c r="F872" s="1853"/>
      <c r="G872" s="1746"/>
    </row>
    <row r="873" spans="1:7" ht="12.75" customHeight="1">
      <c r="A873" s="715"/>
      <c r="B873" s="715"/>
      <c r="C873" s="557"/>
      <c r="D873" s="1853"/>
      <c r="E873" s="1853"/>
      <c r="F873" s="1853"/>
      <c r="G873" s="1746"/>
    </row>
    <row r="874" spans="1:7" ht="12.75" customHeight="1">
      <c r="A874" s="715"/>
      <c r="B874" s="715"/>
      <c r="C874" s="557"/>
      <c r="D874" s="1853"/>
      <c r="E874" s="1853"/>
      <c r="F874" s="1853"/>
      <c r="G874" s="1746"/>
    </row>
    <row r="875" spans="1:7" ht="12.75" customHeight="1">
      <c r="A875" s="715"/>
      <c r="B875" s="715"/>
      <c r="C875" s="557"/>
      <c r="D875" s="1713"/>
      <c r="E875" s="1745"/>
      <c r="F875" s="1745"/>
      <c r="G875" s="1746"/>
    </row>
    <row r="876" spans="1:7" ht="12.75" customHeight="1">
      <c r="A876" s="715"/>
      <c r="B876" s="799" t="s">
        <v>2467</v>
      </c>
      <c r="C876" s="557"/>
      <c r="D876" s="1918" t="s">
        <v>2301</v>
      </c>
      <c r="E876" s="1918"/>
      <c r="F876" s="1918"/>
      <c r="G876" s="1746"/>
    </row>
    <row r="877" spans="1:7" ht="12.75" customHeight="1">
      <c r="A877" s="715"/>
      <c r="B877" s="715"/>
      <c r="C877" s="557"/>
      <c r="D877" s="1918" t="s">
        <v>2302</v>
      </c>
      <c r="E877" s="1918"/>
      <c r="F877" s="1918"/>
      <c r="G877" s="1746"/>
    </row>
    <row r="878" spans="1:7" ht="12.75" customHeight="1">
      <c r="A878" s="715"/>
      <c r="B878" s="715"/>
      <c r="C878" s="557"/>
      <c r="D878" s="5" t="s">
        <v>1513</v>
      </c>
      <c r="E878" s="1962" t="s">
        <v>2303</v>
      </c>
      <c r="F878" s="1962"/>
      <c r="G878" s="1746"/>
    </row>
    <row r="879" spans="1:7" ht="12.75" customHeight="1">
      <c r="A879" s="715"/>
      <c r="B879" s="715"/>
      <c r="C879" s="557"/>
      <c r="D879" s="1713"/>
      <c r="E879" s="1745"/>
      <c r="F879" s="1745"/>
      <c r="G879" s="1746"/>
    </row>
    <row r="880" spans="1:7" ht="12.75" customHeight="1">
      <c r="A880" s="715"/>
      <c r="B880" s="799" t="s">
        <v>2467</v>
      </c>
      <c r="C880" s="557"/>
      <c r="D880" s="1852" t="s">
        <v>2304</v>
      </c>
      <c r="E880" s="1852"/>
      <c r="F880" s="1852"/>
      <c r="G880" s="1746"/>
    </row>
    <row r="881" spans="1:7" ht="12.75" customHeight="1">
      <c r="A881" s="715"/>
      <c r="B881" s="715"/>
      <c r="C881" s="557"/>
      <c r="D881" s="1852"/>
      <c r="E881" s="1852"/>
      <c r="F881" s="1852"/>
      <c r="G881" s="1746"/>
    </row>
    <row r="882" spans="1:7" ht="12.75" customHeight="1">
      <c r="A882" s="715"/>
      <c r="B882" s="715"/>
      <c r="C882" s="557"/>
      <c r="D882" s="1852"/>
      <c r="E882" s="1852"/>
      <c r="F882" s="1852"/>
      <c r="G882" s="1746"/>
    </row>
    <row r="883" spans="1:7" ht="12.75" customHeight="1">
      <c r="A883" s="715"/>
      <c r="B883" s="715"/>
      <c r="C883" s="557"/>
      <c r="D883" s="1852"/>
      <c r="E883" s="1852"/>
      <c r="F883" s="1852"/>
      <c r="G883" s="1746"/>
    </row>
    <row r="884" spans="1:7" ht="12.75" customHeight="1">
      <c r="A884" s="1714"/>
      <c r="B884" s="1714"/>
      <c r="C884" s="1747"/>
      <c r="D884" s="1745"/>
      <c r="E884" s="1745"/>
      <c r="F884" s="1745"/>
      <c r="G884" s="1746"/>
    </row>
    <row r="885" spans="1:7" ht="12.75" customHeight="1">
      <c r="A885" s="1921" t="s">
        <v>2386</v>
      </c>
      <c r="B885" s="1921"/>
      <c r="C885" s="1921"/>
      <c r="D885" s="1921"/>
      <c r="E885" s="1921"/>
      <c r="F885" s="1921"/>
      <c r="G885" s="1921"/>
    </row>
    <row r="886" spans="1:7" s="1790" customFormat="1" ht="12.75" customHeight="1">
      <c r="A886" s="93"/>
      <c r="B886" s="93"/>
      <c r="C886" s="93"/>
      <c r="D886" s="93"/>
      <c r="E886" s="93"/>
      <c r="F886" s="93"/>
      <c r="G886" s="93"/>
    </row>
    <row r="887" spans="1:7" s="1790" customFormat="1" ht="12.75" customHeight="1">
      <c r="A887" s="93"/>
      <c r="B887" s="93"/>
      <c r="C887" s="93"/>
      <c r="D887" s="1911" t="s">
        <v>2392</v>
      </c>
      <c r="E887" s="1911"/>
      <c r="F887" s="1911"/>
      <c r="G887" s="93"/>
    </row>
    <row r="888" spans="1:7" s="1790" customFormat="1" ht="12.75" customHeight="1">
      <c r="A888" s="93"/>
      <c r="B888" s="93"/>
      <c r="C888" s="93"/>
      <c r="D888" s="1723"/>
      <c r="E888" s="1723"/>
      <c r="F888" s="1723"/>
      <c r="G888" s="93"/>
    </row>
    <row r="889" spans="1:7" s="1790" customFormat="1" ht="12.75" customHeight="1">
      <c r="A889" s="93"/>
      <c r="B889" s="1793" t="s">
        <v>2615</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1" t="s">
        <v>2387</v>
      </c>
      <c r="E891" s="1911"/>
      <c r="F891" s="1911"/>
      <c r="G891" s="1746"/>
    </row>
    <row r="892" spans="1:7" ht="12.75" customHeight="1">
      <c r="A892" s="1721"/>
      <c r="B892" s="1721"/>
      <c r="C892" s="1753"/>
      <c r="D892" s="1865" t="s">
        <v>2310</v>
      </c>
      <c r="E892" s="1865"/>
      <c r="F892" s="1865"/>
      <c r="G892" s="1746"/>
    </row>
    <row r="893" spans="1:7" ht="12.75" customHeight="1">
      <c r="A893" s="1721"/>
      <c r="B893" s="1721"/>
      <c r="C893" s="1753"/>
      <c r="D893" s="6"/>
      <c r="E893" s="6"/>
      <c r="F893" s="1745"/>
      <c r="G893" s="1746"/>
    </row>
    <row r="894" spans="1:7" ht="12.75" customHeight="1">
      <c r="A894" s="404"/>
      <c r="B894" s="799" t="s">
        <v>2615</v>
      </c>
      <c r="C894" s="487"/>
      <c r="D894" s="1958" t="s">
        <v>2311</v>
      </c>
      <c r="E894" s="1958"/>
      <c r="F894" s="1958"/>
      <c r="G894" s="1746"/>
    </row>
    <row r="895" spans="1:7" ht="12.75" customHeight="1">
      <c r="A895" s="404"/>
      <c r="B895" s="404"/>
      <c r="C895" s="487"/>
      <c r="D895" s="1958"/>
      <c r="E895" s="1958"/>
      <c r="F895" s="1958"/>
      <c r="G895" s="1746"/>
    </row>
    <row r="896" spans="1:7" ht="12.75" customHeight="1">
      <c r="A896" s="404"/>
      <c r="B896" s="404"/>
      <c r="C896" s="487"/>
      <c r="D896" s="1958"/>
      <c r="E896" s="1958"/>
      <c r="F896" s="1958"/>
      <c r="G896" s="1746"/>
    </row>
    <row r="897" spans="1:7" ht="12.75" customHeight="1">
      <c r="A897" s="404"/>
      <c r="B897" s="404"/>
      <c r="C897" s="487"/>
      <c r="D897" s="1958"/>
      <c r="E897" s="1958"/>
      <c r="F897" s="1958"/>
      <c r="G897" s="1746"/>
    </row>
    <row r="898" spans="1:7" ht="12.75" customHeight="1">
      <c r="A898" s="488"/>
      <c r="B898" s="488"/>
      <c r="C898" s="487"/>
      <c r="D898" s="1958"/>
      <c r="E898" s="1958"/>
      <c r="F898" s="1958"/>
      <c r="G898" s="1746"/>
    </row>
    <row r="899" spans="1:7" ht="12.75" customHeight="1">
      <c r="A899" s="488"/>
      <c r="B899" s="488"/>
      <c r="C899" s="487"/>
      <c r="D899" s="1958"/>
      <c r="E899" s="1958"/>
      <c r="F899" s="1958"/>
      <c r="G899" s="1746"/>
    </row>
    <row r="900" spans="1:7" ht="12.75" customHeight="1">
      <c r="A900" s="488"/>
      <c r="B900" s="488"/>
      <c r="C900" s="487"/>
      <c r="D900" s="1958"/>
      <c r="E900" s="1958"/>
      <c r="F900" s="1958"/>
      <c r="G900" s="1746"/>
    </row>
    <row r="901" spans="1:7" ht="12.75" customHeight="1">
      <c r="A901" s="488"/>
      <c r="B901" s="488"/>
      <c r="C901" s="487"/>
      <c r="D901" s="183"/>
      <c r="E901" s="679"/>
      <c r="F901" s="1746"/>
      <c r="G901" s="1746"/>
    </row>
    <row r="902" spans="1:7" ht="12.75" customHeight="1">
      <c r="A902" s="1759"/>
      <c r="B902" s="799" t="s">
        <v>2615</v>
      </c>
      <c r="C902" s="1760"/>
      <c r="D902" s="1958" t="s">
        <v>2312</v>
      </c>
      <c r="E902" s="1958"/>
      <c r="F902" s="1958"/>
      <c r="G902" s="1761"/>
    </row>
    <row r="903" spans="1:7" ht="12.75" customHeight="1">
      <c r="A903" s="1759"/>
      <c r="B903" s="1759"/>
      <c r="C903" s="1760"/>
      <c r="D903" s="1958"/>
      <c r="E903" s="1958"/>
      <c r="F903" s="1958"/>
      <c r="G903" s="1761"/>
    </row>
    <row r="904" spans="1:7" ht="12.75" customHeight="1">
      <c r="A904" s="1759"/>
      <c r="B904" s="1759"/>
      <c r="C904" s="1760"/>
      <c r="D904" s="1958"/>
      <c r="E904" s="1958"/>
      <c r="F904" s="1958"/>
      <c r="G904" s="1761"/>
    </row>
    <row r="905" spans="1:7" ht="12.75" customHeight="1">
      <c r="A905" s="1759"/>
      <c r="B905" s="1759"/>
      <c r="C905" s="1760"/>
      <c r="D905" s="1958"/>
      <c r="E905" s="1958"/>
      <c r="F905" s="1958"/>
      <c r="G905" s="1761"/>
    </row>
    <row r="906" spans="1:7" ht="12.75" customHeight="1">
      <c r="A906" s="1759"/>
      <c r="B906" s="1759"/>
      <c r="C906" s="1760"/>
      <c r="D906" s="1958"/>
      <c r="E906" s="1958"/>
      <c r="F906" s="1958"/>
      <c r="G906" s="1761"/>
    </row>
    <row r="907" spans="1:7" ht="12.75" customHeight="1">
      <c r="A907" s="1759"/>
      <c r="B907" s="1759"/>
      <c r="C907" s="1760"/>
      <c r="D907" s="1958"/>
      <c r="E907" s="1958"/>
      <c r="F907" s="1958"/>
      <c r="G907" s="1761"/>
    </row>
    <row r="908" spans="1:7" ht="12.75" customHeight="1">
      <c r="A908" s="1759"/>
      <c r="B908" s="1759"/>
      <c r="C908" s="1760"/>
      <c r="D908" s="1958"/>
      <c r="E908" s="1958"/>
      <c r="F908" s="1958"/>
      <c r="G908" s="1761"/>
    </row>
    <row r="909" spans="1:7" ht="12.75" customHeight="1">
      <c r="A909" s="1759"/>
      <c r="B909" s="1759"/>
      <c r="C909" s="1760"/>
      <c r="D909" s="1958"/>
      <c r="E909" s="1958"/>
      <c r="F909" s="1958"/>
      <c r="G909" s="1761"/>
    </row>
    <row r="910" spans="1:7" ht="12.75" customHeight="1">
      <c r="A910" s="1759"/>
      <c r="B910" s="1759"/>
      <c r="C910" s="1760"/>
      <c r="D910" s="1958"/>
      <c r="E910" s="1958"/>
      <c r="F910" s="1958"/>
      <c r="G910" s="1761"/>
    </row>
    <row r="911" spans="1:7" ht="12.75" customHeight="1">
      <c r="A911" s="488"/>
      <c r="B911" s="488"/>
      <c r="C911" s="487"/>
      <c r="D911" s="183"/>
      <c r="E911" s="679"/>
      <c r="F911" s="1746"/>
      <c r="G911" s="1746"/>
    </row>
    <row r="912" spans="1:7" ht="12.75" customHeight="1">
      <c r="A912" s="404"/>
      <c r="B912" s="799" t="s">
        <v>2615</v>
      </c>
      <c r="C912" s="487"/>
      <c r="D912" s="1959" t="s">
        <v>2313</v>
      </c>
      <c r="E912" s="1959"/>
      <c r="F912" s="1959"/>
      <c r="G912" s="1746"/>
    </row>
    <row r="913" spans="1:7" ht="12.75" customHeight="1">
      <c r="A913" s="404"/>
      <c r="B913" s="404"/>
      <c r="C913" s="487"/>
      <c r="D913" s="1959"/>
      <c r="E913" s="1959"/>
      <c r="F913" s="1959"/>
      <c r="G913" s="1746"/>
    </row>
    <row r="914" spans="1:7" ht="12.75" customHeight="1">
      <c r="A914" s="404"/>
      <c r="B914" s="404"/>
      <c r="C914" s="487"/>
      <c r="D914" s="1959"/>
      <c r="E914" s="1959"/>
      <c r="F914" s="1959"/>
      <c r="G914" s="1746"/>
    </row>
    <row r="915" spans="1:7" ht="12.75" customHeight="1">
      <c r="A915" s="404"/>
      <c r="B915" s="404"/>
      <c r="C915" s="487"/>
      <c r="D915" s="1959"/>
      <c r="E915" s="1959"/>
      <c r="F915" s="1959"/>
      <c r="G915" s="1746"/>
    </row>
    <row r="916" spans="1:7" ht="12.75" customHeight="1">
      <c r="A916" s="404"/>
      <c r="B916" s="404"/>
      <c r="C916" s="487"/>
      <c r="D916" s="1959"/>
      <c r="E916" s="1959"/>
      <c r="F916" s="1959"/>
      <c r="G916" s="1746"/>
    </row>
    <row r="917" spans="1:7" ht="12.75" customHeight="1">
      <c r="A917" s="404"/>
      <c r="B917" s="404"/>
      <c r="C917" s="487"/>
      <c r="D917" s="1959"/>
      <c r="E917" s="1959"/>
      <c r="F917" s="1959"/>
      <c r="G917" s="1746"/>
    </row>
    <row r="918" spans="1:7" ht="12.75" customHeight="1">
      <c r="A918" s="404"/>
      <c r="B918" s="404"/>
      <c r="C918" s="487"/>
      <c r="D918" s="1959"/>
      <c r="E918" s="1959"/>
      <c r="F918" s="1959"/>
      <c r="G918" s="1746"/>
    </row>
    <row r="919" spans="1:7" ht="12.75" customHeight="1">
      <c r="A919" s="404"/>
      <c r="B919" s="404"/>
      <c r="C919" s="487"/>
      <c r="D919" s="1762"/>
      <c r="E919" s="679"/>
      <c r="F919" s="1746"/>
      <c r="G919" s="1746"/>
    </row>
    <row r="920" spans="1:7" ht="12.75" customHeight="1">
      <c r="A920" s="404"/>
      <c r="B920" s="799" t="s">
        <v>2467</v>
      </c>
      <c r="C920" s="487"/>
      <c r="D920" s="1958" t="s">
        <v>2314</v>
      </c>
      <c r="E920" s="1958"/>
      <c r="F920" s="1958"/>
      <c r="G920" s="1746"/>
    </row>
    <row r="921" spans="1:7" ht="12.75" customHeight="1">
      <c r="A921" s="404"/>
      <c r="B921" s="404"/>
      <c r="C921" s="487"/>
      <c r="D921" s="1958"/>
      <c r="E921" s="1958"/>
      <c r="F921" s="1958"/>
      <c r="G921" s="1746"/>
    </row>
    <row r="922" spans="1:7" ht="12.75" customHeight="1">
      <c r="A922" s="404"/>
      <c r="B922" s="404"/>
      <c r="C922" s="487"/>
      <c r="D922" s="1958"/>
      <c r="E922" s="1958"/>
      <c r="F922" s="1958"/>
      <c r="G922" s="1746"/>
    </row>
    <row r="923" spans="1:7" ht="12.75" customHeight="1">
      <c r="A923" s="404"/>
      <c r="B923" s="404"/>
      <c r="C923" s="487"/>
      <c r="D923" s="1958"/>
      <c r="E923" s="1958"/>
      <c r="F923" s="1958"/>
      <c r="G923" s="1746"/>
    </row>
    <row r="924" spans="1:7" ht="12.75" customHeight="1">
      <c r="A924" s="404"/>
      <c r="B924" s="404"/>
      <c r="C924" s="487"/>
      <c r="D924" s="183"/>
      <c r="E924" s="679"/>
      <c r="F924" s="1746"/>
      <c r="G924" s="1746"/>
    </row>
    <row r="925" spans="1:7" ht="12.75" customHeight="1">
      <c r="A925" s="1732"/>
      <c r="B925" s="1732"/>
      <c r="C925" s="1747"/>
      <c r="D925" s="1852" t="s">
        <v>2315</v>
      </c>
      <c r="E925" s="1852"/>
      <c r="F925" s="1852"/>
      <c r="G925" s="1746"/>
    </row>
    <row r="926" spans="1:7" ht="12.75" customHeight="1">
      <c r="A926" s="1763"/>
      <c r="B926" s="1763"/>
      <c r="C926" s="1747"/>
      <c r="D926" s="1852"/>
      <c r="E926" s="1852"/>
      <c r="F926" s="1852"/>
      <c r="G926" s="1746"/>
    </row>
    <row r="927" spans="1:7" ht="12.75" customHeight="1">
      <c r="A927" s="1763"/>
      <c r="B927" s="1763"/>
      <c r="C927" s="1747"/>
      <c r="D927" s="5"/>
      <c r="E927" s="1745"/>
      <c r="F927" s="1745"/>
      <c r="G927" s="1746"/>
    </row>
    <row r="928" spans="1:7" ht="12.75" customHeight="1">
      <c r="A928" s="715"/>
      <c r="B928" s="799" t="s">
        <v>2615</v>
      </c>
      <c r="C928" s="557"/>
      <c r="D928" s="1852" t="s">
        <v>2316</v>
      </c>
      <c r="E928" s="1852"/>
      <c r="F928" s="1852"/>
      <c r="G928" s="679"/>
    </row>
    <row r="929" spans="1:7" ht="12.75" customHeight="1">
      <c r="A929" s="1749"/>
      <c r="B929" s="1749"/>
      <c r="C929" s="557"/>
      <c r="D929" s="1852"/>
      <c r="E929" s="1852"/>
      <c r="F929" s="1852"/>
      <c r="G929" s="679"/>
    </row>
    <row r="930" spans="1:7" ht="12.75" customHeight="1">
      <c r="A930" s="1763"/>
      <c r="B930" s="1763"/>
      <c r="C930" s="1747"/>
      <c r="D930" s="5"/>
      <c r="E930" s="1745"/>
      <c r="F930" s="1745"/>
      <c r="G930" s="1746"/>
    </row>
    <row r="931" spans="1:7" ht="12.75" customHeight="1">
      <c r="A931" s="721"/>
      <c r="B931" s="721"/>
      <c r="C931" s="314"/>
      <c r="D931" s="1911" t="s">
        <v>2317</v>
      </c>
      <c r="E931" s="1911"/>
      <c r="F931" s="1911"/>
      <c r="G931" s="1746"/>
    </row>
    <row r="932" spans="1:7" ht="12.75" customHeight="1">
      <c r="A932" s="721"/>
      <c r="B932" s="721"/>
      <c r="C932" s="314"/>
      <c r="D932" s="1717"/>
      <c r="E932" s="6"/>
      <c r="F932" s="1745"/>
      <c r="G932" s="1746"/>
    </row>
    <row r="933" spans="1:7" ht="12.75" customHeight="1">
      <c r="A933" s="715"/>
      <c r="B933" s="799" t="s">
        <v>2615</v>
      </c>
      <c r="C933" s="1747"/>
      <c r="D933" s="1871" t="s">
        <v>2318</v>
      </c>
      <c r="E933" s="1871"/>
      <c r="F933" s="1871"/>
      <c r="G933" s="1746"/>
    </row>
    <row r="934" spans="1:7" ht="12.75" customHeight="1">
      <c r="A934" s="1763"/>
      <c r="B934" s="1763"/>
      <c r="C934" s="1747"/>
      <c r="D934" s="1871"/>
      <c r="E934" s="1871"/>
      <c r="F934" s="1871"/>
      <c r="G934" s="1746"/>
    </row>
    <row r="935" spans="1:7" ht="12.75" customHeight="1">
      <c r="A935" s="1763"/>
      <c r="B935" s="1763"/>
      <c r="C935" s="1747"/>
      <c r="D935" s="1871"/>
      <c r="E935" s="1871"/>
      <c r="F935" s="1871"/>
      <c r="G935" s="1746"/>
    </row>
    <row r="936" spans="1:7" ht="12.75" customHeight="1">
      <c r="A936" s="1763"/>
      <c r="B936" s="1763"/>
      <c r="C936" s="1747"/>
      <c r="D936" s="1871"/>
      <c r="E936" s="1871"/>
      <c r="F936" s="1871"/>
      <c r="G936" s="1746"/>
    </row>
    <row r="937" spans="1:7" ht="12.75" customHeight="1">
      <c r="A937" s="1763"/>
      <c r="B937" s="1763"/>
      <c r="C937" s="1747"/>
      <c r="D937" s="1871"/>
      <c r="E937" s="1871"/>
      <c r="F937" s="1871"/>
      <c r="G937" s="1746"/>
    </row>
    <row r="938" spans="1:7" ht="12.75" customHeight="1">
      <c r="A938" s="1763"/>
      <c r="B938" s="1763"/>
      <c r="C938" s="1747"/>
      <c r="D938" s="1871"/>
      <c r="E938" s="1871"/>
      <c r="F938" s="1871"/>
      <c r="G938" s="1746"/>
    </row>
    <row r="939" spans="1:7" ht="12.75" customHeight="1">
      <c r="A939" s="1763"/>
      <c r="B939" s="1763"/>
      <c r="C939" s="1747"/>
      <c r="D939" s="1715"/>
      <c r="E939" s="1715"/>
      <c r="F939" s="1715"/>
      <c r="G939" s="1746"/>
    </row>
    <row r="940" spans="1:7" ht="12.75" customHeight="1">
      <c r="A940" s="715"/>
      <c r="B940" s="799" t="s">
        <v>2467</v>
      </c>
      <c r="C940" s="1747"/>
      <c r="D940" s="1871" t="s">
        <v>2319</v>
      </c>
      <c r="E940" s="1871"/>
      <c r="F940" s="1871"/>
      <c r="G940" s="1746"/>
    </row>
    <row r="941" spans="1:7" ht="12.75" customHeight="1">
      <c r="A941" s="1763"/>
      <c r="B941" s="1763"/>
      <c r="C941" s="1747"/>
      <c r="D941" s="1871"/>
      <c r="E941" s="1871"/>
      <c r="F941" s="1871"/>
      <c r="G941" s="1746"/>
    </row>
    <row r="942" spans="1:7" ht="12.75" customHeight="1">
      <c r="A942" s="1763"/>
      <c r="B942" s="1763"/>
      <c r="C942" s="1747"/>
      <c r="D942" s="1871"/>
      <c r="E942" s="1871"/>
      <c r="F942" s="1871"/>
      <c r="G942" s="1746"/>
    </row>
    <row r="943" spans="1:7" ht="12.75" customHeight="1">
      <c r="A943" s="1763"/>
      <c r="B943" s="1763"/>
      <c r="C943" s="1747"/>
      <c r="D943" s="1871"/>
      <c r="E943" s="1871"/>
      <c r="F943" s="1871"/>
      <c r="G943" s="1746"/>
    </row>
    <row r="944" spans="1:7" ht="12.75" customHeight="1">
      <c r="A944" s="1763"/>
      <c r="B944" s="1763"/>
      <c r="C944" s="1747"/>
      <c r="D944" s="1871"/>
      <c r="E944" s="1871"/>
      <c r="F944" s="1871"/>
      <c r="G944" s="1746"/>
    </row>
    <row r="945" spans="1:7" ht="12.75" customHeight="1">
      <c r="A945" s="1763"/>
      <c r="B945" s="1763"/>
      <c r="C945" s="1747"/>
      <c r="D945" s="1764"/>
      <c r="E945" s="1745"/>
      <c r="F945" s="1745"/>
      <c r="G945" s="1746"/>
    </row>
    <row r="946" spans="1:7" ht="12.75" customHeight="1">
      <c r="A946" s="715"/>
      <c r="B946" s="799" t="s">
        <v>2467</v>
      </c>
      <c r="C946" s="1747"/>
      <c r="D946" s="1871" t="s">
        <v>2320</v>
      </c>
      <c r="E946" s="1871"/>
      <c r="F946" s="1871"/>
      <c r="G946" s="1746"/>
    </row>
    <row r="947" spans="1:7" ht="12.75" customHeight="1">
      <c r="A947" s="1763"/>
      <c r="B947" s="1763"/>
      <c r="C947" s="1747"/>
      <c r="D947" s="1871"/>
      <c r="E947" s="1871"/>
      <c r="F947" s="1871"/>
      <c r="G947" s="1746"/>
    </row>
    <row r="948" spans="1:7" ht="12.75" customHeight="1">
      <c r="A948" s="1763"/>
      <c r="B948" s="1763"/>
      <c r="C948" s="1747"/>
      <c r="D948" s="1871"/>
      <c r="E948" s="1871"/>
      <c r="F948" s="1871"/>
      <c r="G948" s="1746"/>
    </row>
    <row r="949" spans="1:7" ht="12.75" customHeight="1">
      <c r="A949" s="1763"/>
      <c r="B949" s="1763"/>
      <c r="C949" s="1747"/>
      <c r="D949" s="1871"/>
      <c r="E949" s="1871"/>
      <c r="F949" s="1871"/>
      <c r="G949" s="1746"/>
    </row>
    <row r="950" spans="1:7" ht="12.75" customHeight="1">
      <c r="A950" s="1763"/>
      <c r="B950" s="1763"/>
      <c r="C950" s="1747"/>
      <c r="D950" s="1871"/>
      <c r="E950" s="1871"/>
      <c r="F950" s="1871"/>
      <c r="G950" s="1746"/>
    </row>
    <row r="951" spans="1:7" ht="12.75" customHeight="1">
      <c r="A951" s="1763"/>
      <c r="B951" s="1763"/>
      <c r="C951" s="1747"/>
      <c r="D951" s="1764"/>
      <c r="E951" s="1745"/>
      <c r="F951" s="1745"/>
      <c r="G951" s="1746"/>
    </row>
    <row r="952" spans="1:7" ht="12.75" customHeight="1">
      <c r="A952" s="715"/>
      <c r="B952" s="799" t="s">
        <v>2467</v>
      </c>
      <c r="C952" s="1747"/>
      <c r="D952" s="1871" t="s">
        <v>2321</v>
      </c>
      <c r="E952" s="1871"/>
      <c r="F952" s="1871"/>
      <c r="G952" s="1746"/>
    </row>
    <row r="953" spans="1:7" ht="12.75" customHeight="1">
      <c r="A953" s="1763"/>
      <c r="B953" s="1763"/>
      <c r="C953" s="1747"/>
      <c r="D953" s="1871"/>
      <c r="E953" s="1871"/>
      <c r="F953" s="1871"/>
      <c r="G953" s="1746"/>
    </row>
    <row r="954" spans="1:7" ht="12.75" customHeight="1">
      <c r="A954" s="1763"/>
      <c r="B954" s="1763"/>
      <c r="C954" s="1747"/>
      <c r="D954" s="1871"/>
      <c r="E954" s="1871"/>
      <c r="F954" s="1871"/>
      <c r="G954" s="1746"/>
    </row>
    <row r="955" spans="1:7" ht="12.75" customHeight="1">
      <c r="A955" s="1763"/>
      <c r="B955" s="1763"/>
      <c r="C955" s="1747"/>
      <c r="D955" s="1715"/>
      <c r="E955" s="1715"/>
      <c r="F955" s="1715"/>
      <c r="G955" s="1746"/>
    </row>
    <row r="956" spans="1:7" ht="12.75" customHeight="1">
      <c r="A956" s="715"/>
      <c r="B956" s="799" t="s">
        <v>2467</v>
      </c>
      <c r="C956" s="1747"/>
      <c r="D956" s="1871" t="s">
        <v>2322</v>
      </c>
      <c r="E956" s="1871"/>
      <c r="F956" s="1871"/>
      <c r="G956" s="1746"/>
    </row>
    <row r="957" spans="1:7" ht="12.75" customHeight="1">
      <c r="A957" s="1763"/>
      <c r="B957" s="1763"/>
      <c r="C957" s="1747"/>
      <c r="D957" s="1871"/>
      <c r="E957" s="1871"/>
      <c r="F957" s="1871"/>
      <c r="G957" s="1746"/>
    </row>
    <row r="958" spans="1:7" ht="12.75" customHeight="1">
      <c r="A958" s="1763"/>
      <c r="B958" s="1763"/>
      <c r="C958" s="1747"/>
      <c r="D958" s="1764"/>
      <c r="E958" s="1745"/>
      <c r="F958" s="1745"/>
      <c r="G958" s="1746"/>
    </row>
    <row r="959" spans="1:7" ht="12.75" customHeight="1">
      <c r="A959" s="1763"/>
      <c r="B959" s="799" t="s">
        <v>2467</v>
      </c>
      <c r="C959" s="1747"/>
      <c r="D959" s="1852" t="s">
        <v>2323</v>
      </c>
      <c r="E959" s="1852"/>
      <c r="F959" s="1852"/>
      <c r="G959" s="1746"/>
    </row>
    <row r="960" spans="1:7" ht="12.75" customHeight="1">
      <c r="A960" s="1763"/>
      <c r="B960" s="1763"/>
      <c r="C960" s="1747"/>
      <c r="D960" s="1852"/>
      <c r="E960" s="1852"/>
      <c r="F960" s="1852"/>
      <c r="G960" s="1746"/>
    </row>
    <row r="961" spans="1:7" ht="12.75" customHeight="1">
      <c r="A961" s="1763"/>
      <c r="B961" s="1763"/>
      <c r="C961" s="1747"/>
      <c r="D961" s="1745"/>
      <c r="E961" s="1745"/>
      <c r="F961" s="1745"/>
      <c r="G961" s="1746"/>
    </row>
    <row r="962" spans="1:7" ht="12.75" customHeight="1">
      <c r="A962" s="1763"/>
      <c r="B962" s="799" t="s">
        <v>2467</v>
      </c>
      <c r="C962" s="1747"/>
      <c r="D962" s="1909" t="s">
        <v>2324</v>
      </c>
      <c r="E962" s="1909"/>
      <c r="F962" s="1909"/>
      <c r="G962" s="1746"/>
    </row>
    <row r="963" spans="1:7" ht="12.75" customHeight="1">
      <c r="A963" s="1763"/>
      <c r="B963" s="1763"/>
      <c r="C963" s="1747"/>
      <c r="D963" s="1909"/>
      <c r="E963" s="1909"/>
      <c r="F963" s="1909"/>
      <c r="G963" s="1746"/>
    </row>
    <row r="964" spans="1:7" ht="12.75" customHeight="1">
      <c r="A964" s="1763"/>
      <c r="B964" s="1763"/>
      <c r="C964" s="1747"/>
      <c r="D964" s="1909"/>
      <c r="E964" s="1909"/>
      <c r="F964" s="1909"/>
      <c r="G964" s="1746"/>
    </row>
    <row r="965" spans="1:7" ht="12.75" customHeight="1">
      <c r="A965" s="1763"/>
      <c r="B965" s="1763"/>
      <c r="C965" s="1747"/>
      <c r="D965" s="1909"/>
      <c r="E965" s="1909"/>
      <c r="F965" s="1909"/>
      <c r="G965" s="1746"/>
    </row>
    <row r="966" spans="1:7" ht="12.75" customHeight="1">
      <c r="A966" s="1763"/>
      <c r="B966" s="1763"/>
      <c r="C966" s="1747"/>
      <c r="D966" s="1713"/>
      <c r="E966" s="1745"/>
      <c r="F966" s="1745"/>
      <c r="G966" s="1746"/>
    </row>
    <row r="967" spans="1:7" ht="12.75" customHeight="1">
      <c r="A967" s="1763"/>
      <c r="B967" s="799" t="s">
        <v>2467</v>
      </c>
      <c r="C967" s="1747"/>
      <c r="D967" s="1865" t="s">
        <v>2325</v>
      </c>
      <c r="E967" s="1865"/>
      <c r="F967" s="1865"/>
      <c r="G967" s="1746"/>
    </row>
    <row r="968" spans="1:7" ht="12.75" customHeight="1">
      <c r="A968" s="1763"/>
      <c r="B968" s="1763"/>
      <c r="C968" s="1747"/>
      <c r="D968" s="1713"/>
      <c r="E968" s="1745"/>
      <c r="F968" s="1745"/>
      <c r="G968" s="1746"/>
    </row>
    <row r="969" spans="1:7" ht="12.75" customHeight="1">
      <c r="A969" s="1763"/>
      <c r="B969" s="799" t="s">
        <v>2467</v>
      </c>
      <c r="C969" s="1747"/>
      <c r="D969" s="1865" t="s">
        <v>2326</v>
      </c>
      <c r="E969" s="1865"/>
      <c r="F969" s="1865"/>
      <c r="G969" s="1746"/>
    </row>
    <row r="970" spans="1:7" ht="12.75" customHeight="1">
      <c r="A970" s="1763"/>
      <c r="B970" s="1763"/>
      <c r="C970" s="1747"/>
      <c r="D970" s="1745"/>
      <c r="E970" s="1745"/>
      <c r="F970" s="1745"/>
      <c r="G970" s="1746"/>
    </row>
    <row r="971" spans="1:7" ht="12.75" customHeight="1">
      <c r="A971" s="1763"/>
      <c r="B971" s="557"/>
      <c r="C971" s="1747"/>
      <c r="D971" s="1875" t="s">
        <v>2327</v>
      </c>
      <c r="E971" s="1875"/>
      <c r="F971" s="1875"/>
      <c r="G971" s="1746"/>
    </row>
    <row r="972" spans="1:7" ht="12.75" customHeight="1">
      <c r="A972" s="1763"/>
      <c r="B972" s="557"/>
      <c r="C972" s="1747"/>
      <c r="D972" s="1717"/>
      <c r="E972" s="1745"/>
      <c r="F972" s="1745"/>
      <c r="G972" s="1746"/>
    </row>
    <row r="973" spans="1:7" ht="12.75" customHeight="1">
      <c r="A973" s="715"/>
      <c r="B973" s="799" t="s">
        <v>2615</v>
      </c>
      <c r="C973" s="1747"/>
      <c r="D973" s="1853" t="s">
        <v>2328</v>
      </c>
      <c r="E973" s="1853"/>
      <c r="F973" s="1853"/>
      <c r="G973" s="1746"/>
    </row>
    <row r="974" spans="1:7" ht="12.75" customHeight="1">
      <c r="A974" s="1763"/>
      <c r="B974" s="1763"/>
      <c r="C974" s="1747"/>
      <c r="D974" s="1853"/>
      <c r="E974" s="1853"/>
      <c r="F974" s="1853"/>
      <c r="G974" s="1746"/>
    </row>
    <row r="975" spans="1:7" ht="12.75" customHeight="1">
      <c r="A975" s="1763"/>
      <c r="B975" s="1763"/>
      <c r="C975" s="1747"/>
      <c r="D975" s="1853"/>
      <c r="E975" s="1853"/>
      <c r="F975" s="1853"/>
      <c r="G975" s="1746"/>
    </row>
    <row r="976" spans="1:7" ht="12.75" customHeight="1">
      <c r="A976" s="1763"/>
      <c r="B976" s="1763"/>
      <c r="C976" s="1747"/>
      <c r="D976" s="1853"/>
      <c r="E976" s="1853"/>
      <c r="F976" s="1853"/>
      <c r="G976" s="1746"/>
    </row>
    <row r="977" spans="1:7" ht="12.75" customHeight="1">
      <c r="A977" s="1763"/>
      <c r="B977" s="1763"/>
      <c r="C977" s="1747"/>
      <c r="D977" s="1853"/>
      <c r="E977" s="1853"/>
      <c r="F977" s="1853"/>
      <c r="G977" s="1746"/>
    </row>
    <row r="978" spans="1:7" ht="12.75" customHeight="1">
      <c r="A978" s="1763"/>
      <c r="B978" s="1763"/>
      <c r="C978" s="1747"/>
      <c r="D978" s="679"/>
      <c r="E978" s="6"/>
      <c r="F978" s="6"/>
      <c r="G978" s="1746"/>
    </row>
    <row r="979" spans="1:7" ht="12.75" customHeight="1">
      <c r="A979" s="715"/>
      <c r="B979" s="799" t="s">
        <v>2467</v>
      </c>
      <c r="C979" s="1747"/>
      <c r="D979" s="1853" t="s">
        <v>2329</v>
      </c>
      <c r="E979" s="1853"/>
      <c r="F979" s="1853"/>
      <c r="G979" s="1746"/>
    </row>
    <row r="980" spans="1:7" ht="12.75" customHeight="1">
      <c r="A980" s="1763"/>
      <c r="B980" s="1763"/>
      <c r="C980" s="1747"/>
      <c r="D980" s="1853"/>
      <c r="E980" s="1853"/>
      <c r="F980" s="1853"/>
      <c r="G980" s="1746"/>
    </row>
    <row r="981" spans="1:7" ht="12.75" customHeight="1">
      <c r="A981" s="1763"/>
      <c r="B981" s="1763"/>
      <c r="C981" s="1747"/>
      <c r="D981" s="1853"/>
      <c r="E981" s="1853"/>
      <c r="F981" s="1853"/>
      <c r="G981" s="1746"/>
    </row>
    <row r="982" spans="1:7" ht="12.75" customHeight="1">
      <c r="A982" s="1763"/>
      <c r="B982" s="1763"/>
      <c r="C982" s="1747"/>
      <c r="D982" s="1853"/>
      <c r="E982" s="1853"/>
      <c r="F982" s="1853"/>
      <c r="G982" s="1746"/>
    </row>
    <row r="983" spans="1:7" ht="12.75" customHeight="1">
      <c r="A983" s="1763"/>
      <c r="B983" s="1763"/>
      <c r="C983" s="1747"/>
      <c r="D983" s="1853"/>
      <c r="E983" s="1853"/>
      <c r="F983" s="1853"/>
      <c r="G983" s="1746"/>
    </row>
    <row r="984" spans="1:7" ht="12.75" customHeight="1">
      <c r="A984" s="1763"/>
      <c r="B984" s="1763"/>
      <c r="C984" s="1747"/>
      <c r="D984" s="1745"/>
      <c r="E984" s="1745"/>
      <c r="F984" s="1745"/>
      <c r="G984" s="1746"/>
    </row>
    <row r="985" spans="1:7" ht="12.75" customHeight="1">
      <c r="A985" s="1763"/>
      <c r="B985" s="1763"/>
      <c r="C985" s="1747"/>
      <c r="D985" s="1875" t="s">
        <v>2330</v>
      </c>
      <c r="E985" s="1875"/>
      <c r="F985" s="1875"/>
      <c r="G985" s="1746"/>
    </row>
    <row r="986" spans="1:7" ht="12.75" customHeight="1">
      <c r="A986" s="1763"/>
      <c r="B986" s="1763"/>
      <c r="C986" s="1747"/>
      <c r="D986" s="1717"/>
      <c r="E986" s="1745"/>
      <c r="F986" s="1745"/>
      <c r="G986" s="1746"/>
    </row>
    <row r="987" spans="1:7" ht="12.75" customHeight="1">
      <c r="A987" s="715"/>
      <c r="B987" s="799" t="s">
        <v>2467</v>
      </c>
      <c r="C987" s="1747"/>
      <c r="D987" s="1853" t="s">
        <v>2331</v>
      </c>
      <c r="E987" s="1853"/>
      <c r="F987" s="1853"/>
      <c r="G987" s="1746"/>
    </row>
    <row r="988" spans="1:7" ht="12.75" customHeight="1">
      <c r="A988" s="1763"/>
      <c r="B988" s="1763"/>
      <c r="C988" s="1747"/>
      <c r="D988" s="1853"/>
      <c r="E988" s="1853"/>
      <c r="F988" s="1853"/>
      <c r="G988" s="1746"/>
    </row>
    <row r="989" spans="1:7" ht="12.75" customHeight="1">
      <c r="A989" s="1763"/>
      <c r="B989" s="1763"/>
      <c r="C989" s="1747"/>
      <c r="D989" s="1853"/>
      <c r="E989" s="1853"/>
      <c r="F989" s="1853"/>
      <c r="G989" s="1746"/>
    </row>
    <row r="990" spans="1:7" ht="12.75" customHeight="1">
      <c r="A990" s="1763"/>
      <c r="B990" s="1763"/>
      <c r="C990" s="1747"/>
      <c r="D990" s="679"/>
      <c r="E990" s="6"/>
      <c r="F990" s="6"/>
      <c r="G990" s="1746"/>
    </row>
    <row r="991" spans="1:7" ht="12.75" customHeight="1">
      <c r="A991" s="715"/>
      <c r="B991" s="799" t="s">
        <v>2467</v>
      </c>
      <c r="C991" s="1747"/>
      <c r="D991" s="1853" t="s">
        <v>2332</v>
      </c>
      <c r="E991" s="1853"/>
      <c r="F991" s="1853"/>
      <c r="G991" s="1746"/>
    </row>
    <row r="992" spans="1:7" ht="12.75" customHeight="1">
      <c r="A992" s="1763"/>
      <c r="B992" s="1763"/>
      <c r="C992" s="1747"/>
      <c r="D992" s="1853"/>
      <c r="E992" s="1853"/>
      <c r="F992" s="1853"/>
      <c r="G992" s="1746"/>
    </row>
    <row r="993" spans="1:7" ht="12.75" customHeight="1">
      <c r="A993" s="1763"/>
      <c r="B993" s="1763"/>
      <c r="C993" s="1747"/>
      <c r="D993" s="1853"/>
      <c r="E993" s="1853"/>
      <c r="F993" s="1853"/>
      <c r="G993" s="1746"/>
    </row>
    <row r="994" spans="1:7" ht="12.75" customHeight="1">
      <c r="A994" s="1763"/>
      <c r="B994" s="1763"/>
      <c r="C994" s="1747"/>
      <c r="D994" s="1713"/>
      <c r="E994" s="1745"/>
      <c r="F994" s="1745"/>
      <c r="G994" s="1746"/>
    </row>
    <row r="995" spans="1:7" ht="12.75" customHeight="1">
      <c r="A995" s="1763"/>
      <c r="B995" s="1763"/>
      <c r="C995" s="1747"/>
      <c r="D995" s="1875" t="s">
        <v>2333</v>
      </c>
      <c r="E995" s="1875"/>
      <c r="F995" s="1875"/>
      <c r="G995" s="1746"/>
    </row>
    <row r="996" spans="1:7" ht="12.75" customHeight="1">
      <c r="A996" s="1763"/>
      <c r="B996" s="1763"/>
      <c r="C996" s="1747"/>
      <c r="D996" s="1717"/>
      <c r="E996" s="1745"/>
      <c r="F996" s="1745"/>
      <c r="G996" s="1746"/>
    </row>
    <row r="997" spans="1:7" ht="12.75" customHeight="1">
      <c r="A997" s="715"/>
      <c r="B997" s="799" t="s">
        <v>2615</v>
      </c>
      <c r="C997" s="1747"/>
      <c r="D997" s="1955" t="s">
        <v>2334</v>
      </c>
      <c r="E997" s="1955"/>
      <c r="F997" s="1955"/>
      <c r="G997" s="1765"/>
    </row>
    <row r="998" spans="1:7" ht="12.75" customHeight="1">
      <c r="A998" s="1763"/>
      <c r="B998" s="1763"/>
      <c r="C998" s="1747"/>
      <c r="D998" s="1955"/>
      <c r="E998" s="1955"/>
      <c r="F998" s="1955"/>
      <c r="G998" s="1765"/>
    </row>
    <row r="999" spans="1:7" ht="12.75" customHeight="1">
      <c r="A999" s="1763"/>
      <c r="B999" s="1763"/>
      <c r="C999" s="1747"/>
      <c r="D999" s="1955"/>
      <c r="E999" s="1955"/>
      <c r="F999" s="1955"/>
      <c r="G999" s="1765"/>
    </row>
    <row r="1000" spans="1:7" ht="12.75" customHeight="1">
      <c r="A1000" s="1763"/>
      <c r="B1000" s="1763"/>
      <c r="C1000" s="1747"/>
      <c r="D1000" s="1766"/>
      <c r="E1000" s="1766"/>
      <c r="F1000" s="1766"/>
      <c r="G1000" s="1766"/>
    </row>
    <row r="1001" spans="1:7" ht="12.75" customHeight="1">
      <c r="A1001" s="1763"/>
      <c r="B1001" s="799" t="s">
        <v>2467</v>
      </c>
      <c r="C1001" s="1747"/>
      <c r="D1001" s="1955" t="s">
        <v>2335</v>
      </c>
      <c r="E1001" s="1955"/>
      <c r="F1001" s="1955"/>
      <c r="G1001" s="1766"/>
    </row>
    <row r="1002" spans="1:7" ht="12.75" customHeight="1">
      <c r="A1002" s="1763"/>
      <c r="B1002" s="1763"/>
      <c r="C1002" s="1747"/>
      <c r="D1002" s="1955"/>
      <c r="E1002" s="1955"/>
      <c r="F1002" s="1955"/>
      <c r="G1002" s="1766"/>
    </row>
    <row r="1003" spans="1:7" ht="12.75" customHeight="1">
      <c r="A1003" s="1763"/>
      <c r="B1003" s="1763"/>
      <c r="C1003" s="1747"/>
      <c r="D1003" s="1955"/>
      <c r="E1003" s="1955"/>
      <c r="F1003" s="1955"/>
      <c r="G1003" s="1766"/>
    </row>
    <row r="1004" spans="1:7" ht="12.75" customHeight="1">
      <c r="A1004" s="1763"/>
      <c r="B1004" s="1763"/>
      <c r="C1004" s="1747"/>
      <c r="D1004" s="1713"/>
      <c r="E1004" s="1745"/>
      <c r="F1004" s="1745"/>
      <c r="G1004" s="1746"/>
    </row>
    <row r="1005" spans="1:7" ht="12.75" customHeight="1">
      <c r="A1005" s="1763"/>
      <c r="B1005" s="799" t="s">
        <v>2467</v>
      </c>
      <c r="C1005" s="1747"/>
      <c r="D1005" s="1956" t="s">
        <v>2336</v>
      </c>
      <c r="E1005" s="1956"/>
      <c r="F1005" s="1956"/>
      <c r="G1005" s="1767"/>
    </row>
    <row r="1006" spans="1:7" ht="12.75" customHeight="1">
      <c r="A1006" s="1763"/>
      <c r="B1006" s="1763"/>
      <c r="C1006" s="1747"/>
      <c r="D1006" s="1956"/>
      <c r="E1006" s="1956"/>
      <c r="F1006" s="1956"/>
      <c r="G1006" s="1767"/>
    </row>
    <row r="1007" spans="1:7" ht="12.75" customHeight="1">
      <c r="A1007" s="1763"/>
      <c r="B1007" s="1763"/>
      <c r="C1007" s="1747"/>
      <c r="D1007" s="1956"/>
      <c r="E1007" s="1956"/>
      <c r="F1007" s="1956"/>
      <c r="G1007" s="1767"/>
    </row>
    <row r="1008" spans="1:7" ht="12.75" customHeight="1">
      <c r="A1008" s="1763"/>
      <c r="B1008" s="1763"/>
      <c r="C1008" s="1747"/>
      <c r="D1008" s="1745"/>
      <c r="E1008" s="1745"/>
      <c r="F1008" s="1745"/>
      <c r="G1008" s="1746"/>
    </row>
    <row r="1009" spans="1:7" ht="12.75" customHeight="1">
      <c r="A1009" s="1763"/>
      <c r="B1009" s="799" t="s">
        <v>2467</v>
      </c>
      <c r="C1009" s="1747"/>
      <c r="D1009" s="1955" t="s">
        <v>2337</v>
      </c>
      <c r="E1009" s="1955"/>
      <c r="F1009" s="1955"/>
      <c r="G1009" s="1767"/>
    </row>
    <row r="1010" spans="1:7" ht="12.75" customHeight="1">
      <c r="A1010" s="1763"/>
      <c r="B1010" s="1763"/>
      <c r="C1010" s="1747"/>
      <c r="D1010" s="1955"/>
      <c r="E1010" s="1955"/>
      <c r="F1010" s="1955"/>
      <c r="G1010" s="1767"/>
    </row>
    <row r="1011" spans="1:7" ht="12.75" customHeight="1">
      <c r="A1011" s="1763"/>
      <c r="B1011" s="1763"/>
      <c r="C1011" s="1747"/>
      <c r="D1011" s="1955"/>
      <c r="E1011" s="1955"/>
      <c r="F1011" s="1955"/>
      <c r="G1011" s="1767"/>
    </row>
    <row r="1012" spans="1:7" ht="12.75" customHeight="1">
      <c r="A1012" s="715"/>
      <c r="B1012" s="715"/>
      <c r="C1012" s="1747"/>
      <c r="D1012" s="1713"/>
      <c r="E1012" s="1745"/>
      <c r="F1012" s="1745"/>
      <c r="G1012" s="1746"/>
    </row>
    <row r="1013" spans="1:7" ht="12.75" customHeight="1">
      <c r="A1013" s="1763"/>
      <c r="B1013" s="799" t="s">
        <v>2467</v>
      </c>
      <c r="C1013" s="1747"/>
      <c r="D1013" s="1955" t="s">
        <v>2338</v>
      </c>
      <c r="E1013" s="1955"/>
      <c r="F1013" s="1955"/>
      <c r="G1013" s="1767"/>
    </row>
    <row r="1014" spans="1:7" ht="12.75" customHeight="1">
      <c r="A1014" s="1763"/>
      <c r="B1014" s="1763"/>
      <c r="C1014" s="1747"/>
      <c r="D1014" s="1955"/>
      <c r="E1014" s="1955"/>
      <c r="F1014" s="1955"/>
      <c r="G1014" s="1767"/>
    </row>
    <row r="1015" spans="1:7" ht="12.75" customHeight="1">
      <c r="A1015" s="1763"/>
      <c r="B1015" s="1763"/>
      <c r="C1015" s="1747"/>
      <c r="D1015" s="1955"/>
      <c r="E1015" s="1955"/>
      <c r="F1015" s="1955"/>
      <c r="G1015" s="1767"/>
    </row>
    <row r="1016" spans="1:7" ht="12.75" customHeight="1">
      <c r="A1016" s="1763"/>
      <c r="B1016" s="1763"/>
      <c r="C1016" s="1747"/>
      <c r="D1016" s="1713"/>
      <c r="E1016" s="1745"/>
      <c r="F1016" s="1745"/>
      <c r="G1016" s="1746"/>
    </row>
    <row r="1017" spans="1:7" ht="12.75" customHeight="1">
      <c r="A1017" s="1763"/>
      <c r="B1017" s="799" t="s">
        <v>2467</v>
      </c>
      <c r="C1017" s="1747"/>
      <c r="D1017" s="1955" t="s">
        <v>2339</v>
      </c>
      <c r="E1017" s="1955"/>
      <c r="F1017" s="1955"/>
      <c r="G1017" s="1765"/>
    </row>
    <row r="1018" spans="1:7" ht="12.75" customHeight="1">
      <c r="A1018" s="1763"/>
      <c r="B1018" s="1763"/>
      <c r="C1018" s="1747"/>
      <c r="D1018" s="1955"/>
      <c r="E1018" s="1955"/>
      <c r="F1018" s="1955"/>
      <c r="G1018" s="1765"/>
    </row>
    <row r="1019" spans="1:7" ht="12.75" customHeight="1">
      <c r="A1019" s="1763"/>
      <c r="B1019" s="1763"/>
      <c r="C1019" s="1747"/>
      <c r="D1019" s="1955"/>
      <c r="E1019" s="1955"/>
      <c r="F1019" s="1955"/>
      <c r="G1019" s="1765"/>
    </row>
    <row r="1020" spans="1:7" ht="12.75" customHeight="1">
      <c r="A1020" s="1763"/>
      <c r="B1020" s="1763"/>
      <c r="C1020" s="1747"/>
      <c r="D1020" s="1765"/>
      <c r="E1020" s="1765"/>
      <c r="F1020" s="1765"/>
      <c r="G1020" s="1765"/>
    </row>
    <row r="1021" spans="1:7" ht="12.75" customHeight="1">
      <c r="A1021" s="1763"/>
      <c r="B1021" s="799" t="s">
        <v>2467</v>
      </c>
      <c r="C1021" s="1747"/>
      <c r="D1021" s="1955" t="s">
        <v>2340</v>
      </c>
      <c r="E1021" s="1955"/>
      <c r="F1021" s="1955"/>
      <c r="G1021" s="1765"/>
    </row>
    <row r="1022" spans="1:7" ht="12.75" customHeight="1">
      <c r="A1022" s="1763"/>
      <c r="B1022" s="1763"/>
      <c r="C1022" s="1747"/>
      <c r="D1022" s="1955"/>
      <c r="E1022" s="1955"/>
      <c r="F1022" s="1955"/>
      <c r="G1022" s="1765"/>
    </row>
    <row r="1023" spans="1:7" ht="12.75" customHeight="1">
      <c r="A1023" s="1763"/>
      <c r="B1023" s="1763"/>
      <c r="C1023" s="1747"/>
      <c r="D1023" s="1955"/>
      <c r="E1023" s="1955"/>
      <c r="F1023" s="1955"/>
      <c r="G1023" s="1765"/>
    </row>
    <row r="1024" spans="1:7" ht="12.75" customHeight="1">
      <c r="A1024" s="1763"/>
      <c r="B1024" s="1763"/>
      <c r="C1024" s="1747"/>
      <c r="D1024" s="1768"/>
      <c r="E1024" s="1768"/>
      <c r="F1024" s="1768"/>
      <c r="G1024" s="1769"/>
    </row>
    <row r="1025" spans="1:7" ht="12.75" customHeight="1">
      <c r="A1025" s="1770"/>
      <c r="B1025" s="799" t="s">
        <v>2615</v>
      </c>
      <c r="C1025" s="1751"/>
      <c r="D1025" s="1957" t="s">
        <v>2341</v>
      </c>
      <c r="E1025" s="1957"/>
      <c r="F1025" s="1957"/>
      <c r="G1025" s="1771"/>
    </row>
    <row r="1026" spans="1:7" ht="12.75" customHeight="1">
      <c r="A1026" s="1770"/>
      <c r="B1026" s="1770"/>
      <c r="C1026" s="1751"/>
      <c r="D1026" s="1957"/>
      <c r="E1026" s="1957"/>
      <c r="F1026" s="1957"/>
      <c r="G1026" s="1771"/>
    </row>
    <row r="1027" spans="1:7" ht="12.75" customHeight="1">
      <c r="A1027" s="1770"/>
      <c r="B1027" s="1770"/>
      <c r="C1027" s="1751"/>
      <c r="D1027" s="1957"/>
      <c r="E1027" s="1957"/>
      <c r="F1027" s="1957"/>
      <c r="G1027" s="1771"/>
    </row>
    <row r="1028" spans="1:7" ht="12.75" customHeight="1">
      <c r="A1028" s="1770"/>
      <c r="B1028" s="1770"/>
      <c r="C1028" s="1751"/>
      <c r="D1028" s="1957"/>
      <c r="E1028" s="1957"/>
      <c r="F1028" s="1957"/>
      <c r="G1028" s="1771"/>
    </row>
    <row r="1029" spans="1:7" ht="12.75" customHeight="1">
      <c r="A1029" s="1770"/>
      <c r="B1029" s="1770"/>
      <c r="C1029" s="1751"/>
      <c r="D1029" s="1957"/>
      <c r="E1029" s="1957"/>
      <c r="F1029" s="1957"/>
      <c r="G1029" s="1771"/>
    </row>
    <row r="1030" spans="1:7" ht="12.75" customHeight="1">
      <c r="A1030" s="1770"/>
      <c r="B1030" s="1770"/>
      <c r="C1030" s="1751"/>
      <c r="D1030" s="1957"/>
      <c r="E1030" s="1957"/>
      <c r="F1030" s="1957"/>
      <c r="G1030" s="1771"/>
    </row>
    <row r="1031" spans="1:7" ht="12.75" customHeight="1">
      <c r="A1031" s="1770"/>
      <c r="B1031" s="1770"/>
      <c r="C1031" s="1751"/>
      <c r="D1031" s="1957"/>
      <c r="E1031" s="1957"/>
      <c r="F1031" s="1957"/>
      <c r="G1031" s="1771"/>
    </row>
    <row r="1032" spans="1:7" ht="12.75" customHeight="1">
      <c r="A1032" s="1770"/>
      <c r="B1032" s="1770"/>
      <c r="C1032" s="1751"/>
      <c r="D1032" s="1957"/>
      <c r="E1032" s="1957"/>
      <c r="F1032" s="1957"/>
      <c r="G1032" s="1771"/>
    </row>
    <row r="1033" spans="1:7" ht="12.75" customHeight="1">
      <c r="A1033" s="1770"/>
      <c r="B1033" s="1770"/>
      <c r="C1033" s="1751"/>
      <c r="D1033" s="1957"/>
      <c r="E1033" s="1957"/>
      <c r="F1033" s="1957"/>
      <c r="G1033" s="1771"/>
    </row>
    <row r="1034" spans="1:7" ht="12.75" customHeight="1">
      <c r="A1034" s="1770"/>
      <c r="B1034" s="1770"/>
      <c r="C1034" s="1751"/>
      <c r="D1034" s="1957"/>
      <c r="E1034" s="1957"/>
      <c r="F1034" s="1957"/>
      <c r="G1034" s="1771"/>
    </row>
    <row r="1035" spans="1:7" ht="12.75" customHeight="1">
      <c r="A1035" s="1770"/>
      <c r="B1035" s="1770"/>
      <c r="C1035" s="1751"/>
      <c r="D1035" s="1957"/>
      <c r="E1035" s="1957"/>
      <c r="F1035" s="1957"/>
      <c r="G1035" s="1771"/>
    </row>
    <row r="1036" spans="1:7" ht="12.75" customHeight="1">
      <c r="A1036" s="1770"/>
      <c r="B1036" s="1770"/>
      <c r="C1036" s="1751"/>
      <c r="D1036" s="1709"/>
      <c r="E1036" s="1709"/>
      <c r="F1036" s="1709"/>
      <c r="G1036" s="1709"/>
    </row>
    <row r="1037" spans="1:7" ht="12.75" customHeight="1">
      <c r="A1037" s="1763"/>
      <c r="B1037" s="1763"/>
      <c r="C1037" s="1747"/>
      <c r="D1037" s="1875" t="s">
        <v>2342</v>
      </c>
      <c r="E1037" s="1875"/>
      <c r="F1037" s="1875"/>
      <c r="G1037" s="1709"/>
    </row>
    <row r="1038" spans="1:7" ht="12.75" customHeight="1">
      <c r="A1038" s="1763"/>
      <c r="B1038" s="1763"/>
      <c r="C1038" s="1747"/>
      <c r="D1038" s="1717"/>
      <c r="E1038" s="1711"/>
      <c r="F1038" s="1711"/>
      <c r="G1038" s="1709"/>
    </row>
    <row r="1039" spans="1:7" ht="12.75" customHeight="1">
      <c r="A1039" s="715"/>
      <c r="B1039" s="799" t="s">
        <v>2615</v>
      </c>
      <c r="C1039" s="1747"/>
      <c r="D1039" s="1852" t="s">
        <v>2343</v>
      </c>
      <c r="E1039" s="1852"/>
      <c r="F1039" s="1852"/>
      <c r="G1039" s="1746"/>
    </row>
    <row r="1040" spans="1:7" ht="12.75" customHeight="1">
      <c r="A1040" s="1763"/>
      <c r="B1040" s="1763"/>
      <c r="C1040" s="1747"/>
      <c r="D1040" s="1852"/>
      <c r="E1040" s="1852"/>
      <c r="F1040" s="1852"/>
      <c r="G1040" s="1746"/>
    </row>
    <row r="1041" spans="1:7" ht="12.75" customHeight="1">
      <c r="A1041" s="1763"/>
      <c r="B1041" s="1763"/>
      <c r="C1041" s="1747"/>
      <c r="D1041" s="1852"/>
      <c r="E1041" s="1852"/>
      <c r="F1041" s="1852"/>
      <c r="G1041" s="1746"/>
    </row>
    <row r="1042" spans="1:7" ht="12.75" customHeight="1">
      <c r="A1042" s="1763"/>
      <c r="B1042" s="1763"/>
      <c r="C1042" s="1747"/>
      <c r="D1042" s="1852"/>
      <c r="E1042" s="1852"/>
      <c r="F1042" s="1852"/>
      <c r="G1042" s="1746"/>
    </row>
    <row r="1043" spans="1:7" ht="12.75" customHeight="1">
      <c r="A1043" s="1763"/>
      <c r="B1043" s="1763"/>
      <c r="C1043" s="1747"/>
      <c r="D1043" s="1745"/>
      <c r="E1043" s="1745"/>
      <c r="F1043" s="1745"/>
      <c r="G1043" s="1746"/>
    </row>
    <row r="1044" spans="1:7" ht="12.75" customHeight="1">
      <c r="A1044" s="715"/>
      <c r="B1044" s="799" t="s">
        <v>2467</v>
      </c>
      <c r="C1044" s="1747"/>
      <c r="D1044" s="1852" t="s">
        <v>2344</v>
      </c>
      <c r="E1044" s="1852"/>
      <c r="F1044" s="1852"/>
      <c r="G1044" s="1746"/>
    </row>
    <row r="1045" spans="1:7" ht="12.75" customHeight="1">
      <c r="A1045" s="1763"/>
      <c r="B1045" s="1763"/>
      <c r="C1045" s="1747"/>
      <c r="D1045" s="1852"/>
      <c r="E1045" s="1852"/>
      <c r="F1045" s="1852"/>
      <c r="G1045" s="1746"/>
    </row>
    <row r="1046" spans="1:7" ht="12.75" customHeight="1">
      <c r="A1046" s="1763"/>
      <c r="B1046" s="1763"/>
      <c r="C1046" s="1747"/>
      <c r="D1046" s="1852"/>
      <c r="E1046" s="1852"/>
      <c r="F1046" s="1852"/>
      <c r="G1046" s="1746"/>
    </row>
    <row r="1047" spans="1:7" ht="12.75" customHeight="1">
      <c r="A1047" s="1763"/>
      <c r="B1047" s="1763"/>
      <c r="C1047" s="1747"/>
      <c r="D1047" s="1852"/>
      <c r="E1047" s="1852"/>
      <c r="F1047" s="1852"/>
      <c r="G1047" s="1746"/>
    </row>
    <row r="1048" spans="1:7" ht="12.75" customHeight="1">
      <c r="A1048" s="1763"/>
      <c r="B1048" s="1763"/>
      <c r="C1048" s="1747"/>
      <c r="D1048" s="1745"/>
      <c r="E1048" s="1745"/>
      <c r="F1048" s="1745"/>
      <c r="G1048" s="1746"/>
    </row>
    <row r="1049" spans="1:7" ht="12.75" customHeight="1">
      <c r="A1049" s="1763"/>
      <c r="B1049" s="799" t="s">
        <v>2467</v>
      </c>
      <c r="C1049" s="1747"/>
      <c r="D1049" s="1954" t="s">
        <v>2345</v>
      </c>
      <c r="E1049" s="1954"/>
      <c r="F1049" s="1954"/>
      <c r="G1049" s="1746"/>
    </row>
    <row r="1050" spans="1:7" ht="12.75" customHeight="1">
      <c r="A1050" s="1763"/>
      <c r="B1050" s="1763"/>
      <c r="C1050" s="1747"/>
      <c r="D1050" s="1954"/>
      <c r="E1050" s="1954"/>
      <c r="F1050" s="1954"/>
      <c r="G1050" s="1746"/>
    </row>
    <row r="1051" spans="1:7" ht="12.75" customHeight="1">
      <c r="A1051" s="1763"/>
      <c r="B1051" s="1763"/>
      <c r="C1051" s="1747"/>
      <c r="D1051" s="1954"/>
      <c r="E1051" s="1954"/>
      <c r="F1051" s="1954"/>
      <c r="G1051" s="1746"/>
    </row>
    <row r="1052" spans="1:7" ht="12.75" customHeight="1">
      <c r="A1052" s="1763"/>
      <c r="B1052" s="1763"/>
      <c r="C1052" s="1747"/>
      <c r="D1052" s="1745"/>
      <c r="E1052" s="1745"/>
      <c r="F1052" s="1745"/>
      <c r="G1052" s="1746"/>
    </row>
    <row r="1053" spans="1:7" ht="12.75" customHeight="1">
      <c r="A1053" s="715"/>
      <c r="B1053" s="799" t="s">
        <v>2467</v>
      </c>
      <c r="C1053" s="1772"/>
      <c r="D1053" s="1910" t="s">
        <v>2346</v>
      </c>
      <c r="E1053" s="1910"/>
      <c r="F1053" s="1910"/>
      <c r="G1053" s="1773"/>
    </row>
    <row r="1054" spans="1:7" ht="12.75" customHeight="1">
      <c r="A1054" s="1774"/>
      <c r="B1054" s="1774"/>
      <c r="C1054" s="1772"/>
      <c r="D1054" s="1910"/>
      <c r="E1054" s="1910"/>
      <c r="F1054" s="1910"/>
      <c r="G1054" s="1773"/>
    </row>
    <row r="1055" spans="1:7" ht="12.75" customHeight="1">
      <c r="A1055" s="1774"/>
      <c r="B1055" s="1774"/>
      <c r="C1055" s="1772"/>
      <c r="D1055" s="1910"/>
      <c r="E1055" s="1910"/>
      <c r="F1055" s="1910"/>
      <c r="G1055" s="1773"/>
    </row>
    <row r="1056" spans="1:7" ht="12.75" customHeight="1">
      <c r="A1056" s="1763"/>
      <c r="B1056" s="1763"/>
      <c r="C1056" s="1747"/>
      <c r="D1056" s="1745"/>
      <c r="E1056" s="1745"/>
      <c r="F1056" s="1745"/>
      <c r="G1056" s="1746"/>
    </row>
    <row r="1057" spans="1:7" ht="12.75" customHeight="1">
      <c r="A1057" s="557"/>
      <c r="B1057" s="557"/>
      <c r="C1057" s="1747"/>
      <c r="D1057" s="1875" t="s">
        <v>2347</v>
      </c>
      <c r="E1057" s="1875"/>
      <c r="F1057" s="1875"/>
      <c r="G1057" s="1746"/>
    </row>
    <row r="1058" spans="1:7" ht="12.75" customHeight="1">
      <c r="A1058" s="557"/>
      <c r="B1058" s="557"/>
      <c r="C1058" s="1747"/>
      <c r="D1058" s="1717"/>
      <c r="E1058" s="1745"/>
      <c r="F1058" s="1745"/>
      <c r="G1058" s="1746"/>
    </row>
    <row r="1059" spans="1:7" ht="12.75" customHeight="1">
      <c r="A1059" s="1763"/>
      <c r="B1059" s="799" t="s">
        <v>2467</v>
      </c>
      <c r="C1059" s="1747"/>
      <c r="D1059" s="1853" t="s">
        <v>2348</v>
      </c>
      <c r="E1059" s="1853"/>
      <c r="F1059" s="1853"/>
      <c r="G1059" s="1746"/>
    </row>
    <row r="1060" spans="1:7" ht="12.75" customHeight="1">
      <c r="A1060" s="1763"/>
      <c r="B1060" s="1763"/>
      <c r="C1060" s="1747"/>
      <c r="D1060" s="1853"/>
      <c r="E1060" s="1853"/>
      <c r="F1060" s="1853"/>
      <c r="G1060" s="1746"/>
    </row>
    <row r="1061" spans="1:7" ht="12.75" customHeight="1">
      <c r="A1061" s="1763"/>
      <c r="B1061" s="1763"/>
      <c r="C1061" s="1747"/>
      <c r="D1061" s="1853"/>
      <c r="E1061" s="1853"/>
      <c r="F1061" s="1853"/>
      <c r="G1061" s="1746"/>
    </row>
    <row r="1062" spans="1:7" ht="12.75" customHeight="1">
      <c r="A1062" s="1763"/>
      <c r="B1062" s="1763"/>
      <c r="C1062" s="1747"/>
      <c r="D1062" s="1746"/>
      <c r="E1062" s="1745"/>
      <c r="F1062" s="1745"/>
      <c r="G1062" s="1746"/>
    </row>
    <row r="1063" spans="1:7" ht="12.75" customHeight="1">
      <c r="A1063" s="715"/>
      <c r="B1063" s="799" t="s">
        <v>2467</v>
      </c>
      <c r="C1063" s="1747"/>
      <c r="D1063" s="1853" t="s">
        <v>2349</v>
      </c>
      <c r="E1063" s="1853"/>
      <c r="F1063" s="1853"/>
      <c r="G1063" s="1746"/>
    </row>
    <row r="1064" spans="1:7" ht="12.75" customHeight="1">
      <c r="A1064" s="1763"/>
      <c r="B1064" s="1763"/>
      <c r="C1064" s="1747"/>
      <c r="D1064" s="1853"/>
      <c r="E1064" s="1853"/>
      <c r="F1064" s="1853"/>
      <c r="G1064" s="1746"/>
    </row>
    <row r="1065" spans="1:7" ht="12.75" customHeight="1">
      <c r="A1065" s="1763"/>
      <c r="B1065" s="1763"/>
      <c r="C1065" s="1747"/>
      <c r="D1065" s="1853"/>
      <c r="E1065" s="1853"/>
      <c r="F1065" s="1853"/>
      <c r="G1065" s="1746"/>
    </row>
    <row r="1066" spans="1:7" ht="12.75" customHeight="1">
      <c r="A1066" s="1763"/>
      <c r="B1066" s="1763"/>
      <c r="C1066" s="1747"/>
      <c r="D1066" s="1745"/>
      <c r="E1066" s="1745"/>
      <c r="F1066" s="1745"/>
      <c r="G1066" s="1746"/>
    </row>
    <row r="1067" spans="1:7" ht="12.75" customHeight="1">
      <c r="A1067" s="1763"/>
      <c r="B1067" s="1763"/>
      <c r="C1067" s="1747"/>
      <c r="D1067" s="1875" t="s">
        <v>2350</v>
      </c>
      <c r="E1067" s="1875"/>
      <c r="F1067" s="1875"/>
      <c r="G1067" s="1746"/>
    </row>
    <row r="1068" spans="1:7" ht="12.75" customHeight="1">
      <c r="A1068" s="1763"/>
      <c r="B1068" s="1763"/>
      <c r="C1068" s="1747"/>
      <c r="D1068" s="1865" t="s">
        <v>2351</v>
      </c>
      <c r="E1068" s="1865"/>
      <c r="F1068" s="1865"/>
      <c r="G1068" s="1746"/>
    </row>
    <row r="1069" spans="1:7" ht="12.75" customHeight="1">
      <c r="A1069" s="1763"/>
      <c r="B1069" s="1763"/>
      <c r="C1069" s="1747"/>
      <c r="D1069" s="1775"/>
      <c r="E1069" s="1745"/>
      <c r="F1069" s="1745"/>
      <c r="G1069" s="1746"/>
    </row>
    <row r="1070" spans="1:7" ht="12.75" customHeight="1">
      <c r="A1070" s="715"/>
      <c r="B1070" s="799" t="s">
        <v>2467</v>
      </c>
      <c r="C1070" s="1747"/>
      <c r="D1070" s="1852" t="s">
        <v>2352</v>
      </c>
      <c r="E1070" s="1852"/>
      <c r="F1070" s="1852"/>
      <c r="G1070" s="1746"/>
    </row>
    <row r="1071" spans="1:7" ht="12.75" customHeight="1">
      <c r="A1071" s="1763"/>
      <c r="B1071" s="1763"/>
      <c r="C1071" s="1747"/>
      <c r="D1071" s="1852"/>
      <c r="E1071" s="1852"/>
      <c r="F1071" s="1852"/>
      <c r="G1071" s="1746"/>
    </row>
    <row r="1072" spans="1:7" ht="12.75" customHeight="1">
      <c r="A1072" s="1763"/>
      <c r="B1072" s="1763"/>
      <c r="C1072" s="1747"/>
      <c r="D1072" s="1745"/>
      <c r="E1072" s="1745"/>
      <c r="F1072" s="1745"/>
      <c r="G1072" s="1746"/>
    </row>
    <row r="1073" spans="1:7" ht="12.75" customHeight="1">
      <c r="A1073" s="715"/>
      <c r="B1073" s="799" t="s">
        <v>2467</v>
      </c>
      <c r="C1073" s="1747"/>
      <c r="D1073" s="1852" t="s">
        <v>2353</v>
      </c>
      <c r="E1073" s="1852"/>
      <c r="F1073" s="1852"/>
      <c r="G1073" s="1746"/>
    </row>
    <row r="1074" spans="1:7" ht="12.75" customHeight="1">
      <c r="A1074" s="1763"/>
      <c r="B1074" s="1763"/>
      <c r="C1074" s="1747"/>
      <c r="D1074" s="1852"/>
      <c r="E1074" s="1852"/>
      <c r="F1074" s="1852"/>
      <c r="G1074" s="1746"/>
    </row>
    <row r="1075" spans="1:7" ht="12.75" customHeight="1">
      <c r="A1075" s="1763"/>
      <c r="B1075" s="1763"/>
      <c r="C1075" s="1747"/>
      <c r="D1075" s="6"/>
      <c r="E1075" s="1745"/>
      <c r="F1075" s="1745"/>
      <c r="G1075" s="1746"/>
    </row>
    <row r="1076" spans="1:7" ht="12.75" customHeight="1">
      <c r="A1076" s="1763"/>
      <c r="B1076" s="1763"/>
      <c r="C1076" s="1747"/>
      <c r="D1076" s="1875" t="s">
        <v>2354</v>
      </c>
      <c r="E1076" s="1875"/>
      <c r="F1076" s="1875"/>
      <c r="G1076" s="1746"/>
    </row>
    <row r="1077" spans="1:7" ht="12.75" customHeight="1">
      <c r="A1077" s="1763"/>
      <c r="B1077" s="1763"/>
      <c r="C1077" s="1747"/>
      <c r="D1077" s="1717"/>
      <c r="E1077" s="1745"/>
      <c r="F1077" s="1745"/>
      <c r="G1077" s="1746"/>
    </row>
    <row r="1078" spans="1:7" ht="12.75" customHeight="1">
      <c r="A1078" s="715"/>
      <c r="B1078" s="799" t="s">
        <v>2467</v>
      </c>
      <c r="C1078" s="1747"/>
      <c r="D1078" s="1852" t="s">
        <v>2355</v>
      </c>
      <c r="E1078" s="1852"/>
      <c r="F1078" s="1852"/>
      <c r="G1078" s="1746"/>
    </row>
    <row r="1079" spans="1:7" ht="12.75" customHeight="1">
      <c r="A1079" s="1763"/>
      <c r="B1079" s="1763"/>
      <c r="C1079" s="1747"/>
      <c r="D1079" s="1852"/>
      <c r="E1079" s="1852"/>
      <c r="F1079" s="1852"/>
      <c r="G1079" s="1746"/>
    </row>
    <row r="1080" spans="1:7" ht="12.75" customHeight="1">
      <c r="A1080" s="1763"/>
      <c r="B1080" s="1763"/>
      <c r="C1080" s="1747"/>
      <c r="D1080" s="1852"/>
      <c r="E1080" s="1852"/>
      <c r="F1080" s="1852"/>
      <c r="G1080" s="1746"/>
    </row>
    <row r="1081" spans="1:7" ht="12.75" customHeight="1">
      <c r="A1081" s="1763"/>
      <c r="B1081" s="1763"/>
      <c r="C1081" s="1747"/>
      <c r="D1081" s="1852"/>
      <c r="E1081" s="1852"/>
      <c r="F1081" s="1852"/>
      <c r="G1081" s="1746"/>
    </row>
    <row r="1082" spans="1:7" ht="12.75" customHeight="1">
      <c r="A1082" s="1763"/>
      <c r="B1082" s="1763"/>
      <c r="C1082" s="1747"/>
      <c r="D1082" s="1852"/>
      <c r="E1082" s="1852"/>
      <c r="F1082" s="1852"/>
      <c r="G1082" s="1746"/>
    </row>
    <row r="1083" spans="1:7" ht="12.75" customHeight="1">
      <c r="A1083" s="1763"/>
      <c r="B1083" s="1763"/>
      <c r="C1083" s="1747"/>
      <c r="D1083" s="1852"/>
      <c r="E1083" s="1852"/>
      <c r="F1083" s="1852"/>
      <c r="G1083" s="1746"/>
    </row>
    <row r="1084" spans="1:7" ht="12.75" customHeight="1">
      <c r="A1084" s="1763"/>
      <c r="B1084" s="1763"/>
      <c r="C1084" s="1747"/>
      <c r="D1084" s="1852"/>
      <c r="E1084" s="1852"/>
      <c r="F1084" s="1852"/>
      <c r="G1084" s="1746"/>
    </row>
    <row r="1085" spans="1:7" ht="12.75" customHeight="1">
      <c r="A1085" s="1763"/>
      <c r="B1085" s="1763"/>
      <c r="C1085" s="1747"/>
      <c r="D1085" s="1745"/>
      <c r="E1085" s="1745"/>
      <c r="F1085" s="1745"/>
      <c r="G1085" s="1746"/>
    </row>
    <row r="1086" spans="1:7" ht="12.75" customHeight="1">
      <c r="A1086" s="715"/>
      <c r="B1086" s="799" t="s">
        <v>2615</v>
      </c>
      <c r="C1086" s="1747"/>
      <c r="D1086" s="1852" t="s">
        <v>2356</v>
      </c>
      <c r="E1086" s="1852"/>
      <c r="F1086" s="1852"/>
      <c r="G1086" s="1746"/>
    </row>
    <row r="1087" spans="1:7" ht="12.75" customHeight="1">
      <c r="A1087" s="1763"/>
      <c r="B1087" s="1763"/>
      <c r="C1087" s="1747"/>
      <c r="D1087" s="1852"/>
      <c r="E1087" s="1852"/>
      <c r="F1087" s="1852"/>
      <c r="G1087" s="1746"/>
    </row>
    <row r="1088" spans="1:7" ht="12.75" customHeight="1">
      <c r="A1088" s="1763"/>
      <c r="B1088" s="1763"/>
      <c r="C1088" s="1747"/>
      <c r="D1088" s="1852"/>
      <c r="E1088" s="1852"/>
      <c r="F1088" s="1852"/>
      <c r="G1088" s="1746"/>
    </row>
    <row r="1089" spans="1:7" ht="12.75" customHeight="1">
      <c r="A1089" s="1763"/>
      <c r="B1089" s="1763"/>
      <c r="C1089" s="1747"/>
      <c r="D1089" s="1852"/>
      <c r="E1089" s="1852"/>
      <c r="F1089" s="1852"/>
      <c r="G1089" s="1746"/>
    </row>
    <row r="1090" spans="1:7" ht="12.75" customHeight="1">
      <c r="A1090" s="1763"/>
      <c r="B1090" s="1763"/>
      <c r="C1090" s="1747"/>
      <c r="D1090" s="1852"/>
      <c r="E1090" s="1852"/>
      <c r="F1090" s="1852"/>
      <c r="G1090" s="1746"/>
    </row>
    <row r="1091" spans="1:7" ht="12.75" customHeight="1">
      <c r="A1091" s="1763"/>
      <c r="B1091" s="1763"/>
      <c r="C1091" s="1747"/>
      <c r="D1091" s="1852"/>
      <c r="E1091" s="1852"/>
      <c r="F1091" s="1852"/>
      <c r="G1091" s="1746"/>
    </row>
    <row r="1092" spans="1:7" ht="12.75" customHeight="1">
      <c r="A1092" s="1763"/>
      <c r="B1092" s="1763"/>
      <c r="C1092" s="1747"/>
      <c r="D1092" s="1852"/>
      <c r="E1092" s="1852"/>
      <c r="F1092" s="1852"/>
      <c r="G1092" s="1746"/>
    </row>
    <row r="1093" spans="1:7" ht="12.75" customHeight="1">
      <c r="A1093" s="1763"/>
      <c r="B1093" s="1763"/>
      <c r="C1093" s="1747"/>
      <c r="D1093" s="1707"/>
      <c r="E1093" s="1707"/>
      <c r="F1093" s="1707"/>
      <c r="G1093" s="1746"/>
    </row>
    <row r="1094" spans="1:7" ht="12.75" customHeight="1">
      <c r="A1094" s="1763"/>
      <c r="B1094" s="799" t="s">
        <v>2467</v>
      </c>
      <c r="C1094" s="1747"/>
      <c r="D1094" s="1954" t="s">
        <v>2357</v>
      </c>
      <c r="E1094" s="1954"/>
      <c r="F1094" s="1954"/>
      <c r="G1094" s="1746"/>
    </row>
    <row r="1095" spans="1:7" ht="12.75" customHeight="1">
      <c r="A1095" s="1763"/>
      <c r="B1095" s="1763"/>
      <c r="C1095" s="1747"/>
      <c r="D1095" s="1954"/>
      <c r="E1095" s="1954"/>
      <c r="F1095" s="1954"/>
      <c r="G1095" s="1746"/>
    </row>
    <row r="1096" spans="1:7" ht="12.75" customHeight="1">
      <c r="A1096" s="1763"/>
      <c r="B1096" s="1763"/>
      <c r="C1096" s="1747"/>
      <c r="D1096" s="1954"/>
      <c r="E1096" s="1954"/>
      <c r="F1096" s="1954"/>
      <c r="G1096" s="1746"/>
    </row>
    <row r="1097" spans="1:7" ht="12.75" customHeight="1">
      <c r="A1097" s="1763"/>
      <c r="B1097" s="1763"/>
      <c r="C1097" s="1747"/>
      <c r="D1097" s="1776"/>
      <c r="E1097" s="1776"/>
      <c r="F1097" s="1776"/>
      <c r="G1097" s="1746"/>
    </row>
    <row r="1098" spans="1:7" ht="12.75" customHeight="1">
      <c r="A1098" s="1749"/>
      <c r="B1098" s="1749"/>
      <c r="C1098" s="557"/>
      <c r="D1098" s="1875" t="s">
        <v>2358</v>
      </c>
      <c r="E1098" s="1875"/>
      <c r="F1098" s="1875"/>
      <c r="G1098" s="679"/>
    </row>
    <row r="1099" spans="1:7" ht="12.75" customHeight="1">
      <c r="A1099" s="1749"/>
      <c r="B1099" s="1749"/>
      <c r="C1099" s="557"/>
      <c r="D1099" s="1717"/>
      <c r="E1099" s="6"/>
      <c r="F1099" s="6"/>
      <c r="G1099" s="679"/>
    </row>
    <row r="1100" spans="1:7" ht="12.75" customHeight="1">
      <c r="A1100" s="715"/>
      <c r="B1100" s="799" t="s">
        <v>2467</v>
      </c>
      <c r="C1100" s="557"/>
      <c r="D1100" s="1853" t="s">
        <v>2359</v>
      </c>
      <c r="E1100" s="1853"/>
      <c r="F1100" s="1853"/>
      <c r="G1100" s="679"/>
    </row>
    <row r="1101" spans="1:7" ht="12.75" customHeight="1">
      <c r="A1101" s="1749"/>
      <c r="B1101" s="1749"/>
      <c r="C1101" s="557"/>
      <c r="D1101" s="1853"/>
      <c r="E1101" s="1853"/>
      <c r="F1101" s="1853"/>
      <c r="G1101" s="679"/>
    </row>
    <row r="1102" spans="1:7" ht="12.75" customHeight="1">
      <c r="A1102" s="1749"/>
      <c r="B1102" s="1749"/>
      <c r="C1102" s="557"/>
      <c r="D1102" s="679"/>
      <c r="E1102" s="6"/>
      <c r="F1102" s="6"/>
      <c r="G1102" s="679"/>
    </row>
    <row r="1103" spans="1:7" ht="12.75" customHeight="1">
      <c r="A1103" s="715"/>
      <c r="B1103" s="799" t="s">
        <v>2615</v>
      </c>
      <c r="C1103" s="557"/>
      <c r="D1103" s="1853" t="s">
        <v>2360</v>
      </c>
      <c r="E1103" s="1853"/>
      <c r="F1103" s="1853"/>
      <c r="G1103" s="679"/>
    </row>
    <row r="1104" spans="1:7" ht="12.75" customHeight="1">
      <c r="A1104" s="1749"/>
      <c r="B1104" s="1749"/>
      <c r="C1104" s="557"/>
      <c r="D1104" s="1853"/>
      <c r="E1104" s="1853"/>
      <c r="F1104" s="1853"/>
      <c r="G1104" s="679"/>
    </row>
    <row r="1105" spans="1:7" ht="12.75" customHeight="1">
      <c r="A1105" s="1749"/>
      <c r="B1105" s="1749"/>
      <c r="C1105" s="557"/>
      <c r="D1105" s="6"/>
      <c r="E1105" s="6"/>
      <c r="F1105" s="6"/>
      <c r="G1105" s="679"/>
    </row>
    <row r="1106" spans="1:7" ht="12.75" customHeight="1">
      <c r="A1106" s="1749"/>
      <c r="B1106" s="1749"/>
      <c r="C1106" s="557"/>
      <c r="D1106" s="1875" t="s">
        <v>2361</v>
      </c>
      <c r="E1106" s="1875"/>
      <c r="F1106" s="1875"/>
      <c r="G1106" s="679"/>
    </row>
    <row r="1107" spans="1:7" ht="12.75" customHeight="1">
      <c r="A1107" s="1749"/>
      <c r="B1107" s="1749"/>
      <c r="C1107" s="557"/>
      <c r="D1107" s="1717"/>
      <c r="E1107" s="6"/>
      <c r="F1107" s="6"/>
      <c r="G1107" s="679"/>
    </row>
    <row r="1108" spans="1:7" ht="12.75" customHeight="1">
      <c r="A1108" s="715"/>
      <c r="B1108" s="799" t="s">
        <v>2467</v>
      </c>
      <c r="C1108" s="557"/>
      <c r="D1108" s="1865" t="s">
        <v>2388</v>
      </c>
      <c r="E1108" s="1865"/>
      <c r="F1108" s="1865"/>
      <c r="G1108" s="679"/>
    </row>
    <row r="1109" spans="1:7" ht="12.75" customHeight="1">
      <c r="A1109" s="1749"/>
      <c r="B1109" s="1749"/>
      <c r="C1109" s="557"/>
      <c r="D1109" s="6"/>
      <c r="E1109" s="6"/>
      <c r="F1109" s="6"/>
      <c r="G1109" s="679"/>
    </row>
    <row r="1110" spans="1:7" ht="12.75" customHeight="1">
      <c r="A1110" s="715"/>
      <c r="B1110" s="799" t="s">
        <v>2467</v>
      </c>
      <c r="C1110" s="557"/>
      <c r="D1110" s="1852" t="s">
        <v>2362</v>
      </c>
      <c r="E1110" s="1852"/>
      <c r="F1110" s="1852"/>
      <c r="G1110" s="679"/>
    </row>
    <row r="1111" spans="1:7" ht="12.75" customHeight="1">
      <c r="A1111" s="715"/>
      <c r="B1111" s="715"/>
      <c r="C1111" s="557"/>
      <c r="D1111" s="1852"/>
      <c r="E1111" s="1852"/>
      <c r="F1111" s="1852"/>
      <c r="G1111" s="679"/>
    </row>
    <row r="1112" spans="1:7" ht="12.75" customHeight="1">
      <c r="A1112" s="715"/>
      <c r="B1112" s="715"/>
      <c r="C1112" s="557"/>
      <c r="D1112" s="1707"/>
      <c r="E1112" s="1707"/>
      <c r="F1112" s="1707"/>
      <c r="G1112" s="678"/>
    </row>
    <row r="1113" spans="1:7" ht="12.75" customHeight="1">
      <c r="A1113" s="1749"/>
      <c r="B1113" s="1749"/>
      <c r="C1113" s="557"/>
      <c r="D1113" s="1875" t="s">
        <v>2363</v>
      </c>
      <c r="E1113" s="1875"/>
      <c r="F1113" s="1875"/>
      <c r="G1113" s="678"/>
    </row>
    <row r="1114" spans="1:7" ht="12.75" customHeight="1">
      <c r="A1114" s="1749"/>
      <c r="B1114" s="1749"/>
      <c r="C1114" s="557"/>
      <c r="D1114" s="1717"/>
      <c r="E1114" s="6"/>
      <c r="F1114" s="6"/>
      <c r="G1114" s="678"/>
    </row>
    <row r="1115" spans="1:7" ht="12.75" customHeight="1">
      <c r="A1115" s="715"/>
      <c r="B1115" s="799" t="s">
        <v>2467</v>
      </c>
      <c r="C1115" s="557"/>
      <c r="D1115" s="1852" t="s">
        <v>2364</v>
      </c>
      <c r="E1115" s="1852"/>
      <c r="F1115" s="1852"/>
      <c r="G1115" s="678"/>
    </row>
    <row r="1116" spans="1:7" ht="12.75" customHeight="1">
      <c r="A1116" s="715"/>
      <c r="B1116" s="715"/>
      <c r="C1116" s="557"/>
      <c r="D1116" s="1852"/>
      <c r="E1116" s="1852"/>
      <c r="F1116" s="1852"/>
      <c r="G1116" s="678"/>
    </row>
    <row r="1117" spans="1:7" ht="12.75" customHeight="1">
      <c r="A1117" s="715"/>
      <c r="B1117" s="715"/>
      <c r="C1117" s="557"/>
      <c r="D1117" s="1852"/>
      <c r="E1117" s="1852"/>
      <c r="F1117" s="1852"/>
      <c r="G1117" s="678"/>
    </row>
    <row r="1118" spans="1:7" ht="12.75" customHeight="1">
      <c r="A1118" s="715"/>
      <c r="B1118" s="715"/>
      <c r="C1118" s="557"/>
      <c r="D1118" s="1852"/>
      <c r="E1118" s="1852"/>
      <c r="F1118" s="1852"/>
      <c r="G1118" s="678"/>
    </row>
    <row r="1119" spans="1:7" ht="12.75" customHeight="1">
      <c r="A1119" s="715"/>
      <c r="B1119" s="715"/>
      <c r="C1119" s="557"/>
      <c r="D1119" s="1852"/>
      <c r="E1119" s="1852"/>
      <c r="F1119" s="1852"/>
      <c r="G1119" s="678"/>
    </row>
    <row r="1120" spans="1:7" ht="12.75" customHeight="1">
      <c r="A1120" s="715"/>
      <c r="B1120" s="715"/>
      <c r="C1120" s="557"/>
      <c r="D1120" s="1852"/>
      <c r="E1120" s="1852"/>
      <c r="F1120" s="1852"/>
      <c r="G1120" s="678"/>
    </row>
    <row r="1121" spans="1:7" ht="12.75" customHeight="1">
      <c r="A1121" s="715"/>
      <c r="B1121" s="715"/>
      <c r="C1121" s="557"/>
      <c r="D1121" s="1852"/>
      <c r="E1121" s="1852"/>
      <c r="F1121" s="1852"/>
      <c r="G1121" s="678"/>
    </row>
    <row r="1122" spans="1:7" ht="12.75" customHeight="1">
      <c r="A1122" s="715"/>
      <c r="B1122" s="715"/>
      <c r="C1122" s="557"/>
      <c r="D1122" s="1852"/>
      <c r="E1122" s="1852"/>
      <c r="F1122" s="1852"/>
      <c r="G1122" s="678"/>
    </row>
    <row r="1123" spans="1:7" ht="12.75" customHeight="1">
      <c r="A1123" s="715"/>
      <c r="B1123" s="715"/>
      <c r="C1123" s="557"/>
      <c r="D1123" s="1852"/>
      <c r="E1123" s="1852"/>
      <c r="F1123" s="1852"/>
      <c r="G1123" s="678"/>
    </row>
    <row r="1124" spans="1:7" ht="12.75" customHeight="1">
      <c r="A1124" s="715"/>
      <c r="B1124" s="715"/>
      <c r="C1124" s="557"/>
      <c r="D1124" s="1852"/>
      <c r="E1124" s="1852"/>
      <c r="F1124" s="1852"/>
      <c r="G1124" s="678"/>
    </row>
    <row r="1125" spans="1:7" ht="12.75" customHeight="1">
      <c r="A1125" s="715"/>
      <c r="B1125" s="715"/>
      <c r="C1125" s="557"/>
      <c r="D1125" s="1852"/>
      <c r="E1125" s="1852"/>
      <c r="F1125" s="1852"/>
      <c r="G1125" s="678"/>
    </row>
    <row r="1126" spans="1:7" ht="12.75" customHeight="1">
      <c r="A1126" s="715"/>
      <c r="B1126" s="715"/>
      <c r="C1126" s="557"/>
      <c r="D1126" s="1852"/>
      <c r="E1126" s="1852"/>
      <c r="F1126" s="1852"/>
      <c r="G1126" s="678"/>
    </row>
    <row r="1127" spans="1:7" ht="12.75" customHeight="1">
      <c r="A1127" s="715"/>
      <c r="B1127" s="715"/>
      <c r="C1127" s="557"/>
      <c r="D1127" s="1852"/>
      <c r="E1127" s="1852"/>
      <c r="F1127" s="1852"/>
      <c r="G1127" s="678"/>
    </row>
    <row r="1128" spans="1:7" ht="12.75" customHeight="1">
      <c r="A1128" s="715"/>
      <c r="B1128" s="715"/>
      <c r="C1128" s="557"/>
      <c r="D1128" s="1852"/>
      <c r="E1128" s="1852"/>
      <c r="F1128" s="1852"/>
      <c r="G1128" s="679"/>
    </row>
    <row r="1129" spans="1:7" ht="12.75" customHeight="1">
      <c r="A1129" s="1749"/>
      <c r="B1129" s="1749"/>
      <c r="C1129" s="557"/>
      <c r="D1129" s="6"/>
      <c r="E1129" s="6"/>
      <c r="F1129" s="6"/>
      <c r="G1129" s="679"/>
    </row>
    <row r="1130" spans="1:7" ht="12.75" customHeight="1">
      <c r="A1130" s="1921" t="s">
        <v>2365</v>
      </c>
      <c r="B1130" s="1921"/>
      <c r="C1130" s="1921"/>
      <c r="D1130" s="1921"/>
      <c r="E1130" s="1921"/>
      <c r="F1130" s="1921"/>
      <c r="G1130" s="1921"/>
    </row>
    <row r="1131" spans="1:7" ht="12.75" customHeight="1">
      <c r="A1131" s="1714"/>
      <c r="B1131" s="1714"/>
      <c r="C1131" s="557"/>
      <c r="D1131" s="6"/>
      <c r="E1131" s="6"/>
      <c r="F1131" s="6"/>
      <c r="G1131" s="679"/>
    </row>
    <row r="1132" spans="1:7" ht="12.75" customHeight="1">
      <c r="A1132" s="1749"/>
      <c r="B1132" s="1749"/>
      <c r="C1132" s="1747"/>
      <c r="D1132" s="1875" t="s">
        <v>2389</v>
      </c>
      <c r="E1132" s="1875"/>
      <c r="F1132" s="1875"/>
      <c r="G1132" s="679"/>
    </row>
    <row r="1133" spans="1:7" ht="12.75" customHeight="1">
      <c r="A1133" s="1721"/>
      <c r="B1133" s="1721"/>
      <c r="C1133" s="1753"/>
      <c r="D1133" s="1865" t="s">
        <v>2366</v>
      </c>
      <c r="E1133" s="1865"/>
      <c r="F1133" s="1865"/>
      <c r="G1133" s="679"/>
    </row>
    <row r="1134" spans="1:7" ht="12.75" customHeight="1">
      <c r="A1134" s="1721"/>
      <c r="B1134" s="1721"/>
      <c r="C1134" s="1753"/>
      <c r="D1134" s="6"/>
      <c r="E1134" s="6"/>
      <c r="F1134" s="1745"/>
      <c r="G1134" s="678"/>
    </row>
    <row r="1135" spans="1:7" ht="12.75" customHeight="1">
      <c r="A1135" s="1749"/>
      <c r="B1135" s="799" t="s">
        <v>2615</v>
      </c>
      <c r="C1135" s="557"/>
      <c r="D1135" s="1861" t="s">
        <v>2367</v>
      </c>
      <c r="E1135" s="1861"/>
      <c r="F1135" s="1861"/>
      <c r="G1135" s="678"/>
    </row>
    <row r="1136" spans="1:7" ht="12.75" customHeight="1">
      <c r="A1136" s="1749"/>
      <c r="B1136" s="1749"/>
      <c r="C1136" s="557"/>
      <c r="D1136" s="1861"/>
      <c r="E1136" s="1861"/>
      <c r="F1136" s="1861"/>
      <c r="G1136" s="678"/>
    </row>
    <row r="1137" spans="1:7" ht="12.75" customHeight="1">
      <c r="A1137" s="1749"/>
      <c r="B1137" s="1749"/>
      <c r="C1137" s="557"/>
      <c r="D1137" s="1861"/>
      <c r="E1137" s="1861"/>
      <c r="F1137" s="1861"/>
      <c r="G1137" s="678"/>
    </row>
    <row r="1138" spans="1:7" ht="12.75" customHeight="1">
      <c r="A1138" s="1749"/>
      <c r="B1138" s="1749"/>
      <c r="C1138" s="557"/>
      <c r="D1138" s="1861"/>
      <c r="E1138" s="1861"/>
      <c r="F1138" s="1861"/>
      <c r="G1138" s="678"/>
    </row>
    <row r="1139" spans="1:7" ht="12.75" customHeight="1">
      <c r="A1139" s="1733"/>
      <c r="B1139" s="1733"/>
      <c r="C1139" s="558"/>
      <c r="D1139" s="1861"/>
      <c r="E1139" s="1861"/>
      <c r="F1139" s="1861"/>
      <c r="G1139" s="678"/>
    </row>
    <row r="1140" spans="1:7" ht="12.75" customHeight="1">
      <c r="A1140" s="1733"/>
      <c r="B1140" s="1733"/>
      <c r="C1140" s="558"/>
      <c r="D1140" s="1861"/>
      <c r="E1140" s="1861"/>
      <c r="F1140" s="1861"/>
      <c r="G1140" s="678"/>
    </row>
    <row r="1141" spans="1:7" ht="12.75" customHeight="1">
      <c r="A1141" s="721"/>
      <c r="B1141" s="721"/>
      <c r="C1141" s="314"/>
      <c r="D1141" s="1861"/>
      <c r="E1141" s="1861"/>
      <c r="F1141" s="1861"/>
      <c r="G1141" s="678"/>
    </row>
    <row r="1142" spans="1:7" ht="12.75" customHeight="1">
      <c r="A1142" s="721"/>
      <c r="B1142" s="721"/>
      <c r="C1142" s="314"/>
      <c r="D1142" s="1861"/>
      <c r="E1142" s="1861"/>
      <c r="F1142" s="1861"/>
      <c r="G1142" s="678"/>
    </row>
    <row r="1143" spans="1:7" ht="12.75" customHeight="1">
      <c r="A1143" s="721"/>
      <c r="B1143" s="721"/>
      <c r="C1143" s="314"/>
      <c r="D1143" s="1710"/>
      <c r="E1143" s="1710"/>
      <c r="F1143" s="1710"/>
      <c r="G1143" s="678"/>
    </row>
    <row r="1144" spans="1:7" ht="12.75" customHeight="1">
      <c r="A1144" s="721"/>
      <c r="B1144" s="799" t="s">
        <v>2467</v>
      </c>
      <c r="C1144" s="314"/>
      <c r="D1144" s="1853" t="s">
        <v>2368</v>
      </c>
      <c r="E1144" s="1853"/>
      <c r="F1144" s="1853"/>
      <c r="G1144" s="678"/>
    </row>
    <row r="1145" spans="1:7" ht="12.75" customHeight="1">
      <c r="A1145" s="721"/>
      <c r="B1145" s="721"/>
      <c r="C1145" s="314"/>
      <c r="D1145" s="1853"/>
      <c r="E1145" s="1853"/>
      <c r="F1145" s="1853"/>
      <c r="G1145" s="678"/>
    </row>
    <row r="1146" spans="1:7" ht="12.75" customHeight="1">
      <c r="A1146" s="721"/>
      <c r="B1146" s="721"/>
      <c r="C1146" s="314"/>
      <c r="D1146" s="1853"/>
      <c r="E1146" s="1853"/>
      <c r="F1146" s="1853"/>
      <c r="G1146" s="678"/>
    </row>
    <row r="1147" spans="1:7" ht="12.75" customHeight="1">
      <c r="A1147" s="721"/>
      <c r="B1147" s="721"/>
      <c r="C1147" s="314"/>
      <c r="D1147" s="1853"/>
      <c r="E1147" s="1853"/>
      <c r="F1147" s="1853"/>
      <c r="G1147" s="678"/>
    </row>
    <row r="1148" spans="1:7" ht="12.75" customHeight="1">
      <c r="A1148" s="721"/>
      <c r="B1148" s="721"/>
      <c r="C1148" s="314"/>
      <c r="D1148" s="1708"/>
      <c r="E1148" s="1708"/>
      <c r="F1148" s="1708"/>
      <c r="G1148" s="678"/>
    </row>
    <row r="1149" spans="1:7" ht="12.75" customHeight="1">
      <c r="A1149" s="721"/>
      <c r="B1149" s="799" t="s">
        <v>2467</v>
      </c>
      <c r="C1149" s="314"/>
      <c r="D1149" s="1853" t="s">
        <v>2369</v>
      </c>
      <c r="E1149" s="1853"/>
      <c r="F1149" s="1853"/>
      <c r="G1149" s="678"/>
    </row>
    <row r="1150" spans="1:7" ht="12.75" customHeight="1">
      <c r="A1150" s="721"/>
      <c r="B1150" s="721"/>
      <c r="C1150" s="314"/>
      <c r="D1150" s="1853"/>
      <c r="E1150" s="1853"/>
      <c r="F1150" s="1853"/>
      <c r="G1150" s="678"/>
    </row>
    <row r="1151" spans="1:7" ht="12.75" customHeight="1">
      <c r="A1151" s="721"/>
      <c r="B1151" s="721"/>
      <c r="C1151" s="314"/>
      <c r="D1151" s="1708"/>
      <c r="E1151" s="1708"/>
      <c r="F1151" s="1708"/>
      <c r="G1151" s="678"/>
    </row>
    <row r="1152" spans="1:7" ht="12.75" customHeight="1">
      <c r="A1152" s="715"/>
      <c r="B1152" s="799" t="s">
        <v>2467</v>
      </c>
      <c r="C1152" s="557"/>
      <c r="D1152" s="1865" t="s">
        <v>2370</v>
      </c>
      <c r="E1152" s="1865"/>
      <c r="F1152" s="1865"/>
      <c r="G1152" s="678"/>
    </row>
    <row r="1153" spans="1:7" ht="12.75" customHeight="1">
      <c r="A1153" s="1749"/>
      <c r="B1153" s="1749"/>
      <c r="C1153" s="557"/>
      <c r="D1153" s="6"/>
      <c r="E1153" s="6"/>
      <c r="F1153" s="6"/>
      <c r="G1153" s="678"/>
    </row>
    <row r="1154" spans="1:7" ht="12.75" customHeight="1">
      <c r="A1154" s="715"/>
      <c r="B1154" s="799" t="s">
        <v>2467</v>
      </c>
      <c r="C1154" s="557"/>
      <c r="D1154" s="1865" t="s">
        <v>2371</v>
      </c>
      <c r="E1154" s="1865"/>
      <c r="F1154" s="1865"/>
      <c r="G1154" s="678"/>
    </row>
    <row r="1155" spans="1:7" ht="12.75" customHeight="1">
      <c r="A1155" s="1749"/>
      <c r="B1155" s="1749"/>
      <c r="C1155" s="557"/>
      <c r="D1155" s="1713"/>
      <c r="E1155" s="6"/>
      <c r="F1155" s="6"/>
      <c r="G1155" s="678"/>
    </row>
    <row r="1156" spans="1:7" ht="12.75" customHeight="1">
      <c r="A1156" s="715"/>
      <c r="B1156" s="799" t="s">
        <v>2615</v>
      </c>
      <c r="C1156" s="557"/>
      <c r="D1156" s="1865" t="s">
        <v>2372</v>
      </c>
      <c r="E1156" s="1865"/>
      <c r="F1156" s="1865"/>
      <c r="G1156" s="678"/>
    </row>
    <row r="1157" spans="1:7" ht="12.75" customHeight="1">
      <c r="A1157" s="1749"/>
      <c r="B1157" s="1749"/>
      <c r="C1157" s="557"/>
      <c r="D1157" s="1713"/>
      <c r="E1157" s="6"/>
      <c r="F1157" s="6"/>
      <c r="G1157" s="678"/>
    </row>
    <row r="1158" spans="1:7" ht="12.75" customHeight="1">
      <c r="A1158" s="715"/>
      <c r="B1158" s="799" t="s">
        <v>2467</v>
      </c>
      <c r="C1158" s="557"/>
      <c r="D1158" s="1852" t="s">
        <v>2373</v>
      </c>
      <c r="E1158" s="1852"/>
      <c r="F1158" s="1852"/>
      <c r="G1158" s="678"/>
    </row>
    <row r="1159" spans="1:7" ht="12.75" customHeight="1">
      <c r="A1159" s="715"/>
      <c r="B1159" s="715"/>
      <c r="C1159" s="557"/>
      <c r="D1159" s="1852"/>
      <c r="E1159" s="1852"/>
      <c r="F1159" s="1852"/>
      <c r="G1159" s="678"/>
    </row>
    <row r="1160" spans="1:7" ht="12.75" customHeight="1">
      <c r="A1160" s="715"/>
      <c r="B1160" s="715"/>
      <c r="C1160" s="557"/>
      <c r="D1160" s="1713"/>
      <c r="E1160" s="6"/>
      <c r="F1160" s="6"/>
      <c r="G1160" s="679"/>
    </row>
    <row r="1161" spans="1:7" ht="12.75" customHeight="1">
      <c r="A1161" s="408"/>
      <c r="B1161" s="799" t="s">
        <v>2467</v>
      </c>
      <c r="C1161" s="1777"/>
      <c r="D1161" s="1919" t="s">
        <v>2374</v>
      </c>
      <c r="E1161" s="1919"/>
      <c r="F1161" s="1919"/>
      <c r="G1161" s="1778"/>
    </row>
    <row r="1162" spans="1:7" ht="12.75" customHeight="1">
      <c r="A1162" s="1777"/>
      <c r="B1162" s="1777"/>
      <c r="C1162" s="1777"/>
      <c r="D1162" s="1919"/>
      <c r="E1162" s="1919"/>
      <c r="F1162" s="1919"/>
      <c r="G1162" s="1778"/>
    </row>
    <row r="1163" spans="1:7" ht="12.75" customHeight="1">
      <c r="A1163" s="1777"/>
      <c r="B1163" s="1777"/>
      <c r="C1163" s="1777"/>
      <c r="D1163" s="1779"/>
      <c r="E1163" s="1780"/>
      <c r="F1163" s="1780"/>
      <c r="G1163" s="1778"/>
    </row>
    <row r="1164" spans="1:7" ht="12.75" customHeight="1">
      <c r="A1164" s="408"/>
      <c r="B1164" s="799" t="s">
        <v>2615</v>
      </c>
      <c r="C1164" s="1777"/>
      <c r="D1164" s="1953" t="s">
        <v>2375</v>
      </c>
      <c r="E1164" s="1953"/>
      <c r="F1164" s="1953"/>
      <c r="G1164" s="1778"/>
    </row>
    <row r="1165" spans="1:7" ht="12.75" customHeight="1">
      <c r="A1165" s="1777"/>
      <c r="B1165" s="1777"/>
      <c r="C1165" s="1777"/>
      <c r="D1165" s="1779"/>
      <c r="E1165" s="1780"/>
      <c r="F1165" s="1780"/>
      <c r="G1165" s="1778"/>
    </row>
    <row r="1166" spans="1:7" ht="12.75" customHeight="1">
      <c r="A1166" s="715"/>
      <c r="B1166" s="799" t="s">
        <v>2467</v>
      </c>
      <c r="C1166" s="557"/>
      <c r="D1166" s="1865" t="s">
        <v>2376</v>
      </c>
      <c r="E1166" s="1865"/>
      <c r="F1166" s="1865"/>
      <c r="G1166" s="679"/>
    </row>
    <row r="1167" spans="1:7" ht="12.75" customHeight="1">
      <c r="A1167" s="715"/>
      <c r="B1167" s="715"/>
      <c r="C1167" s="557"/>
      <c r="D1167" s="1713"/>
      <c r="E1167" s="6"/>
      <c r="F1167" s="6"/>
      <c r="G1167" s="679"/>
    </row>
    <row r="1168" spans="1:7" ht="12.75" customHeight="1">
      <c r="A1168" s="715"/>
      <c r="B1168" s="799" t="s">
        <v>2467</v>
      </c>
      <c r="C1168" s="557"/>
      <c r="D1168" s="1852" t="s">
        <v>2377</v>
      </c>
      <c r="E1168" s="1852"/>
      <c r="F1168" s="1852"/>
      <c r="G1168" s="679"/>
    </row>
    <row r="1169" spans="1:7" ht="12.75" customHeight="1">
      <c r="A1169" s="715"/>
      <c r="B1169" s="715"/>
      <c r="C1169" s="557"/>
      <c r="D1169" s="1852"/>
      <c r="E1169" s="1852"/>
      <c r="F1169" s="1852"/>
      <c r="G1169" s="679"/>
    </row>
    <row r="1170" spans="1:7" ht="12.75" customHeight="1">
      <c r="A1170" s="1749"/>
      <c r="B1170" s="1749"/>
      <c r="C1170" s="557"/>
      <c r="D1170" s="6"/>
      <c r="E1170" s="6"/>
      <c r="F1170" s="6"/>
      <c r="G1170" s="679"/>
    </row>
    <row r="1171" spans="1:7" ht="12.75" customHeight="1">
      <c r="A1171" s="1921" t="s">
        <v>2378</v>
      </c>
      <c r="B1171" s="1921"/>
      <c r="C1171" s="1921"/>
      <c r="D1171" s="1921"/>
      <c r="E1171" s="1921"/>
      <c r="F1171" s="1921"/>
      <c r="G1171" s="1921"/>
    </row>
    <row r="1172" spans="1:7" ht="12.75" customHeight="1">
      <c r="A1172" s="1749"/>
      <c r="B1172" s="1749"/>
      <c r="C1172" s="557"/>
      <c r="D1172" s="6"/>
      <c r="E1172" s="6"/>
      <c r="F1172" s="6"/>
      <c r="G1172" s="679"/>
    </row>
    <row r="1173" spans="1:7" ht="12.75" customHeight="1">
      <c r="A1173" s="1733"/>
      <c r="B1173" s="1733"/>
      <c r="C1173" s="558"/>
      <c r="D1173" s="1911" t="s">
        <v>2379</v>
      </c>
      <c r="E1173" s="1911"/>
      <c r="F1173" s="1911"/>
      <c r="G1173" s="679"/>
    </row>
    <row r="1174" spans="1:7" ht="12.75" customHeight="1">
      <c r="A1174" s="1733"/>
      <c r="B1174" s="1733"/>
      <c r="C1174" s="558"/>
      <c r="D1174" s="1952" t="s">
        <v>2380</v>
      </c>
      <c r="E1174" s="1952"/>
      <c r="F1174" s="1952"/>
      <c r="G1174" s="679"/>
    </row>
    <row r="1175" spans="1:7" ht="12.75" customHeight="1">
      <c r="A1175" s="675"/>
      <c r="B1175" s="675"/>
      <c r="C1175" s="1722"/>
      <c r="D1175" s="679"/>
      <c r="E1175" s="679"/>
      <c r="F1175" s="679"/>
      <c r="G1175" s="679"/>
    </row>
    <row r="1176" spans="1:7" ht="12.75" customHeight="1">
      <c r="A1176" s="715"/>
      <c r="B1176" s="715"/>
      <c r="C1176" s="314"/>
      <c r="D1176" s="1911" t="s">
        <v>2394</v>
      </c>
      <c r="E1176" s="1911"/>
      <c r="F1176" s="1911"/>
      <c r="G1176" s="679"/>
    </row>
    <row r="1177" spans="1:7" ht="12.75" customHeight="1">
      <c r="A1177" s="1749"/>
      <c r="B1177" s="799" t="s">
        <v>2615</v>
      </c>
      <c r="C1177" s="557"/>
      <c r="D1177" s="1952" t="s">
        <v>1514</v>
      </c>
      <c r="E1177" s="1952"/>
      <c r="F1177" s="1952"/>
      <c r="G1177" s="679"/>
    </row>
    <row r="1178" spans="1:7" s="1790" customFormat="1" ht="12.75" customHeight="1">
      <c r="A1178" s="1749"/>
      <c r="B1178" s="715"/>
      <c r="C1178" s="557"/>
      <c r="D1178" s="1949" t="s">
        <v>2381</v>
      </c>
      <c r="E1178" s="1949"/>
      <c r="F1178" s="1949"/>
      <c r="G1178" s="679"/>
    </row>
    <row r="1179" spans="1:7" ht="12.75" customHeight="1">
      <c r="A1179" s="1749"/>
      <c r="B1179" s="1749"/>
      <c r="C1179" s="557"/>
      <c r="D1179" s="1952"/>
      <c r="E1179" s="1952"/>
      <c r="F1179" s="1952"/>
      <c r="G1179" s="679"/>
    </row>
    <row r="1180" spans="1:7" ht="12.75" customHeight="1">
      <c r="A1180" s="1944" t="s">
        <v>2390</v>
      </c>
      <c r="B1180" s="1944"/>
      <c r="C1180" s="1944"/>
      <c r="D1180" s="1944"/>
      <c r="E1180" s="1944"/>
      <c r="F1180" s="1944"/>
      <c r="G1180" s="1944"/>
    </row>
    <row r="1181" spans="1:7" ht="12.75" customHeight="1">
      <c r="A1181" s="254"/>
      <c r="B1181" s="254"/>
      <c r="C1181" s="1741"/>
      <c r="D1181" s="687"/>
      <c r="E1181" s="687"/>
      <c r="F1181" s="687"/>
      <c r="G1181" s="687"/>
    </row>
    <row r="1182" spans="1:7" ht="12.75" customHeight="1">
      <c r="A1182" s="254"/>
      <c r="B1182" s="1787"/>
      <c r="C1182" s="1794"/>
      <c r="D1182" s="1925" t="s">
        <v>1515</v>
      </c>
      <c r="E1182" s="1925"/>
      <c r="F1182" s="1925"/>
      <c r="G1182" s="687"/>
    </row>
    <row r="1183" spans="1:7" ht="12.75" customHeight="1">
      <c r="A1183" s="254"/>
      <c r="B1183" s="1793" t="s">
        <v>2615</v>
      </c>
      <c r="C1183" s="1794"/>
      <c r="D1183" s="1928" t="s">
        <v>1514</v>
      </c>
      <c r="E1183" s="1928"/>
      <c r="F1183" s="1928"/>
      <c r="G1183" s="687"/>
    </row>
    <row r="1184" spans="1:7" ht="12.75" customHeight="1">
      <c r="A1184" s="254"/>
      <c r="B1184" s="1790"/>
      <c r="C1184" s="1794"/>
      <c r="D1184" s="1928" t="s">
        <v>2391</v>
      </c>
      <c r="E1184" s="1928"/>
      <c r="F1184" s="1928"/>
      <c r="G1184" s="687"/>
    </row>
    <row r="1185" spans="1:7" s="1790" customFormat="1" ht="12.75" customHeight="1">
      <c r="A1185" s="254"/>
      <c r="C1185" s="1794"/>
      <c r="D1185" s="1788"/>
      <c r="E1185" s="1788"/>
      <c r="F1185" s="1788"/>
      <c r="G1185" s="687"/>
    </row>
    <row r="1186" spans="1:7" ht="12.75" customHeight="1">
      <c r="A1186" s="254"/>
      <c r="B1186" s="254"/>
      <c r="C1186" s="1741"/>
      <c r="D1186" s="1950" t="s">
        <v>1189</v>
      </c>
      <c r="E1186" s="1950"/>
      <c r="F1186" s="1950"/>
      <c r="G1186" s="687"/>
    </row>
    <row r="1187" spans="1:7" ht="12.75" customHeight="1">
      <c r="A1187" s="504"/>
      <c r="B1187" s="504"/>
      <c r="C1187" s="503"/>
      <c r="D1187" s="1951" t="s">
        <v>1206</v>
      </c>
      <c r="E1187" s="1951"/>
      <c r="F1187" s="1951"/>
      <c r="G1187" s="1781"/>
    </row>
    <row r="1188" spans="1:7" ht="12.75" customHeight="1">
      <c r="A1188" s="715"/>
      <c r="B1188" s="1793" t="s">
        <v>2467</v>
      </c>
      <c r="C1188" s="558"/>
      <c r="D1188" s="1918" t="s">
        <v>1074</v>
      </c>
      <c r="E1188" s="1918"/>
      <c r="F1188" s="1918"/>
      <c r="G1188" s="679"/>
    </row>
    <row r="1189" spans="1:7" ht="12.75" customHeight="1">
      <c r="A1189" s="1733"/>
      <c r="B1189" s="1733"/>
      <c r="C1189" s="558"/>
      <c r="D1189" s="6"/>
      <c r="E1189" s="1946" t="s">
        <v>1190</v>
      </c>
      <c r="F1189" s="1946"/>
      <c r="G1189" s="679"/>
    </row>
    <row r="1190" spans="1:7">
      <c r="A1190" s="791"/>
      <c r="B1190" s="791"/>
      <c r="C1190" s="791"/>
      <c r="D1190" s="791"/>
      <c r="E1190" s="791"/>
      <c r="F1190" s="791"/>
      <c r="G1190" s="791"/>
    </row>
    <row r="1191" spans="1:7">
      <c r="A1191" s="1944" t="s">
        <v>2416</v>
      </c>
      <c r="B1191" s="1944"/>
      <c r="C1191" s="1944"/>
      <c r="D1191" s="1944"/>
      <c r="E1191" s="1944"/>
      <c r="F1191" s="1944"/>
      <c r="G1191" s="1944"/>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2467</v>
      </c>
      <c r="C1196" s="791"/>
      <c r="D1196" s="1947" t="s">
        <v>2395</v>
      </c>
      <c r="E1196" s="1947"/>
      <c r="F1196" s="1947"/>
      <c r="G1196" s="791"/>
    </row>
    <row r="1197" spans="1:7">
      <c r="A1197" s="791"/>
      <c r="B1197" s="791"/>
      <c r="C1197" s="791"/>
      <c r="D1197" s="1947"/>
      <c r="E1197" s="1947"/>
      <c r="F1197" s="1947"/>
      <c r="G1197" s="791"/>
    </row>
    <row r="1198" spans="1:7">
      <c r="A1198" s="791"/>
      <c r="B1198" s="791"/>
      <c r="C1198" s="791"/>
      <c r="D1198" s="1947"/>
      <c r="E1198" s="1947"/>
      <c r="F1198" s="1947"/>
      <c r="G1198" s="791"/>
    </row>
    <row r="1199" spans="1:7">
      <c r="A1199" s="791"/>
      <c r="B1199" s="791"/>
      <c r="C1199" s="791"/>
      <c r="D1199" s="1947"/>
      <c r="E1199" s="1947"/>
      <c r="F1199" s="1947"/>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2615</v>
      </c>
      <c r="C1204" s="791"/>
      <c r="D1204" s="1790" t="s">
        <v>2393</v>
      </c>
      <c r="E1204" s="791"/>
      <c r="F1204" s="791"/>
      <c r="G1204" s="791"/>
    </row>
    <row r="1205" spans="1:7">
      <c r="A1205" s="791"/>
      <c r="B1205" s="791"/>
      <c r="C1205" s="791"/>
      <c r="D1205" s="791"/>
      <c r="E1205" s="791"/>
      <c r="F1205" s="791"/>
      <c r="G1205" s="791"/>
    </row>
    <row r="1206" spans="1:7">
      <c r="A1206" s="791"/>
      <c r="B1206" s="1793" t="s">
        <v>2467</v>
      </c>
      <c r="C1206" s="791"/>
      <c r="D1206" s="1947" t="s">
        <v>2399</v>
      </c>
      <c r="E1206" s="1947"/>
      <c r="F1206" s="1947"/>
      <c r="G1206" s="791"/>
    </row>
    <row r="1207" spans="1:7">
      <c r="A1207" s="791"/>
      <c r="B1207" s="791"/>
      <c r="C1207" s="791"/>
      <c r="D1207" s="1947"/>
      <c r="E1207" s="1947"/>
      <c r="F1207" s="1947"/>
      <c r="G1207" s="791"/>
    </row>
    <row r="1208" spans="1:7">
      <c r="A1208" s="791"/>
      <c r="B1208" s="791"/>
      <c r="C1208" s="791"/>
      <c r="D1208" s="1947"/>
      <c r="E1208" s="1947"/>
      <c r="F1208" s="1947"/>
      <c r="G1208" s="791"/>
    </row>
    <row r="1209" spans="1:7">
      <c r="A1209" s="791"/>
      <c r="B1209" s="791"/>
      <c r="C1209" s="791"/>
      <c r="D1209" s="1947"/>
      <c r="E1209" s="1947"/>
      <c r="F1209" s="1947"/>
      <c r="G1209" s="791"/>
    </row>
    <row r="1210" spans="1:7">
      <c r="A1210" s="791"/>
      <c r="B1210" s="791"/>
      <c r="C1210" s="791"/>
      <c r="D1210" s="1947"/>
      <c r="E1210" s="1947"/>
      <c r="F1210" s="1947"/>
      <c r="G1210" s="791"/>
    </row>
    <row r="1211" spans="1:7">
      <c r="A1211" s="791"/>
      <c r="B1211" s="791"/>
      <c r="C1211" s="791"/>
      <c r="D1211" s="791"/>
      <c r="E1211" s="791"/>
      <c r="F1211" s="791"/>
      <c r="G1211" s="791"/>
    </row>
    <row r="1212" spans="1:7">
      <c r="A1212" s="1944" t="s">
        <v>2400</v>
      </c>
      <c r="B1212" s="1944"/>
      <c r="C1212" s="1944"/>
      <c r="D1212" s="1944"/>
      <c r="E1212" s="1944"/>
      <c r="F1212" s="1944"/>
      <c r="G1212" s="1944"/>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2615</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2615</v>
      </c>
      <c r="D1218" s="1785" t="s">
        <v>2404</v>
      </c>
      <c r="E1218" s="1789"/>
    </row>
    <row r="1219" spans="2:6" s="1790" customFormat="1">
      <c r="D1219" s="1785"/>
      <c r="E1219" s="1792" t="s">
        <v>2405</v>
      </c>
    </row>
    <row r="1220" spans="2:6" s="1790" customFormat="1">
      <c r="D1220" s="1785" t="s">
        <v>2407</v>
      </c>
      <c r="E1220" s="1789"/>
    </row>
    <row r="1221" spans="2:6" s="1790" customFormat="1">
      <c r="D1221" s="1785"/>
      <c r="E1221" s="1789"/>
    </row>
    <row r="1222" spans="2:6" s="791" customFormat="1">
      <c r="B1222" s="1793" t="s">
        <v>2467</v>
      </c>
      <c r="D1222" s="1785" t="s">
        <v>2409</v>
      </c>
      <c r="E1222" s="1789"/>
    </row>
    <row r="1223" spans="2:6" s="1790" customFormat="1">
      <c r="D1223" s="1785" t="s">
        <v>2406</v>
      </c>
      <c r="E1223" s="1789"/>
    </row>
    <row r="1224" spans="2:6" s="1790" customFormat="1">
      <c r="D1224" s="1785"/>
      <c r="E1224" s="1789"/>
    </row>
    <row r="1225" spans="2:6" s="791" customFormat="1">
      <c r="B1225" s="1793" t="s">
        <v>2467</v>
      </c>
      <c r="D1225" s="1785" t="s">
        <v>2411</v>
      </c>
      <c r="E1225" s="1789"/>
    </row>
    <row r="1226" spans="2:6" s="1790" customFormat="1">
      <c r="D1226" s="1785" t="s">
        <v>2410</v>
      </c>
      <c r="E1226" s="1789"/>
    </row>
    <row r="1227" spans="2:6" s="1790" customFormat="1">
      <c r="D1227" s="1785"/>
      <c r="E1227" s="1789"/>
    </row>
    <row r="1228" spans="2:6" s="791" customFormat="1">
      <c r="B1228" s="1793" t="s">
        <v>2467</v>
      </c>
      <c r="D1228" s="1784" t="s">
        <v>2414</v>
      </c>
      <c r="E1228" s="1789"/>
    </row>
    <row r="1229" spans="2:6" s="1790" customFormat="1">
      <c r="D1229" s="1948" t="s">
        <v>2415</v>
      </c>
      <c r="E1229" s="1948"/>
      <c r="F1229" s="1948"/>
    </row>
    <row r="1230" spans="2:6" s="1790" customFormat="1">
      <c r="D1230" s="1948"/>
      <c r="E1230" s="1948"/>
      <c r="F1230" s="1948"/>
    </row>
    <row r="1231" spans="2:6" s="1790" customFormat="1">
      <c r="D1231" s="1948"/>
      <c r="E1231" s="1948"/>
      <c r="F1231" s="1948"/>
    </row>
    <row r="1232" spans="2:6" s="1790" customFormat="1">
      <c r="D1232" s="1948"/>
      <c r="E1232" s="1948"/>
      <c r="F1232" s="1948"/>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2467</v>
      </c>
      <c r="C1236" s="791"/>
      <c r="D1236" s="1943" t="s">
        <v>2402</v>
      </c>
      <c r="E1236" s="1943"/>
      <c r="F1236" s="1943"/>
      <c r="G1236" s="791"/>
    </row>
    <row r="1237" spans="1:7" s="1790" customFormat="1">
      <c r="D1237" s="1943"/>
      <c r="E1237" s="1943"/>
      <c r="F1237" s="1943"/>
    </row>
    <row r="1238" spans="1:7" s="1790" customFormat="1">
      <c r="D1238" s="1943"/>
      <c r="E1238" s="1943"/>
      <c r="F1238" s="1943"/>
    </row>
    <row r="1239" spans="1:7" s="1790" customFormat="1">
      <c r="D1239" s="1943"/>
      <c r="E1239" s="1943"/>
      <c r="F1239" s="1943"/>
    </row>
    <row r="1240" spans="1:7">
      <c r="A1240" s="791"/>
      <c r="B1240" s="791"/>
      <c r="C1240" s="791"/>
      <c r="D1240" s="1943"/>
      <c r="E1240" s="1943"/>
      <c r="F1240" s="1943"/>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4" t="s">
        <v>2417</v>
      </c>
      <c r="B1243" s="1944"/>
      <c r="C1243" s="1944"/>
      <c r="D1243" s="1944"/>
      <c r="E1243" s="1944"/>
      <c r="F1243" s="1944"/>
      <c r="G1243" s="1944"/>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2467</v>
      </c>
      <c r="C1246" s="791"/>
      <c r="D1246" s="1943" t="s">
        <v>2418</v>
      </c>
      <c r="E1246" s="1943"/>
      <c r="F1246" s="1943"/>
      <c r="G1246" s="791"/>
    </row>
    <row r="1247" spans="1:7" s="1790" customFormat="1">
      <c r="D1247" s="1943"/>
      <c r="E1247" s="1943"/>
      <c r="F1247" s="1943"/>
    </row>
    <row r="1248" spans="1:7" s="1790" customFormat="1">
      <c r="D1248" s="1943"/>
      <c r="E1248" s="1943"/>
      <c r="F1248" s="1943"/>
    </row>
    <row r="1249" spans="1:7" s="1790" customFormat="1">
      <c r="D1249" s="1785"/>
    </row>
    <row r="1250" spans="1:7">
      <c r="A1250" s="791"/>
      <c r="B1250" s="1793" t="s">
        <v>2467</v>
      </c>
      <c r="C1250" s="791"/>
      <c r="D1250" s="1943" t="s">
        <v>2419</v>
      </c>
      <c r="E1250" s="1943"/>
      <c r="F1250" s="1943"/>
      <c r="G1250" s="791"/>
    </row>
    <row r="1251" spans="1:7" s="1790" customFormat="1">
      <c r="D1251" s="1943"/>
      <c r="E1251" s="1943"/>
      <c r="F1251" s="1943"/>
    </row>
    <row r="1252" spans="1:7" s="1790" customFormat="1">
      <c r="D1252" s="1785"/>
    </row>
    <row r="1253" spans="1:7">
      <c r="A1253" s="791"/>
      <c r="B1253" s="1793" t="s">
        <v>2467</v>
      </c>
      <c r="C1253" s="791"/>
      <c r="D1253" s="1943" t="s">
        <v>2420</v>
      </c>
      <c r="E1253" s="1943"/>
      <c r="F1253" s="1943"/>
      <c r="G1253" s="791"/>
    </row>
    <row r="1254" spans="1:7" s="1790" customFormat="1">
      <c r="D1254" s="1943"/>
      <c r="E1254" s="1943"/>
      <c r="F1254" s="1943"/>
    </row>
    <row r="1255" spans="1:7" s="1790" customFormat="1">
      <c r="D1255" s="1943"/>
      <c r="E1255" s="1943"/>
      <c r="F1255" s="1943"/>
    </row>
    <row r="1256" spans="1:7" s="1790" customFormat="1">
      <c r="D1256" s="1943"/>
      <c r="E1256" s="1943"/>
      <c r="F1256" s="1943"/>
    </row>
    <row r="1257" spans="1:7" s="1790" customFormat="1">
      <c r="D1257" s="1943"/>
      <c r="E1257" s="1943"/>
      <c r="F1257" s="1943"/>
    </row>
    <row r="1258" spans="1:7" s="1791" customFormat="1">
      <c r="B1258" s="1790"/>
      <c r="D1258" s="1785"/>
    </row>
    <row r="1259" spans="1:7">
      <c r="A1259" s="791"/>
      <c r="B1259" s="1793" t="s">
        <v>2467</v>
      </c>
      <c r="C1259" s="791"/>
      <c r="D1259" s="1943" t="s">
        <v>2421</v>
      </c>
      <c r="E1259" s="1943"/>
      <c r="F1259" s="1943"/>
      <c r="G1259" s="791"/>
    </row>
    <row r="1260" spans="1:7" s="1790" customFormat="1">
      <c r="D1260" s="1943"/>
      <c r="E1260" s="1943"/>
      <c r="F1260" s="1943"/>
    </row>
    <row r="1261" spans="1:7" s="1790" customFormat="1">
      <c r="D1261" s="1943"/>
      <c r="E1261" s="1943"/>
      <c r="F1261" s="1943"/>
    </row>
    <row r="1262" spans="1:7" s="1790" customFormat="1">
      <c r="D1262" s="1785"/>
    </row>
    <row r="1263" spans="1:7">
      <c r="A1263" s="791"/>
      <c r="B1263" s="1793" t="s">
        <v>2615</v>
      </c>
      <c r="C1263" s="791"/>
      <c r="D1263" s="1945" t="s">
        <v>2422</v>
      </c>
      <c r="E1263" s="1945"/>
      <c r="F1263" s="1945"/>
      <c r="G1263" s="791"/>
    </row>
    <row r="1264" spans="1:7">
      <c r="A1264" s="791"/>
      <c r="B1264" s="791"/>
      <c r="C1264" s="791"/>
      <c r="D1264" s="1945"/>
      <c r="E1264" s="1945"/>
      <c r="F1264" s="1945"/>
      <c r="G1264" s="791"/>
    </row>
    <row r="1265" spans="1:7">
      <c r="A1265" s="791"/>
      <c r="B1265" s="791"/>
      <c r="C1265" s="791"/>
      <c r="D1265" s="1945"/>
      <c r="E1265" s="1945"/>
      <c r="F1265" s="1945"/>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9"/>
      <c r="H1680" s="1889"/>
      <c r="I1680" s="1889"/>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D207" sqref="D207:M20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81" t="s">
        <v>105</v>
      </c>
      <c r="B8" s="2281"/>
      <c r="C8" s="2281"/>
      <c r="D8" s="2281"/>
      <c r="E8" s="2281"/>
      <c r="F8" s="2281"/>
      <c r="G8" s="2281"/>
      <c r="H8" s="2281"/>
      <c r="I8" s="2281"/>
      <c r="J8" s="2281"/>
      <c r="K8" s="2281"/>
      <c r="L8" s="2281"/>
      <c r="M8" s="2281"/>
      <c r="N8" s="2281"/>
      <c r="O8" s="2281"/>
      <c r="P8" s="2281"/>
      <c r="Q8" s="2281"/>
      <c r="R8" s="2281"/>
      <c r="S8" s="2281"/>
      <c r="T8" s="2281"/>
      <c r="U8" s="2281"/>
      <c r="V8" s="2281"/>
      <c r="W8" s="2281"/>
      <c r="X8" s="2281"/>
      <c r="Y8" s="2281"/>
      <c r="Z8" s="2281"/>
      <c r="AA8" s="2281"/>
      <c r="AB8" s="2281"/>
      <c r="AC8" s="2281"/>
      <c r="AD8" s="2281"/>
      <c r="AE8" s="2281"/>
      <c r="AF8" s="2281"/>
      <c r="AG8" s="2281"/>
      <c r="AH8" s="2281"/>
      <c r="AI8" s="2281"/>
      <c r="AJ8" s="2281"/>
      <c r="AK8" s="2281"/>
      <c r="AL8" s="2281"/>
      <c r="AM8" s="1573"/>
      <c r="AN8" s="1573"/>
      <c r="AO8" s="1573"/>
      <c r="AP8" s="1573"/>
      <c r="AQ8" s="1573"/>
      <c r="AR8" s="1573"/>
      <c r="AS8" s="1573"/>
      <c r="AT8" s="1573"/>
      <c r="AU8" s="1573"/>
      <c r="AV8" s="1573"/>
      <c r="AW8" s="1573"/>
      <c r="AX8" s="1573"/>
      <c r="AY8" s="1573"/>
    </row>
    <row r="9" spans="1:96" s="720" customFormat="1" ht="12.75">
      <c r="A9" s="2460" t="s">
        <v>2006</v>
      </c>
      <c r="B9" s="2460"/>
      <c r="C9" s="2460"/>
      <c r="D9" s="2460"/>
      <c r="E9" s="2460"/>
      <c r="F9" s="2460"/>
      <c r="G9" s="2460"/>
      <c r="H9" s="2460"/>
      <c r="I9" s="2460"/>
      <c r="J9" s="2460"/>
      <c r="K9" s="2460"/>
      <c r="L9" s="2460"/>
      <c r="M9" s="2460"/>
      <c r="N9" s="2460"/>
      <c r="O9" s="2460"/>
      <c r="P9" s="2460"/>
      <c r="Q9" s="2460"/>
      <c r="R9" s="2460"/>
      <c r="S9" s="2460"/>
      <c r="T9" s="2460"/>
      <c r="U9" s="2460"/>
      <c r="V9" s="2460"/>
      <c r="W9" s="2460"/>
      <c r="X9" s="2460"/>
      <c r="Y9" s="2460"/>
      <c r="Z9" s="2460"/>
      <c r="AA9" s="2460"/>
      <c r="AB9" s="2460"/>
      <c r="AC9" s="2460"/>
      <c r="AD9" s="2460"/>
      <c r="AE9" s="2460"/>
      <c r="AF9" s="2460"/>
      <c r="AG9" s="2460"/>
      <c r="AH9" s="2460"/>
      <c r="AI9" s="2460"/>
      <c r="AJ9" s="2460"/>
      <c r="AK9" s="2460"/>
      <c r="AL9" s="2460"/>
      <c r="AM9" s="1512"/>
      <c r="AN9" s="1512"/>
      <c r="AO9" s="1512"/>
      <c r="AP9" s="1512"/>
      <c r="AQ9" s="1512"/>
      <c r="AR9" s="1512"/>
      <c r="AS9" s="1512"/>
      <c r="AT9" s="1512"/>
      <c r="AU9" s="1512"/>
      <c r="AV9" s="1512"/>
      <c r="AW9" s="1512"/>
      <c r="AX9" s="1512"/>
      <c r="AY9" s="1512"/>
      <c r="CR9" s="25"/>
    </row>
    <row r="10" spans="1:96" ht="15" customHeight="1">
      <c r="A10" s="2078" t="s">
        <v>2007</v>
      </c>
      <c r="B10" s="2078"/>
      <c r="C10" s="2078"/>
      <c r="D10" s="2078"/>
      <c r="E10" s="2078"/>
      <c r="F10" s="2078"/>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
      <c r="AN10" s="20"/>
      <c r="AO10" s="20"/>
      <c r="AP10" s="20"/>
      <c r="AQ10" s="20"/>
      <c r="AR10" s="20"/>
      <c r="AS10" s="20"/>
      <c r="AT10" s="20"/>
      <c r="AU10" s="20"/>
      <c r="AV10" s="20"/>
      <c r="AW10" s="20"/>
      <c r="AX10" s="20"/>
      <c r="AY10" s="20"/>
    </row>
    <row r="11" spans="1:96" ht="15" customHeight="1">
      <c r="A11" s="2460" t="s">
        <v>2027</v>
      </c>
      <c r="B11" s="2460"/>
      <c r="C11" s="2460"/>
      <c r="D11" s="2460"/>
      <c r="E11" s="2460"/>
      <c r="F11" s="2460"/>
      <c r="G11" s="2460"/>
      <c r="H11" s="2460"/>
      <c r="I11" s="2460"/>
      <c r="J11" s="2460"/>
      <c r="K11" s="2460"/>
      <c r="L11" s="2460"/>
      <c r="M11" s="2460"/>
      <c r="N11" s="2460"/>
      <c r="O11" s="2460"/>
      <c r="P11" s="2460"/>
      <c r="Q11" s="2460"/>
      <c r="R11" s="2460"/>
      <c r="S11" s="2460"/>
      <c r="T11" s="2460"/>
      <c r="U11" s="2460"/>
      <c r="V11" s="2460"/>
      <c r="W11" s="2460"/>
      <c r="X11" s="2460"/>
      <c r="Y11" s="2460"/>
      <c r="Z11" s="2460"/>
      <c r="AA11" s="2460"/>
      <c r="AB11" s="2460"/>
      <c r="AC11" s="2460"/>
      <c r="AD11" s="2460"/>
      <c r="AE11" s="2460"/>
      <c r="AF11" s="2460"/>
      <c r="AG11" s="2460"/>
      <c r="AH11" s="2460"/>
      <c r="AI11" s="2460"/>
      <c r="AJ11" s="2460"/>
      <c r="AK11" s="2460"/>
      <c r="AL11" s="2460"/>
      <c r="AM11" s="1512"/>
      <c r="AN11" s="1512"/>
      <c r="AO11" s="1512"/>
      <c r="AP11" s="1512"/>
      <c r="AQ11" s="1512"/>
      <c r="AR11" s="1512"/>
      <c r="AS11" s="1512"/>
      <c r="AT11" s="1512"/>
      <c r="AU11" s="1512"/>
      <c r="AV11" s="1512"/>
      <c r="AW11" s="1512"/>
      <c r="AX11" s="1512"/>
      <c r="AY11" s="1512"/>
    </row>
    <row r="12" spans="1:96" ht="12.75">
      <c r="A12" s="2483" t="s">
        <v>2463</v>
      </c>
      <c r="B12" s="2484"/>
      <c r="C12" s="2484"/>
      <c r="D12" s="2484"/>
      <c r="E12" s="2484"/>
      <c r="F12" s="2484"/>
      <c r="G12" s="2484"/>
      <c r="H12" s="2484"/>
      <c r="I12" s="2484"/>
      <c r="J12" s="2484"/>
      <c r="K12" s="2484"/>
      <c r="L12" s="2484"/>
      <c r="M12" s="2484"/>
      <c r="N12" s="2484"/>
      <c r="O12" s="2484"/>
      <c r="P12" s="2484"/>
      <c r="Q12" s="2484"/>
      <c r="R12" s="2484"/>
      <c r="S12" s="2484"/>
      <c r="T12" s="2484"/>
      <c r="U12" s="2484"/>
      <c r="V12" s="2484"/>
      <c r="W12" s="2484"/>
      <c r="X12" s="2484"/>
      <c r="Y12" s="2484"/>
      <c r="Z12" s="2484"/>
      <c r="AA12" s="2484"/>
      <c r="AB12" s="2484"/>
      <c r="AC12" s="2484"/>
      <c r="AD12" s="2484"/>
      <c r="AE12" s="2484"/>
      <c r="AF12" s="2484"/>
      <c r="AG12" s="2484"/>
      <c r="AH12" s="2484"/>
      <c r="AI12" s="2484"/>
      <c r="AJ12" s="2484"/>
      <c r="AK12" s="2484"/>
      <c r="AL12" s="2484"/>
      <c r="AM12" s="1518"/>
      <c r="AN12" s="1518"/>
      <c r="AO12" s="1518"/>
      <c r="AP12" s="1518"/>
      <c r="AQ12" s="1518"/>
      <c r="AR12" s="1518"/>
      <c r="AS12" s="1518"/>
      <c r="AT12" s="1518"/>
      <c r="AU12" s="1518"/>
      <c r="AV12" s="1518"/>
      <c r="AW12" s="1518"/>
      <c r="AX12" s="1518"/>
      <c r="AY12" s="1518"/>
    </row>
    <row r="13" spans="1:96" ht="12.75">
      <c r="A13" s="1848" t="s">
        <v>1391</v>
      </c>
      <c r="B13" s="1848"/>
      <c r="C13" s="1848"/>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574"/>
      <c r="AN13" s="1574"/>
      <c r="AO13" s="1574"/>
      <c r="AP13" s="1574"/>
      <c r="AQ13" s="1574"/>
      <c r="AR13" s="1574"/>
      <c r="AS13" s="1574"/>
      <c r="AT13" s="1574"/>
      <c r="AU13" s="1574"/>
      <c r="AV13" s="1574"/>
      <c r="AW13" s="1574"/>
      <c r="AX13" s="1574"/>
      <c r="AY13" s="1574"/>
    </row>
    <row r="14" spans="1:96" ht="12.75" customHeight="1" thickBot="1">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56" t="s">
        <v>2566</v>
      </c>
      <c r="I16" s="2456"/>
      <c r="J16" s="2456"/>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c r="AH16" s="2456"/>
      <c r="AI16" s="2456"/>
      <c r="AJ16" s="2456"/>
    </row>
    <row r="17" spans="1:96" ht="12.75" customHeight="1"/>
    <row r="18" spans="1:96" ht="12.75" customHeight="1">
      <c r="A18" s="134" t="s">
        <v>106</v>
      </c>
      <c r="C18" s="7"/>
      <c r="D18" s="7"/>
      <c r="E18" s="7"/>
      <c r="F18" s="7"/>
      <c r="G18" s="7"/>
      <c r="H18" s="2288" t="s">
        <v>2469</v>
      </c>
      <c r="I18" s="2288"/>
      <c r="J18" s="2288"/>
      <c r="K18" s="2288"/>
      <c r="L18" s="2288"/>
      <c r="M18" s="2288"/>
      <c r="N18" s="2288"/>
      <c r="O18" s="2288"/>
      <c r="P18" s="2288"/>
      <c r="Q18" s="2288"/>
      <c r="R18" s="2288"/>
      <c r="S18" s="2288"/>
      <c r="T18" s="2288"/>
      <c r="U18" s="2288"/>
      <c r="V18" s="2288"/>
      <c r="W18" s="2288"/>
      <c r="X18" s="2288"/>
      <c r="Y18" s="2288"/>
      <c r="Z18" s="2288"/>
      <c r="AA18" s="2288"/>
      <c r="AB18" s="2288"/>
      <c r="AC18" s="2288"/>
      <c r="AD18" s="2288"/>
      <c r="AE18" s="2288"/>
      <c r="AF18" s="2288"/>
      <c r="AG18" s="2288"/>
      <c r="AH18" s="2288"/>
      <c r="AI18" s="2288"/>
      <c r="AJ18" s="2288"/>
    </row>
    <row r="19" spans="1:96" ht="12.75" customHeight="1"/>
    <row r="20" spans="1:96" ht="14.25" customHeight="1">
      <c r="A20" s="2454" t="s">
        <v>940</v>
      </c>
      <c r="B20" s="2454"/>
      <c r="C20" s="2454"/>
      <c r="D20" s="2454"/>
      <c r="E20" s="2454"/>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2454"/>
      <c r="AM20" s="1576"/>
      <c r="AN20" s="1576"/>
      <c r="AO20" s="1576"/>
      <c r="AP20" s="1576"/>
      <c r="AQ20" s="1576"/>
      <c r="AR20" s="1576"/>
      <c r="AS20" s="1576"/>
      <c r="AT20" s="1576"/>
      <c r="AU20" s="1576"/>
      <c r="AV20" s="1576"/>
      <c r="AW20" s="1576"/>
      <c r="AX20" s="1576"/>
      <c r="AY20" s="1576"/>
    </row>
    <row r="21" spans="1:96" ht="12.75" customHeight="1">
      <c r="A21" s="2486" t="s">
        <v>1120</v>
      </c>
      <c r="B21" s="2486"/>
      <c r="C21" s="2486"/>
      <c r="D21" s="2486"/>
      <c r="E21" s="2486"/>
      <c r="F21" s="2486"/>
      <c r="G21" s="2486"/>
      <c r="H21" s="2486"/>
      <c r="I21" s="2486"/>
      <c r="J21" s="2486"/>
      <c r="K21" s="2486"/>
      <c r="L21" s="2486"/>
      <c r="M21" s="2486"/>
      <c r="N21" s="2486"/>
      <c r="O21" s="2486"/>
      <c r="P21" s="2486"/>
      <c r="Q21" s="2486"/>
      <c r="R21" s="2486"/>
      <c r="S21" s="2486"/>
      <c r="T21" s="2486"/>
      <c r="U21" s="2486"/>
      <c r="V21" s="2486"/>
      <c r="W21" s="2486"/>
      <c r="X21" s="2486"/>
      <c r="Y21" s="2486"/>
      <c r="Z21" s="2486"/>
      <c r="AA21" s="2486"/>
      <c r="AB21" s="2486"/>
      <c r="AC21" s="2486"/>
      <c r="AD21" s="2486"/>
      <c r="AE21" s="2486"/>
      <c r="AF21" s="2486"/>
      <c r="AG21" s="2486"/>
      <c r="AH21" s="2486"/>
      <c r="AI21" s="2486"/>
      <c r="AJ21" s="2486"/>
      <c r="AK21" s="2486"/>
      <c r="AL21" s="2486"/>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5">
        <f>'Basis &amp; Credits'!AB56</f>
        <v>2481120</v>
      </c>
      <c r="N26" s="2485"/>
      <c r="O26" s="2485"/>
      <c r="P26" s="2485"/>
      <c r="Q26" s="2485"/>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40">
        <f>'Basis &amp; Credits'!AB77</f>
        <v>15643984</v>
      </c>
      <c r="N27" s="2040"/>
      <c r="O27" s="2040"/>
      <c r="P27" s="2040"/>
      <c r="Q27" s="2040"/>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267" t="s">
        <v>580</v>
      </c>
      <c r="P33" s="2267"/>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55">
        <v>21</v>
      </c>
      <c r="H122" s="2455"/>
      <c r="I122" s="239" t="s">
        <v>187</v>
      </c>
      <c r="L122" s="2455" t="s">
        <v>2569</v>
      </c>
      <c r="M122" s="2455"/>
      <c r="N122" s="2455"/>
      <c r="O122" s="913" t="s">
        <v>2568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62" t="s">
        <v>70</v>
      </c>
      <c r="D124" s="2462"/>
      <c r="E124" s="2462"/>
      <c r="F124" s="2462"/>
      <c r="G124" s="2462"/>
      <c r="H124" s="2462"/>
      <c r="I124" s="2462"/>
      <c r="J124" s="2462"/>
      <c r="K124" s="2462"/>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55"/>
      <c r="Z126" s="2455"/>
      <c r="AA126" s="2455"/>
      <c r="AB126" s="2455"/>
      <c r="AC126" s="2455"/>
      <c r="AD126" s="2455"/>
      <c r="AE126" s="2455"/>
      <c r="AF126" s="2455"/>
      <c r="AG126" s="2455"/>
      <c r="AH126" s="2455"/>
      <c r="AI126" s="2455"/>
      <c r="AJ126" s="2455"/>
      <c r="AK126" s="2455"/>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59" t="s">
        <v>2482</v>
      </c>
      <c r="Z129" s="2459"/>
      <c r="AA129" s="2459"/>
      <c r="AB129" s="2459"/>
      <c r="AC129" s="2459"/>
      <c r="AD129" s="2459"/>
      <c r="AE129" s="2459"/>
      <c r="AF129" s="2459"/>
      <c r="AG129" s="2459"/>
      <c r="AH129" s="2459"/>
      <c r="AI129" s="2459"/>
      <c r="AJ129" s="2459"/>
      <c r="AK129" s="2459"/>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59" t="s">
        <v>2567</v>
      </c>
      <c r="Z132" s="2459"/>
      <c r="AA132" s="2459"/>
      <c r="AB132" s="2459"/>
      <c r="AC132" s="2459"/>
      <c r="AD132" s="2459"/>
      <c r="AE132" s="2459"/>
      <c r="AF132" s="2459"/>
      <c r="AG132" s="2459"/>
      <c r="AH132" s="2459"/>
      <c r="AI132" s="2459"/>
      <c r="AJ132" s="2459"/>
      <c r="AK132" s="245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87"/>
      <c r="G150" s="2487"/>
      <c r="H150" s="2487"/>
      <c r="I150" s="2487"/>
      <c r="J150" s="2487"/>
      <c r="K150" s="2487"/>
      <c r="L150" s="2487"/>
      <c r="M150" s="2487"/>
      <c r="N150" s="2487"/>
      <c r="O150" s="2487"/>
      <c r="P150" s="2487"/>
      <c r="Q150" s="2487"/>
      <c r="R150" s="2487"/>
      <c r="S150" s="2487"/>
      <c r="T150" s="248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88" t="s">
        <v>2470</v>
      </c>
      <c r="P153" s="2288"/>
      <c r="Q153" s="2288"/>
      <c r="R153" s="2288"/>
      <c r="S153" s="2288"/>
      <c r="T153" s="2288"/>
      <c r="U153" s="2288"/>
      <c r="V153" s="2288"/>
      <c r="W153" s="2288"/>
      <c r="X153" s="2288"/>
      <c r="Y153" s="2288"/>
      <c r="Z153" s="2288"/>
      <c r="AA153" s="2288"/>
      <c r="AB153" s="2288"/>
      <c r="AC153" s="2288"/>
      <c r="AD153" s="2288"/>
      <c r="AE153" s="2288"/>
      <c r="AF153" s="2288"/>
      <c r="AG153" s="2288"/>
      <c r="AH153" s="2288"/>
    </row>
    <row r="154" spans="1:96" ht="12.75" customHeight="1">
      <c r="D154" s="467" t="s">
        <v>464</v>
      </c>
      <c r="F154" s="32"/>
      <c r="G154" s="32"/>
      <c r="H154" s="32"/>
      <c r="I154" s="32"/>
      <c r="J154" s="32"/>
      <c r="K154" s="32"/>
      <c r="L154" s="32"/>
      <c r="M154" s="32"/>
      <c r="N154" s="32"/>
      <c r="O154" s="2081" t="s">
        <v>2471</v>
      </c>
      <c r="P154" s="2081"/>
      <c r="Q154" s="2081"/>
      <c r="R154" s="2081"/>
      <c r="S154" s="2081"/>
      <c r="T154" s="2081"/>
      <c r="U154" s="2081"/>
      <c r="V154" s="2081"/>
      <c r="W154" s="2081"/>
      <c r="X154" s="2081"/>
      <c r="Y154" s="2081"/>
      <c r="Z154" s="2081"/>
      <c r="AA154" s="2081"/>
      <c r="AB154" s="2081"/>
      <c r="AC154" s="2081"/>
      <c r="AD154" s="2081"/>
      <c r="AE154" s="2081"/>
      <c r="AF154" s="2081"/>
      <c r="AG154" s="2081"/>
      <c r="AH154" s="2081"/>
      <c r="AZ154" s="25"/>
    </row>
    <row r="155" spans="1:96" ht="12.75">
      <c r="D155" s="13" t="s">
        <v>466</v>
      </c>
      <c r="F155" s="13"/>
      <c r="G155" s="13"/>
      <c r="H155" s="13"/>
      <c r="I155" s="13"/>
      <c r="J155" s="13"/>
      <c r="K155" s="13"/>
      <c r="L155" s="13"/>
      <c r="M155" s="13"/>
      <c r="N155" s="13"/>
      <c r="O155" s="2461" t="s">
        <v>465</v>
      </c>
      <c r="P155" s="2461"/>
      <c r="Q155" s="2461"/>
      <c r="R155" s="2461"/>
      <c r="S155" s="2461"/>
      <c r="T155" s="2461"/>
      <c r="U155" s="2461"/>
      <c r="V155" s="2461"/>
      <c r="W155" s="2461"/>
      <c r="X155" s="2461"/>
      <c r="Y155" s="2461"/>
      <c r="Z155" s="2461"/>
      <c r="AA155" s="2461"/>
      <c r="AB155" s="2461"/>
      <c r="AC155" s="2461"/>
      <c r="AD155" s="2461"/>
      <c r="AE155" s="2461"/>
      <c r="AF155" s="2461"/>
      <c r="AG155" s="2461"/>
      <c r="AH155" s="2461"/>
      <c r="AZ155" s="25"/>
    </row>
    <row r="156" spans="1:96" ht="12.75">
      <c r="D156" s="32" t="s">
        <v>324</v>
      </c>
      <c r="F156" s="32"/>
      <c r="G156" s="32"/>
      <c r="H156" s="32"/>
      <c r="I156" s="32"/>
      <c r="J156" s="32"/>
      <c r="K156" s="32"/>
      <c r="L156" s="32"/>
      <c r="M156" s="32"/>
      <c r="N156" s="32"/>
      <c r="O156" s="2030" t="s">
        <v>2472</v>
      </c>
      <c r="P156" s="2030"/>
      <c r="Q156" s="2030"/>
      <c r="R156" s="2030"/>
      <c r="S156" s="2030"/>
      <c r="T156" s="2030"/>
      <c r="U156" s="2030"/>
      <c r="V156" s="2030"/>
      <c r="W156" s="2030"/>
      <c r="X156" s="2030"/>
      <c r="Y156" s="2030"/>
      <c r="Z156" s="2030"/>
      <c r="AA156" s="2030"/>
      <c r="AB156" s="2030"/>
      <c r="AC156" s="2030"/>
      <c r="AD156" s="2030"/>
      <c r="AE156" s="2030"/>
      <c r="AF156" s="2030"/>
      <c r="AG156" s="2030"/>
      <c r="AH156" s="2030"/>
      <c r="BT156" s="12" t="s">
        <v>318</v>
      </c>
    </row>
    <row r="157" spans="1:96" ht="12.75">
      <c r="D157" s="32" t="s">
        <v>325</v>
      </c>
      <c r="F157" s="32"/>
      <c r="G157" s="32"/>
      <c r="H157" s="32"/>
      <c r="I157" s="32"/>
      <c r="J157" s="32"/>
      <c r="K157" s="32"/>
      <c r="L157" s="32"/>
      <c r="M157" s="32"/>
      <c r="N157" s="32"/>
      <c r="O157" s="2288" t="s">
        <v>2473</v>
      </c>
      <c r="P157" s="2348"/>
      <c r="Q157" s="2348"/>
      <c r="R157" s="2348"/>
      <c r="S157" s="2348"/>
      <c r="T157" s="2348"/>
      <c r="U157" s="2348"/>
      <c r="V157" s="2348"/>
      <c r="W157" s="2348"/>
      <c r="X157" s="2348"/>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64">
        <v>93458</v>
      </c>
      <c r="P158" s="2464"/>
      <c r="Q158" s="2464"/>
      <c r="R158" s="2464"/>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66" t="s">
        <v>2474</v>
      </c>
      <c r="P159" s="2466"/>
      <c r="Q159" s="2466"/>
      <c r="R159" s="2466"/>
      <c r="S159" s="2466"/>
      <c r="T159" s="2466"/>
      <c r="V159" s="146" t="s">
        <v>279</v>
      </c>
      <c r="W159" s="2465"/>
      <c r="X159" s="2465"/>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66" t="s">
        <v>2475</v>
      </c>
      <c r="P160" s="2466"/>
      <c r="Q160" s="2466"/>
      <c r="R160" s="2466"/>
      <c r="S160" s="2466"/>
      <c r="T160" s="2466"/>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49" t="s">
        <v>2476</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63" t="s">
        <v>1465</v>
      </c>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2463"/>
      <c r="AB164" s="2463"/>
      <c r="AC164" s="2463"/>
      <c r="AD164" s="2463"/>
      <c r="AE164" s="2463"/>
      <c r="AF164" s="2463"/>
      <c r="AG164" s="2463"/>
      <c r="AH164" s="2463"/>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92" t="s">
        <v>574</v>
      </c>
      <c r="B169" s="2392"/>
      <c r="C169" s="2392"/>
      <c r="D169" s="2392"/>
      <c r="E169" s="2392"/>
      <c r="F169" s="2392"/>
      <c r="G169" s="2392"/>
      <c r="H169" s="2392"/>
      <c r="I169" s="2392"/>
      <c r="J169" s="2392"/>
      <c r="K169" s="2392"/>
      <c r="L169" s="2392"/>
      <c r="M169" s="2392"/>
      <c r="N169" s="2392"/>
      <c r="O169" s="2392"/>
      <c r="P169" s="2392"/>
      <c r="Q169" s="2392"/>
      <c r="R169" s="2392"/>
      <c r="S169" s="2392"/>
      <c r="T169" s="2392"/>
      <c r="U169" s="2392"/>
      <c r="V169" s="2392"/>
      <c r="W169" s="2392"/>
      <c r="X169" s="2392"/>
      <c r="Y169" s="2392"/>
      <c r="Z169" s="2392"/>
      <c r="AA169" s="2392"/>
      <c r="AB169" s="2392"/>
      <c r="AC169" s="2392"/>
      <c r="AD169" s="2392"/>
      <c r="AE169" s="2392"/>
      <c r="AF169" s="2392"/>
      <c r="AG169" s="2392"/>
      <c r="AH169" s="2392"/>
      <c r="AI169" s="2392"/>
      <c r="AJ169" s="2392"/>
      <c r="AK169" s="2392"/>
      <c r="AL169" s="2392"/>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93"/>
      <c r="B170" s="2393"/>
      <c r="C170" s="2393"/>
      <c r="D170" s="2393"/>
      <c r="E170" s="2393"/>
      <c r="F170" s="2393"/>
      <c r="G170" s="2393"/>
      <c r="H170" s="2393"/>
      <c r="I170" s="2393"/>
      <c r="J170" s="2393"/>
      <c r="K170" s="2393"/>
      <c r="L170" s="2393"/>
      <c r="M170" s="2393"/>
      <c r="N170" s="2393"/>
      <c r="O170" s="2393"/>
      <c r="P170" s="2393"/>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67" t="s">
        <v>391</v>
      </c>
      <c r="K173" s="2467"/>
      <c r="L173" s="2467"/>
      <c r="M173" s="2467"/>
      <c r="N173" s="2467"/>
      <c r="O173" s="2467"/>
      <c r="P173" s="2467"/>
      <c r="Q173" s="2467"/>
      <c r="R173" s="2467"/>
      <c r="S173" s="246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30" t="s">
        <v>2477</v>
      </c>
      <c r="K174" s="2030"/>
      <c r="L174" s="2030"/>
      <c r="M174" s="2030"/>
      <c r="N174" s="2030"/>
      <c r="O174" s="2030"/>
      <c r="P174" s="2030"/>
      <c r="Q174" s="2030"/>
      <c r="R174" s="2030"/>
      <c r="S174" s="2030"/>
      <c r="T174" s="2030"/>
      <c r="U174" s="2030"/>
      <c r="V174" s="2030"/>
      <c r="W174" s="2030"/>
      <c r="X174" s="2030"/>
      <c r="Y174" s="2030"/>
      <c r="Z174" s="2030"/>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267" t="s">
        <v>580</v>
      </c>
      <c r="V175" s="226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90">
        <v>20</v>
      </c>
      <c r="V176" s="2090"/>
      <c r="W176" s="4" t="s">
        <v>317</v>
      </c>
      <c r="X176" s="2472">
        <v>166</v>
      </c>
      <c r="Y176" s="2472"/>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267" t="s">
        <v>708</v>
      </c>
      <c r="S177" s="226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89"/>
      <c r="AG178" s="2289"/>
      <c r="AH178" s="4" t="s">
        <v>317</v>
      </c>
      <c r="AI178" s="2444"/>
      <c r="AJ178" s="2444"/>
      <c r="AK178" s="2444"/>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267"/>
      <c r="Y180" s="226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01" t="str">
        <f>H18</f>
        <v>Centennial Gardens</v>
      </c>
      <c r="J184" s="2001"/>
      <c r="K184" s="2001"/>
      <c r="L184" s="2001"/>
      <c r="M184" s="2001"/>
      <c r="N184" s="2001"/>
      <c r="O184" s="2001"/>
      <c r="P184" s="2001"/>
      <c r="Q184" s="2001"/>
      <c r="R184" s="2001"/>
      <c r="S184" s="2001"/>
      <c r="T184" s="2001"/>
      <c r="U184" s="2001"/>
      <c r="V184" s="2001"/>
      <c r="W184" s="2001"/>
      <c r="X184" s="2001"/>
      <c r="Y184" s="2001"/>
      <c r="Z184" s="2001"/>
      <c r="AA184" s="2001"/>
      <c r="AB184" s="2001"/>
      <c r="AC184" s="2001"/>
      <c r="AD184" s="2001"/>
      <c r="AE184" s="200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262"/>
      <c r="J185" s="2262"/>
      <c r="K185" s="2262"/>
      <c r="L185" s="2262"/>
      <c r="M185" s="2262"/>
      <c r="N185" s="2262"/>
      <c r="O185" s="2262"/>
      <c r="P185" s="2262"/>
      <c r="Q185" s="2262"/>
      <c r="R185" s="2262"/>
      <c r="S185" s="2262"/>
      <c r="T185" s="2262"/>
      <c r="U185" s="2262"/>
      <c r="V185" s="2262"/>
      <c r="W185" s="2262"/>
      <c r="X185" s="2262"/>
      <c r="Y185" s="2262"/>
      <c r="Z185" s="2262"/>
      <c r="AA185" s="2262"/>
      <c r="AB185" s="2262"/>
      <c r="AC185" s="2262"/>
      <c r="AD185" s="2262"/>
      <c r="AE185" s="2262"/>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73" t="s">
        <v>2478</v>
      </c>
      <c r="F187" s="2473"/>
      <c r="G187" s="2473"/>
      <c r="H187" s="2473"/>
      <c r="I187" s="2473"/>
      <c r="J187" s="2473"/>
      <c r="K187" s="2473"/>
      <c r="L187" s="2473"/>
      <c r="M187" s="2473"/>
      <c r="N187" s="2473"/>
      <c r="O187" s="2473"/>
      <c r="P187" s="2473"/>
      <c r="Q187" s="2473"/>
      <c r="R187" s="2473"/>
      <c r="S187" s="2473"/>
      <c r="T187" s="2473"/>
      <c r="U187" s="2473"/>
      <c r="V187" s="2473"/>
      <c r="W187" s="2473"/>
      <c r="X187" s="2473"/>
      <c r="Y187" s="2473"/>
      <c r="Z187" s="2473"/>
      <c r="AA187" s="2473"/>
      <c r="AB187" s="2473"/>
      <c r="AC187" s="2473"/>
      <c r="AD187" s="2473"/>
      <c r="AE187" s="2473"/>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74"/>
      <c r="F188" s="2474"/>
      <c r="G188" s="2474"/>
      <c r="H188" s="2474"/>
      <c r="I188" s="2474"/>
      <c r="J188" s="2474"/>
      <c r="K188" s="2474"/>
      <c r="L188" s="2474"/>
      <c r="M188" s="2474"/>
      <c r="N188" s="2474"/>
      <c r="O188" s="2474"/>
      <c r="P188" s="2474"/>
      <c r="Q188" s="2474"/>
      <c r="R188" s="2474"/>
      <c r="S188" s="2474"/>
      <c r="T188" s="2474"/>
      <c r="U188" s="2474"/>
      <c r="V188" s="2474"/>
      <c r="W188" s="2474"/>
      <c r="X188" s="2474"/>
      <c r="Y188" s="2474"/>
      <c r="Z188" s="2474"/>
      <c r="AA188" s="2474"/>
      <c r="AB188" s="2474"/>
      <c r="AC188" s="2474"/>
      <c r="AD188" s="2474"/>
      <c r="AE188" s="2474"/>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30" t="s">
        <v>2473</v>
      </c>
      <c r="J189" s="2030"/>
      <c r="K189" s="2030"/>
      <c r="L189" s="2030"/>
      <c r="M189" s="2030"/>
      <c r="N189" s="2030"/>
      <c r="O189" s="2030"/>
      <c r="P189" s="2030"/>
      <c r="Q189" s="25" t="s">
        <v>619</v>
      </c>
      <c r="T189" s="2030" t="s">
        <v>197</v>
      </c>
      <c r="U189" s="2030"/>
      <c r="V189" s="2030"/>
      <c r="W189" s="2030"/>
      <c r="X189" s="2030"/>
      <c r="Y189" s="2030"/>
      <c r="Z189" s="2030"/>
      <c r="AA189" s="2030"/>
      <c r="AB189" s="2030"/>
      <c r="AC189" s="2030"/>
      <c r="AD189" s="2030"/>
      <c r="AE189" s="2030"/>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262">
        <v>93458</v>
      </c>
      <c r="J190" s="2262"/>
      <c r="K190" s="2262"/>
      <c r="L190" s="2262"/>
      <c r="M190" s="2262"/>
      <c r="N190" s="2262"/>
      <c r="O190" s="25" t="s">
        <v>622</v>
      </c>
      <c r="P190" s="25"/>
      <c r="Q190" s="25"/>
      <c r="R190" s="25"/>
      <c r="S190" s="25"/>
      <c r="T190" s="2470">
        <v>24.02</v>
      </c>
      <c r="U190" s="2470"/>
      <c r="V190" s="2470"/>
      <c r="W190" s="2470"/>
      <c r="X190" s="2470"/>
      <c r="Y190" s="2470"/>
      <c r="Z190" s="2470"/>
      <c r="AA190" s="2470"/>
      <c r="AB190" s="2470"/>
      <c r="AC190" s="2470"/>
      <c r="AD190" s="2470"/>
      <c r="AE190" s="2470"/>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73" t="s">
        <v>2479</v>
      </c>
      <c r="O191" s="2473"/>
      <c r="P191" s="2473"/>
      <c r="Q191" s="2473"/>
      <c r="R191" s="2473"/>
      <c r="S191" s="2473"/>
      <c r="T191" s="2473"/>
      <c r="U191" s="2473"/>
      <c r="V191" s="2473"/>
      <c r="W191" s="2473"/>
      <c r="X191" s="2473"/>
      <c r="Y191" s="2473"/>
      <c r="Z191" s="2473"/>
      <c r="AA191" s="2473"/>
      <c r="AB191" s="2473"/>
      <c r="AC191" s="2473"/>
      <c r="AD191" s="2473"/>
      <c r="AE191" s="2473"/>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74"/>
      <c r="O192" s="2474"/>
      <c r="P192" s="2474"/>
      <c r="Q192" s="2474"/>
      <c r="R192" s="2474"/>
      <c r="S192" s="2474"/>
      <c r="T192" s="2474"/>
      <c r="U192" s="2474"/>
      <c r="V192" s="2474"/>
      <c r="W192" s="2474"/>
      <c r="X192" s="2474"/>
      <c r="Y192" s="2474"/>
      <c r="Z192" s="2474"/>
      <c r="AA192" s="2474"/>
      <c r="AB192" s="2474"/>
      <c r="AC192" s="2474"/>
      <c r="AD192" s="2474"/>
      <c r="AE192" s="2474"/>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1991</v>
      </c>
      <c r="BN192" s="36" t="s">
        <v>729</v>
      </c>
      <c r="BT192" s="12" t="s">
        <v>773</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80" t="s">
        <v>2599</v>
      </c>
      <c r="U193" s="2480"/>
      <c r="V193" s="2480"/>
      <c r="W193" s="2480"/>
      <c r="X193" s="2480"/>
      <c r="Y193" s="2480"/>
      <c r="Z193" s="2480"/>
      <c r="AA193" s="2480"/>
      <c r="AB193" s="2480"/>
      <c r="AC193" s="2480"/>
      <c r="AD193" s="2480"/>
      <c r="AE193" s="2480"/>
      <c r="AF193" s="2480"/>
      <c r="AG193" s="2480"/>
      <c r="AH193" s="2480"/>
      <c r="AI193" s="2480"/>
      <c r="AJ193" s="682"/>
      <c r="AK193" s="682"/>
      <c r="AL193" s="682"/>
      <c r="AM193" s="682"/>
      <c r="AN193" s="682"/>
      <c r="AO193" s="682"/>
      <c r="AP193" s="682"/>
      <c r="AQ193" s="682"/>
      <c r="AR193" s="682"/>
      <c r="AS193" s="682"/>
      <c r="AT193" s="682"/>
      <c r="AU193" s="682"/>
      <c r="AV193" s="682"/>
      <c r="AW193" s="682"/>
      <c r="AX193" s="682"/>
      <c r="AY193" s="682"/>
      <c r="BC193" s="720" t="s">
        <v>1160</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267" t="s">
        <v>708</v>
      </c>
      <c r="U194" s="2267"/>
      <c r="W194" s="25" t="s">
        <v>724</v>
      </c>
      <c r="X194" s="25"/>
      <c r="Y194" s="25"/>
      <c r="Z194" s="25"/>
      <c r="AA194" s="25"/>
      <c r="AB194" s="25"/>
      <c r="AC194" s="25"/>
      <c r="AD194" s="25"/>
      <c r="AE194" s="25"/>
      <c r="AF194" s="25"/>
      <c r="AG194" s="25"/>
      <c r="AH194" s="2267">
        <v>24</v>
      </c>
      <c r="AI194" s="2267"/>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19" t="s">
        <v>708</v>
      </c>
      <c r="U195" s="2319"/>
      <c r="V195" s="12"/>
      <c r="W195" s="25" t="s">
        <v>725</v>
      </c>
      <c r="X195" s="25"/>
      <c r="Y195" s="25"/>
      <c r="Z195" s="25"/>
      <c r="AA195" s="25"/>
      <c r="AB195" s="25"/>
      <c r="AC195" s="25"/>
      <c r="AD195" s="25"/>
      <c r="AE195" s="25"/>
      <c r="AF195" s="25"/>
      <c r="AG195" s="25"/>
      <c r="AH195" s="2267">
        <v>35</v>
      </c>
      <c r="AI195" s="2267"/>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19" t="s">
        <v>708</v>
      </c>
      <c r="U196" s="2319"/>
      <c r="W196" s="25" t="s">
        <v>726</v>
      </c>
      <c r="X196" s="25"/>
      <c r="Y196" s="25"/>
      <c r="Z196" s="25"/>
      <c r="AA196" s="25"/>
      <c r="AB196" s="25"/>
      <c r="AC196" s="25"/>
      <c r="AD196" s="25"/>
      <c r="AE196" s="25"/>
      <c r="AF196" s="25"/>
      <c r="AG196" s="25"/>
      <c r="AH196" s="2267">
        <v>19</v>
      </c>
      <c r="AI196" s="226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19"/>
      <c r="U197" s="231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267" t="s">
        <v>708</v>
      </c>
      <c r="Z198" s="226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01" t="s">
        <v>405</v>
      </c>
      <c r="E203" s="2001"/>
      <c r="F203" s="2001"/>
      <c r="G203" s="2001"/>
      <c r="H203" s="2001"/>
      <c r="I203" s="2001"/>
      <c r="J203" s="2001"/>
      <c r="K203" s="2001"/>
      <c r="L203" s="2001"/>
      <c r="M203" s="2001"/>
      <c r="P203" s="2452">
        <f>M26</f>
        <v>2481120</v>
      </c>
      <c r="Q203" s="2453"/>
      <c r="R203" s="2453"/>
      <c r="S203" s="2453"/>
      <c r="T203" s="2453"/>
      <c r="U203" s="2453"/>
      <c r="V203" s="25"/>
      <c r="W203" s="25"/>
      <c r="X203" s="25"/>
      <c r="Y203" s="25"/>
      <c r="Z203" s="2468" t="s">
        <v>2592</v>
      </c>
      <c r="AA203" s="2468"/>
      <c r="AB203" s="2468"/>
      <c r="AC203" s="2468"/>
      <c r="AD203" s="2468"/>
      <c r="AE203" s="2468"/>
      <c r="AF203" s="246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81" t="s">
        <v>1487</v>
      </c>
      <c r="E204" s="2001"/>
      <c r="F204" s="2001"/>
      <c r="G204" s="2001"/>
      <c r="H204" s="2001"/>
      <c r="I204" s="2001"/>
      <c r="J204" s="2001"/>
      <c r="K204" s="2001"/>
      <c r="L204" s="2001"/>
      <c r="M204" s="2001"/>
      <c r="P204" s="2453">
        <f>M27</f>
        <v>15643984</v>
      </c>
      <c r="Q204" s="2453"/>
      <c r="R204" s="2453"/>
      <c r="S204" s="2453"/>
      <c r="T204" s="2453"/>
      <c r="U204" s="2453"/>
      <c r="V204" s="47"/>
      <c r="W204" s="58" t="s">
        <v>2235</v>
      </c>
      <c r="Z204" s="2468"/>
      <c r="AA204" s="2468"/>
      <c r="AB204" s="2468"/>
      <c r="AC204" s="2468"/>
      <c r="AD204" s="2468"/>
      <c r="AE204" s="2468"/>
      <c r="AF204" s="2468"/>
      <c r="AG204" s="25" t="s">
        <v>1488</v>
      </c>
      <c r="AH204" s="25"/>
      <c r="AI204" s="25"/>
      <c r="AJ204" s="25"/>
      <c r="AK204" s="25"/>
      <c r="AL204" s="25"/>
      <c r="AM204" s="25"/>
      <c r="AN204" s="25"/>
      <c r="AO204" s="25"/>
      <c r="AP204" s="2267" t="s">
        <v>708</v>
      </c>
      <c r="AQ204" s="2267"/>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9"/>
      <c r="AA205" s="2469"/>
      <c r="AB205" s="2469"/>
      <c r="AC205" s="2469"/>
      <c r="AD205" s="2469"/>
      <c r="AE205" s="2469"/>
      <c r="AF205" s="2469"/>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48" t="s">
        <v>2593</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48" t="s">
        <v>1159</v>
      </c>
      <c r="E210" s="2348"/>
      <c r="F210" s="2348"/>
      <c r="G210" s="2348"/>
      <c r="H210" s="2348"/>
      <c r="I210" s="2348"/>
      <c r="J210" s="2348"/>
      <c r="K210" s="2348"/>
      <c r="L210" s="2348"/>
      <c r="M210" s="234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267"/>
      <c r="Z211" s="226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42" t="s">
        <v>628</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41"/>
      <c r="AC214" s="2541"/>
      <c r="AD214" s="2541"/>
      <c r="AE214" s="2541"/>
      <c r="AF214" s="2541"/>
      <c r="AG214" s="2541"/>
      <c r="AH214" s="2541"/>
      <c r="AI214" s="2541"/>
      <c r="AJ214" s="2541"/>
      <c r="AK214" s="2541"/>
      <c r="AL214" s="2541"/>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41"/>
      <c r="AC215" s="2541"/>
      <c r="AD215" s="2541"/>
      <c r="AE215" s="2541"/>
      <c r="AF215" s="2541"/>
      <c r="AG215" s="2541"/>
      <c r="AH215" s="2541"/>
      <c r="AI215" s="2541"/>
      <c r="AJ215" s="2541"/>
      <c r="AK215" s="2541"/>
      <c r="AL215" s="2541"/>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48" t="s">
        <v>1435</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92" t="s">
        <v>575</v>
      </c>
      <c r="B221" s="2392"/>
      <c r="C221" s="2392"/>
      <c r="D221" s="2392"/>
      <c r="E221" s="2392"/>
      <c r="F221" s="2392"/>
      <c r="G221" s="2392"/>
      <c r="H221" s="2392"/>
      <c r="I221" s="2392"/>
      <c r="J221" s="2392"/>
      <c r="K221" s="2392"/>
      <c r="L221" s="2392"/>
      <c r="M221" s="2392"/>
      <c r="N221" s="2392"/>
      <c r="O221" s="2392"/>
      <c r="P221" s="2392"/>
      <c r="Q221" s="2392"/>
      <c r="R221" s="2392"/>
      <c r="S221" s="2392"/>
      <c r="T221" s="2392"/>
      <c r="U221" s="2392"/>
      <c r="V221" s="2392"/>
      <c r="W221" s="2392"/>
      <c r="X221" s="2392"/>
      <c r="Y221" s="2392"/>
      <c r="Z221" s="2392"/>
      <c r="AA221" s="2392"/>
      <c r="AB221" s="2392"/>
      <c r="AC221" s="2392"/>
      <c r="AD221" s="2392"/>
      <c r="AE221" s="2392"/>
      <c r="AF221" s="2392"/>
      <c r="AG221" s="2392"/>
      <c r="AH221" s="2392"/>
      <c r="AI221" s="2392"/>
      <c r="AJ221" s="2392"/>
      <c r="AK221" s="2392"/>
      <c r="AL221" s="2392"/>
      <c r="AM221" s="144"/>
      <c r="AN221" s="144"/>
      <c r="AO221" s="144"/>
      <c r="AP221" s="144"/>
      <c r="AQ221" s="144"/>
      <c r="AR221" s="144"/>
      <c r="AS221" s="144"/>
      <c r="AT221" s="144"/>
      <c r="AU221" s="144"/>
      <c r="AV221" s="144"/>
      <c r="AW221" s="144"/>
      <c r="AX221" s="144"/>
      <c r="AY221" s="144"/>
      <c r="BA221" s="58"/>
    </row>
    <row r="222" spans="1:96" ht="13.5" thickBot="1">
      <c r="A222" s="2393"/>
      <c r="B222" s="2393"/>
      <c r="C222" s="2393"/>
      <c r="D222" s="2393"/>
      <c r="E222" s="2393"/>
      <c r="F222" s="2393"/>
      <c r="G222" s="2393"/>
      <c r="H222" s="2393"/>
      <c r="I222" s="2393"/>
      <c r="J222" s="2393"/>
      <c r="K222" s="2393"/>
      <c r="L222" s="2393"/>
      <c r="M222" s="2393"/>
      <c r="N222" s="2393"/>
      <c r="O222" s="2393"/>
      <c r="P222" s="2393"/>
      <c r="Q222" s="2393"/>
      <c r="R222" s="2393"/>
      <c r="S222" s="2393"/>
      <c r="T222" s="2393"/>
      <c r="U222" s="2393"/>
      <c r="V222" s="2393"/>
      <c r="W222" s="2393"/>
      <c r="X222" s="2393"/>
      <c r="Y222" s="2393"/>
      <c r="Z222" s="2393"/>
      <c r="AA222" s="2393"/>
      <c r="AB222" s="2393"/>
      <c r="AC222" s="2393"/>
      <c r="AD222" s="2393"/>
      <c r="AE222" s="2393"/>
      <c r="AF222" s="2393"/>
      <c r="AG222" s="2393"/>
      <c r="AH222" s="2393"/>
      <c r="AI222" s="2393"/>
      <c r="AJ222" s="2393"/>
      <c r="AK222" s="2393"/>
      <c r="AL222" s="239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267" t="s">
        <v>628</v>
      </c>
      <c r="AJ225" s="2267"/>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267" t="s">
        <v>580</v>
      </c>
      <c r="AJ226" s="2267"/>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267" t="s">
        <v>628</v>
      </c>
      <c r="AJ227" s="2267"/>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267" t="s">
        <v>628</v>
      </c>
      <c r="AJ228" s="2267"/>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2</v>
      </c>
      <c r="BO230" s="61"/>
    </row>
    <row r="231" spans="1:69" ht="12.75">
      <c r="D231" s="57" t="s">
        <v>505</v>
      </c>
      <c r="E231" s="57"/>
      <c r="F231" s="57"/>
      <c r="G231" s="57"/>
      <c r="H231" s="57"/>
      <c r="I231" s="57"/>
      <c r="J231" s="57"/>
      <c r="K231" s="7"/>
      <c r="M231" s="2478" t="str">
        <f>H16</f>
        <v>Kingdom Development, Inc</v>
      </c>
      <c r="N231" s="2478"/>
      <c r="O231" s="2478"/>
      <c r="P231" s="2478"/>
      <c r="Q231" s="2478"/>
      <c r="R231" s="2478"/>
      <c r="S231" s="2478"/>
      <c r="T231" s="2478"/>
      <c r="U231" s="2478"/>
      <c r="V231" s="2478"/>
      <c r="W231" s="2478"/>
      <c r="X231" s="2478"/>
      <c r="Y231" s="2478"/>
      <c r="Z231" s="2478"/>
      <c r="AA231" s="2478"/>
      <c r="AB231" s="2478"/>
      <c r="AC231" s="2478"/>
      <c r="AD231" s="2478"/>
      <c r="AE231" s="2478"/>
      <c r="AF231" s="2478"/>
      <c r="AG231" s="2478"/>
      <c r="AH231" s="2478"/>
      <c r="AI231" s="2478"/>
      <c r="AJ231" s="2478"/>
      <c r="AK231" s="2478"/>
      <c r="BA231" s="58"/>
      <c r="BB231" s="385"/>
      <c r="BG231" s="388"/>
      <c r="BQ231" s="61"/>
    </row>
    <row r="232" spans="1:69" ht="12.75">
      <c r="D232" s="57" t="s">
        <v>90</v>
      </c>
      <c r="E232" s="57"/>
      <c r="F232" s="57"/>
      <c r="G232" s="57"/>
      <c r="H232" s="57"/>
      <c r="I232" s="57"/>
      <c r="J232" s="57"/>
      <c r="K232" s="7"/>
      <c r="M232" s="2288" t="s">
        <v>2480</v>
      </c>
      <c r="N232" s="2288"/>
      <c r="O232" s="2288"/>
      <c r="P232" s="2288"/>
      <c r="Q232" s="2288"/>
      <c r="R232" s="2288"/>
      <c r="S232" s="2288"/>
      <c r="T232" s="2288"/>
      <c r="U232" s="2288"/>
      <c r="V232" s="2288"/>
      <c r="W232" s="2288"/>
      <c r="X232" s="2288"/>
      <c r="Y232" s="2288"/>
      <c r="Z232" s="2288"/>
      <c r="AA232" s="2288"/>
      <c r="AB232" s="2288"/>
      <c r="AC232" s="2288"/>
      <c r="AD232" s="2288"/>
      <c r="AE232" s="2288"/>
      <c r="AZ232" s="7"/>
      <c r="BA232" s="58"/>
      <c r="BB232" s="335" t="s">
        <v>573</v>
      </c>
      <c r="BG232" s="390">
        <f>IF(AND(AND($M$248="nonprofit",$M$256="nonprofit",$M$264="for profit")),2,0)</f>
        <v>0</v>
      </c>
      <c r="BQ232" s="61"/>
    </row>
    <row r="233" spans="1:69" ht="12.75">
      <c r="D233" s="57" t="s">
        <v>617</v>
      </c>
      <c r="E233" s="57"/>
      <c r="M233" s="2288" t="s">
        <v>70</v>
      </c>
      <c r="N233" s="2348"/>
      <c r="O233" s="2348"/>
      <c r="P233" s="2348"/>
      <c r="Q233" s="2348"/>
      <c r="R233" s="2348"/>
      <c r="S233" s="2348"/>
      <c r="T233" s="2348"/>
      <c r="V233" s="59" t="s">
        <v>91</v>
      </c>
      <c r="W233" s="2081" t="s">
        <v>2481</v>
      </c>
      <c r="X233" s="2083"/>
      <c r="Y233" s="57" t="s">
        <v>620</v>
      </c>
      <c r="AC233" s="2348">
        <v>92507</v>
      </c>
      <c r="AD233" s="2348"/>
      <c r="AE233" s="2348"/>
      <c r="BB233" s="335" t="s">
        <v>573</v>
      </c>
      <c r="BG233" s="390">
        <f>IF(AND(AND($M$248="nonprofit",$M$256="for profit",$M$264="nonprofit")),2,0)</f>
        <v>0</v>
      </c>
    </row>
    <row r="234" spans="1:69" ht="12.75">
      <c r="D234" s="60" t="s">
        <v>92</v>
      </c>
      <c r="E234" s="7"/>
      <c r="F234" s="7"/>
      <c r="G234" s="7"/>
      <c r="H234" s="7"/>
      <c r="I234" s="7"/>
      <c r="J234" s="7"/>
      <c r="K234" s="29"/>
      <c r="M234" s="2288" t="s">
        <v>2482</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426" t="s">
        <v>2483</v>
      </c>
      <c r="N235" s="2261"/>
      <c r="O235" s="2261"/>
      <c r="P235" s="2261"/>
      <c r="Q235" s="2261"/>
      <c r="R235" s="2261"/>
      <c r="S235" s="7" t="s">
        <v>212</v>
      </c>
      <c r="T235" s="7"/>
      <c r="U235" s="2083"/>
      <c r="V235" s="2083"/>
      <c r="W235" s="2083"/>
      <c r="X235" s="7" t="s">
        <v>94</v>
      </c>
      <c r="Z235" s="2261"/>
      <c r="AA235" s="2261"/>
      <c r="AB235" s="2261"/>
      <c r="AC235" s="2261"/>
      <c r="AD235" s="2261"/>
      <c r="AE235" s="2261"/>
      <c r="BB235" s="386"/>
      <c r="BG235" s="387"/>
    </row>
    <row r="236" spans="1:69" ht="12.75">
      <c r="D236" s="60" t="s">
        <v>95</v>
      </c>
      <c r="E236" s="7"/>
      <c r="F236" s="7"/>
      <c r="M236" s="2349" t="s">
        <v>2484</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262" t="s">
        <v>397</v>
      </c>
      <c r="N237" s="2262"/>
      <c r="O237" s="2262"/>
      <c r="P237" s="2262"/>
      <c r="Q237" s="2262"/>
      <c r="R237" s="2262"/>
      <c r="S237" s="2262"/>
      <c r="T237" s="2262"/>
      <c r="U237" s="388" t="s">
        <v>979</v>
      </c>
      <c r="V237" s="326"/>
      <c r="W237" s="326"/>
      <c r="X237" s="326"/>
      <c r="Y237" s="326"/>
      <c r="Z237" s="326"/>
      <c r="AA237" s="2458"/>
      <c r="AB237" s="2458"/>
      <c r="AC237" s="2458"/>
      <c r="AD237" s="2458"/>
      <c r="AE237" s="2458"/>
      <c r="AF237" s="2458"/>
      <c r="AG237" s="2458"/>
      <c r="AH237" s="2458"/>
      <c r="AI237" s="2458"/>
      <c r="AJ237" s="2458"/>
      <c r="AK237" s="2458"/>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30"/>
      <c r="N238" s="2030"/>
      <c r="O238" s="2030"/>
      <c r="P238" s="2030"/>
      <c r="Q238" s="2030"/>
      <c r="R238" s="2030"/>
      <c r="S238" s="2030"/>
      <c r="T238" s="2030"/>
      <c r="U238" s="2030"/>
      <c r="V238" s="2030"/>
      <c r="W238" s="2030"/>
      <c r="X238" s="2030"/>
      <c r="Y238" s="2030"/>
      <c r="Z238" s="2030"/>
      <c r="AA238" s="2030"/>
      <c r="AB238" s="2030"/>
      <c r="AC238" s="2030"/>
      <c r="AD238" s="2030"/>
      <c r="AE238" s="203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56" t="s">
        <v>2468</v>
      </c>
      <c r="N242" s="2456"/>
      <c r="O242" s="2456"/>
      <c r="P242" s="2456"/>
      <c r="Q242" s="2456"/>
      <c r="R242" s="2456"/>
      <c r="S242" s="2456"/>
      <c r="T242" s="2456"/>
      <c r="U242" s="2456"/>
      <c r="V242" s="2456"/>
      <c r="W242" s="2456"/>
      <c r="X242" s="2456"/>
      <c r="Y242" s="2456"/>
      <c r="Z242" s="2456"/>
      <c r="AA242" s="2456"/>
      <c r="AB242" s="2456"/>
      <c r="AC242" s="2456"/>
      <c r="AD242" s="2456"/>
      <c r="AE242" s="2456"/>
      <c r="AF242" s="2479" t="s">
        <v>2570</v>
      </c>
      <c r="AG242" s="2479"/>
      <c r="AH242" s="2479"/>
      <c r="AI242" s="2479"/>
      <c r="AJ242" s="2479"/>
      <c r="AK242" s="2479"/>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88" t="s">
        <v>2480</v>
      </c>
      <c r="N243" s="2288"/>
      <c r="O243" s="2288"/>
      <c r="P243" s="2288"/>
      <c r="Q243" s="2288"/>
      <c r="R243" s="2288"/>
      <c r="S243" s="2288"/>
      <c r="T243" s="2288"/>
      <c r="U243" s="2288"/>
      <c r="V243" s="2288"/>
      <c r="W243" s="2288"/>
      <c r="X243" s="2288"/>
      <c r="Y243" s="2288"/>
      <c r="Z243" s="2288"/>
      <c r="AA243" s="2288"/>
      <c r="AB243" s="2288"/>
      <c r="AC243" s="2288"/>
      <c r="AD243" s="2288"/>
      <c r="AE243" s="2288"/>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288" t="s">
        <v>70</v>
      </c>
      <c r="N244" s="2348"/>
      <c r="O244" s="2348"/>
      <c r="P244" s="2348"/>
      <c r="Q244" s="2348"/>
      <c r="R244" s="2348"/>
      <c r="S244" s="2348"/>
      <c r="T244" s="2348"/>
      <c r="V244" s="59" t="s">
        <v>91</v>
      </c>
      <c r="W244" s="2081" t="s">
        <v>2481</v>
      </c>
      <c r="X244" s="2083"/>
      <c r="Y244" s="57" t="s">
        <v>620</v>
      </c>
      <c r="AC244" s="2348">
        <v>92507</v>
      </c>
      <c r="AD244" s="2348"/>
      <c r="AE244" s="2348"/>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88" t="s">
        <v>2482</v>
      </c>
      <c r="N245" s="2348"/>
      <c r="O245" s="2348"/>
      <c r="P245" s="2348"/>
      <c r="Q245" s="2348"/>
      <c r="R245" s="2348"/>
      <c r="S245" s="2348"/>
      <c r="T245" s="2348"/>
      <c r="U245" s="2348"/>
      <c r="V245" s="2348"/>
      <c r="W245" s="2348"/>
      <c r="X245" s="2348"/>
      <c r="Y245" s="2348"/>
      <c r="Z245" s="2348"/>
      <c r="AA245" s="2348"/>
      <c r="AB245" s="2348"/>
      <c r="AC245" s="2348"/>
      <c r="AD245" s="2348"/>
      <c r="AE245" s="2348"/>
      <c r="AH245" s="2477">
        <v>4.0000000000000001E-3</v>
      </c>
      <c r="AI245" s="2477"/>
      <c r="AJ245" s="2477"/>
      <c r="AK245" s="2477"/>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426" t="s">
        <v>2483</v>
      </c>
      <c r="N246" s="2261"/>
      <c r="O246" s="2261"/>
      <c r="P246" s="2261"/>
      <c r="Q246" s="2261"/>
      <c r="R246" s="2261"/>
      <c r="S246" s="7" t="s">
        <v>212</v>
      </c>
      <c r="T246" s="7"/>
      <c r="U246" s="2083"/>
      <c r="V246" s="2083"/>
      <c r="W246" s="2083"/>
      <c r="X246" s="7" t="s">
        <v>94</v>
      </c>
      <c r="Z246" s="2261"/>
      <c r="AA246" s="2261"/>
      <c r="AB246" s="2261"/>
      <c r="AC246" s="2261"/>
      <c r="AD246" s="2261"/>
      <c r="AE246" s="2261"/>
      <c r="BB246" s="7" t="s">
        <v>178</v>
      </c>
      <c r="BG246" s="12">
        <v>3</v>
      </c>
      <c r="BH246" s="12" t="s">
        <v>571</v>
      </c>
      <c r="BN246" s="391"/>
      <c r="BO246" s="39"/>
    </row>
    <row r="247" spans="1:72" ht="12.75">
      <c r="A247" s="29"/>
      <c r="B247" s="7"/>
      <c r="C247" s="7"/>
      <c r="D247" s="60" t="s">
        <v>95</v>
      </c>
      <c r="E247" s="7"/>
      <c r="F247" s="7"/>
      <c r="M247" s="2349" t="s">
        <v>2484</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262" t="s">
        <v>569</v>
      </c>
      <c r="N248" s="2262"/>
      <c r="O248" s="2262"/>
      <c r="P248" s="2262"/>
      <c r="Q248" s="2262"/>
      <c r="R248" s="2262"/>
      <c r="S248" s="2262"/>
      <c r="T248" s="2262"/>
      <c r="U248" s="388" t="s">
        <v>979</v>
      </c>
      <c r="V248" s="326"/>
      <c r="W248" s="326"/>
      <c r="X248" s="326"/>
      <c r="Y248" s="326"/>
      <c r="Z248" s="326"/>
      <c r="AA248" s="2457" t="s">
        <v>2611</v>
      </c>
      <c r="AB248" s="2458"/>
      <c r="AC248" s="2458"/>
      <c r="AD248" s="2458"/>
      <c r="AE248" s="2458"/>
      <c r="AF248" s="2458"/>
      <c r="AG248" s="2458"/>
      <c r="AH248" s="2458"/>
      <c r="AI248" s="2458"/>
      <c r="AJ248" s="2458"/>
      <c r="AK248" s="245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56" t="s">
        <v>2485</v>
      </c>
      <c r="N250" s="2456"/>
      <c r="O250" s="2456"/>
      <c r="P250" s="2456"/>
      <c r="Q250" s="2456"/>
      <c r="R250" s="2456"/>
      <c r="S250" s="2456"/>
      <c r="T250" s="2456"/>
      <c r="U250" s="2456"/>
      <c r="V250" s="2456"/>
      <c r="W250" s="2456"/>
      <c r="X250" s="2456"/>
      <c r="Y250" s="2456"/>
      <c r="Z250" s="2456"/>
      <c r="AA250" s="2456"/>
      <c r="AB250" s="2456"/>
      <c r="AC250" s="2456"/>
      <c r="AD250" s="2456"/>
      <c r="AE250" s="2456"/>
      <c r="AF250" s="2479" t="s">
        <v>2594</v>
      </c>
      <c r="AG250" s="2479"/>
      <c r="AH250" s="2479"/>
      <c r="AI250" s="2479"/>
      <c r="AJ250" s="2479"/>
      <c r="AK250" s="2479"/>
      <c r="BN250" s="61"/>
    </row>
    <row r="251" spans="1:72" ht="12.75">
      <c r="A251" s="29"/>
      <c r="B251" s="7"/>
      <c r="C251" s="7"/>
      <c r="D251" s="57" t="s">
        <v>90</v>
      </c>
      <c r="E251" s="57"/>
      <c r="F251" s="57"/>
      <c r="G251" s="57"/>
      <c r="H251" s="57"/>
      <c r="I251" s="57"/>
      <c r="J251" s="57"/>
      <c r="K251" s="57"/>
      <c r="L251" s="7"/>
      <c r="M251" s="2288" t="s">
        <v>2486</v>
      </c>
      <c r="N251" s="2288"/>
      <c r="O251" s="2288"/>
      <c r="P251" s="2288"/>
      <c r="Q251" s="2288"/>
      <c r="R251" s="2288"/>
      <c r="S251" s="2288"/>
      <c r="T251" s="2288"/>
      <c r="U251" s="2288"/>
      <c r="V251" s="2288"/>
      <c r="W251" s="2288"/>
      <c r="X251" s="2288"/>
      <c r="Y251" s="2288"/>
      <c r="Z251" s="2288"/>
      <c r="AA251" s="2288"/>
      <c r="AB251" s="2288"/>
      <c r="AC251" s="2288"/>
      <c r="AD251" s="2288"/>
      <c r="AE251" s="2288"/>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88" t="s">
        <v>2487</v>
      </c>
      <c r="N252" s="2348"/>
      <c r="O252" s="2348"/>
      <c r="P252" s="2348"/>
      <c r="Q252" s="2348"/>
      <c r="R252" s="2348"/>
      <c r="S252" s="2348"/>
      <c r="T252" s="2348"/>
      <c r="V252" s="59" t="s">
        <v>91</v>
      </c>
      <c r="W252" s="2081" t="s">
        <v>2488</v>
      </c>
      <c r="X252" s="2083"/>
      <c r="Y252" s="57" t="s">
        <v>620</v>
      </c>
      <c r="AC252" s="2348">
        <v>98466</v>
      </c>
      <c r="AD252" s="2348"/>
      <c r="AE252" s="2348"/>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288" t="s">
        <v>2489</v>
      </c>
      <c r="N253" s="2288"/>
      <c r="O253" s="2288"/>
      <c r="P253" s="2288"/>
      <c r="Q253" s="2288"/>
      <c r="R253" s="2288"/>
      <c r="S253" s="2288"/>
      <c r="T253" s="2288"/>
      <c r="U253" s="2288"/>
      <c r="V253" s="2288"/>
      <c r="W253" s="2288"/>
      <c r="X253" s="2288"/>
      <c r="Y253" s="2288"/>
      <c r="Z253" s="2288"/>
      <c r="AA253" s="2288"/>
      <c r="AB253" s="2288"/>
      <c r="AC253" s="2288"/>
      <c r="AD253" s="2288"/>
      <c r="AE253" s="2288"/>
      <c r="AF253" s="720"/>
      <c r="AG253" s="720"/>
      <c r="AH253" s="2477">
        <v>6.0000000000000001E-3</v>
      </c>
      <c r="AI253" s="2477"/>
      <c r="AJ253" s="2477"/>
      <c r="AK253" s="247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426" t="s">
        <v>2490</v>
      </c>
      <c r="N254" s="2426"/>
      <c r="O254" s="2426"/>
      <c r="P254" s="2426"/>
      <c r="Q254" s="2426"/>
      <c r="R254" s="2426"/>
      <c r="S254" s="7" t="s">
        <v>212</v>
      </c>
      <c r="T254" s="7"/>
      <c r="U254" s="2083"/>
      <c r="V254" s="2083"/>
      <c r="W254" s="2083"/>
      <c r="X254" s="7" t="s">
        <v>94</v>
      </c>
      <c r="Z254" s="2261"/>
      <c r="AA254" s="2261"/>
      <c r="AB254" s="2261"/>
      <c r="AC254" s="2261"/>
      <c r="AD254" s="2261"/>
      <c r="AE254" s="2261"/>
    </row>
    <row r="255" spans="1:72" ht="12.75">
      <c r="A255" s="29"/>
      <c r="B255" s="7"/>
      <c r="C255" s="7"/>
      <c r="D255" s="60" t="s">
        <v>95</v>
      </c>
      <c r="E255" s="7"/>
      <c r="F255" s="7"/>
      <c r="M255" s="2349" t="s">
        <v>2491</v>
      </c>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262" t="s">
        <v>571</v>
      </c>
      <c r="N256" s="2262"/>
      <c r="O256" s="2262"/>
      <c r="P256" s="2262"/>
      <c r="Q256" s="2262"/>
      <c r="R256" s="2262"/>
      <c r="S256" s="2262"/>
      <c r="T256" s="2262"/>
      <c r="U256" s="388" t="s">
        <v>979</v>
      </c>
      <c r="V256" s="326"/>
      <c r="W256" s="326"/>
      <c r="X256" s="326"/>
      <c r="Y256" s="326"/>
      <c r="Z256" s="326"/>
      <c r="AA256" s="2457" t="s">
        <v>2612</v>
      </c>
      <c r="AB256" s="2458"/>
      <c r="AC256" s="2458"/>
      <c r="AD256" s="2458"/>
      <c r="AE256" s="2458"/>
      <c r="AF256" s="2458"/>
      <c r="AG256" s="2458"/>
      <c r="AH256" s="2458"/>
      <c r="AI256" s="2458"/>
      <c r="AJ256" s="2458"/>
      <c r="AK256" s="245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79"/>
      <c r="N258" s="2479"/>
      <c r="O258" s="2479"/>
      <c r="P258" s="2479"/>
      <c r="Q258" s="2479"/>
      <c r="R258" s="2479"/>
      <c r="S258" s="2479"/>
      <c r="T258" s="2479"/>
      <c r="U258" s="2479"/>
      <c r="V258" s="2479"/>
      <c r="W258" s="2479"/>
      <c r="X258" s="2479"/>
      <c r="Y258" s="2479"/>
      <c r="Z258" s="2479"/>
      <c r="AA258" s="2479"/>
      <c r="AB258" s="2479"/>
      <c r="AC258" s="2479"/>
      <c r="AD258" s="2479"/>
      <c r="AE258" s="2479"/>
      <c r="AF258" s="2479" t="s">
        <v>318</v>
      </c>
      <c r="AG258" s="2479"/>
      <c r="AH258" s="2479"/>
      <c r="AI258" s="2479"/>
      <c r="AJ258" s="2479"/>
      <c r="AK258" s="247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8"/>
      <c r="N259" s="2348"/>
      <c r="O259" s="2348"/>
      <c r="P259" s="2348"/>
      <c r="Q259" s="2348"/>
      <c r="R259" s="2348"/>
      <c r="S259" s="2348"/>
      <c r="T259" s="2348"/>
      <c r="U259" s="2348"/>
      <c r="V259" s="2348"/>
      <c r="W259" s="2348"/>
      <c r="X259" s="2348"/>
      <c r="Y259" s="2348"/>
      <c r="Z259" s="2348"/>
      <c r="AA259" s="2348"/>
      <c r="AB259" s="2348"/>
      <c r="AC259" s="2348"/>
      <c r="AD259" s="2348"/>
      <c r="AE259" s="2348"/>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48"/>
      <c r="N260" s="2348"/>
      <c r="O260" s="2348"/>
      <c r="P260" s="2348"/>
      <c r="Q260" s="2348"/>
      <c r="R260" s="2348"/>
      <c r="S260" s="2348"/>
      <c r="T260" s="2348"/>
      <c r="V260" s="59" t="s">
        <v>91</v>
      </c>
      <c r="W260" s="2083"/>
      <c r="X260" s="2083"/>
      <c r="Y260" s="57" t="s">
        <v>620</v>
      </c>
      <c r="AC260" s="2348"/>
      <c r="AD260" s="2348"/>
      <c r="AE260" s="2348"/>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8"/>
      <c r="N261" s="2348"/>
      <c r="O261" s="2348"/>
      <c r="P261" s="2348"/>
      <c r="Q261" s="2348"/>
      <c r="R261" s="2348"/>
      <c r="S261" s="2348"/>
      <c r="T261" s="2348"/>
      <c r="U261" s="2348"/>
      <c r="V261" s="2348"/>
      <c r="W261" s="2348"/>
      <c r="X261" s="2348"/>
      <c r="Y261" s="2348"/>
      <c r="Z261" s="2348"/>
      <c r="AA261" s="2348"/>
      <c r="AB261" s="2348"/>
      <c r="AC261" s="2348"/>
      <c r="AD261" s="2348"/>
      <c r="AE261" s="2348"/>
      <c r="AF261" s="720"/>
      <c r="AG261" s="720"/>
      <c r="AH261" s="2477"/>
      <c r="AI261" s="2477"/>
      <c r="AJ261" s="2477"/>
      <c r="AK261" s="247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61"/>
      <c r="N262" s="2261"/>
      <c r="O262" s="2261"/>
      <c r="P262" s="2261"/>
      <c r="Q262" s="2261"/>
      <c r="R262" s="2261"/>
      <c r="S262" s="7" t="s">
        <v>212</v>
      </c>
      <c r="T262" s="7"/>
      <c r="U262" s="2083"/>
      <c r="V262" s="2083"/>
      <c r="W262" s="2083"/>
      <c r="X262" s="7" t="s">
        <v>94</v>
      </c>
      <c r="Z262" s="2261"/>
      <c r="AA262" s="2261"/>
      <c r="AB262" s="2261"/>
      <c r="AC262" s="2261"/>
      <c r="AD262" s="2261"/>
      <c r="AE262" s="226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9"/>
      <c r="N263" s="2349"/>
      <c r="O263" s="2349"/>
      <c r="P263" s="2349"/>
      <c r="Q263" s="2349"/>
      <c r="R263" s="2349"/>
      <c r="S263" s="2349"/>
      <c r="T263" s="2349"/>
      <c r="U263" s="2349"/>
      <c r="V263" s="2349"/>
      <c r="W263" s="2349"/>
      <c r="X263" s="2349"/>
      <c r="Y263" s="2349"/>
      <c r="Z263" s="2349"/>
      <c r="AA263" s="2475"/>
      <c r="AB263" s="2475"/>
      <c r="AC263" s="2475"/>
      <c r="AD263" s="2475"/>
      <c r="AE263" s="247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262" t="s">
        <v>318</v>
      </c>
      <c r="N264" s="2262"/>
      <c r="O264" s="2262"/>
      <c r="P264" s="2262"/>
      <c r="Q264" s="2262"/>
      <c r="R264" s="2262"/>
      <c r="S264" s="2262"/>
      <c r="T264" s="2262"/>
      <c r="U264" s="388" t="s">
        <v>979</v>
      </c>
      <c r="V264" s="326"/>
      <c r="W264" s="326"/>
      <c r="X264" s="326"/>
      <c r="Y264" s="326"/>
      <c r="Z264" s="326"/>
      <c r="AA264" s="2476"/>
      <c r="AB264" s="2476"/>
      <c r="AC264" s="2476"/>
      <c r="AD264" s="2476"/>
      <c r="AE264" s="2476"/>
      <c r="AF264" s="2476"/>
      <c r="AG264" s="2476"/>
      <c r="AH264" s="2476"/>
      <c r="AI264" s="2476"/>
      <c r="AJ264" s="2476"/>
      <c r="AK264" s="247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71" t="str">
        <f>BO245</f>
        <v>Joint Venture</v>
      </c>
      <c r="U266" s="2471"/>
      <c r="V266" s="2471"/>
      <c r="W266" s="2471"/>
      <c r="X266" s="2471"/>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48" t="s">
        <v>288</v>
      </c>
      <c r="E269" s="2348"/>
      <c r="F269" s="2348"/>
      <c r="G269" s="2348"/>
      <c r="H269" s="2348"/>
      <c r="J269" s="12" t="s">
        <v>287</v>
      </c>
      <c r="X269" s="2353"/>
      <c r="Y269" s="2353"/>
      <c r="Z269" s="2353"/>
      <c r="AA269" s="2353"/>
      <c r="AB269" s="2353"/>
      <c r="AC269" s="2353"/>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56" t="s">
        <v>2611</v>
      </c>
      <c r="M273" s="2479"/>
      <c r="N273" s="2479"/>
      <c r="O273" s="2479"/>
      <c r="P273" s="2479"/>
      <c r="Q273" s="2479"/>
      <c r="R273" s="2479"/>
      <c r="S273" s="2479"/>
      <c r="T273" s="2479"/>
      <c r="U273" s="2479"/>
      <c r="V273" s="2479"/>
      <c r="W273" s="2479"/>
      <c r="X273" s="2479"/>
      <c r="Y273" s="2479"/>
      <c r="Z273" s="2479"/>
      <c r="AA273" s="2479"/>
      <c r="AB273" s="2479"/>
      <c r="AC273" s="2479"/>
      <c r="AD273" s="2479"/>
      <c r="AE273" s="2479"/>
      <c r="AF273" s="2479"/>
      <c r="AG273" s="2479"/>
      <c r="AH273" s="2479"/>
      <c r="AI273" s="2479"/>
      <c r="AJ273" s="247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88" t="s">
        <v>2480</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88" t="s">
        <v>2492</v>
      </c>
      <c r="M275" s="2348"/>
      <c r="N275" s="2348"/>
      <c r="O275" s="2348"/>
      <c r="P275" s="2348"/>
      <c r="Q275" s="2348"/>
      <c r="R275" s="2348"/>
      <c r="S275" s="2348"/>
      <c r="U275" s="59" t="s">
        <v>91</v>
      </c>
      <c r="V275" s="2081" t="s">
        <v>2481</v>
      </c>
      <c r="W275" s="2083"/>
      <c r="X275" s="57" t="s">
        <v>620</v>
      </c>
      <c r="AB275" s="2348">
        <v>92507</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88" t="s">
        <v>2482</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426" t="s">
        <v>2483</v>
      </c>
      <c r="M277" s="2261"/>
      <c r="N277" s="2261"/>
      <c r="O277" s="2261"/>
      <c r="P277" s="2261"/>
      <c r="Q277" s="2261"/>
      <c r="R277" s="7" t="s">
        <v>212</v>
      </c>
      <c r="S277" s="7"/>
      <c r="T277" s="2083"/>
      <c r="U277" s="2083"/>
      <c r="V277" s="2083"/>
      <c r="W277" s="7" t="s">
        <v>94</v>
      </c>
      <c r="Y277" s="2261"/>
      <c r="Z277" s="2261"/>
      <c r="AA277" s="2261"/>
      <c r="AB277" s="2261"/>
      <c r="AC277" s="2261"/>
      <c r="AD277" s="2261"/>
      <c r="BN277" s="61"/>
    </row>
    <row r="278" spans="1:66" ht="12.75">
      <c r="D278" s="60" t="s">
        <v>95</v>
      </c>
      <c r="E278" s="7"/>
      <c r="F278" s="7"/>
      <c r="L278" s="2349" t="s">
        <v>2484</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2.75">
      <c r="D279" s="58" t="s">
        <v>660</v>
      </c>
      <c r="E279" s="58"/>
      <c r="F279" s="58"/>
      <c r="G279" s="58"/>
      <c r="H279" s="58"/>
      <c r="I279" s="58"/>
      <c r="L279" s="2081" t="s">
        <v>2595</v>
      </c>
      <c r="M279" s="2081"/>
      <c r="N279" s="2081"/>
      <c r="O279" s="2081"/>
      <c r="P279" s="2081"/>
      <c r="Q279" s="2081"/>
      <c r="R279" s="2081"/>
      <c r="S279" s="2081"/>
      <c r="T279" s="2081"/>
      <c r="U279" s="2081"/>
      <c r="V279" s="2081"/>
      <c r="W279" s="2081"/>
      <c r="X279" s="2081"/>
      <c r="Y279" s="2081"/>
      <c r="Z279" s="2081"/>
      <c r="AA279" s="2081"/>
      <c r="AB279" s="2081"/>
      <c r="AC279" s="2081"/>
      <c r="AD279" s="2081"/>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92" t="s">
        <v>576</v>
      </c>
      <c r="B281" s="2392"/>
      <c r="C281" s="2392"/>
      <c r="D281" s="2392"/>
      <c r="E281" s="2392"/>
      <c r="F281" s="2392"/>
      <c r="G281" s="2392"/>
      <c r="H281" s="2392"/>
      <c r="I281" s="2392"/>
      <c r="J281" s="2392"/>
      <c r="K281" s="2392"/>
      <c r="L281" s="2392"/>
      <c r="M281" s="2392"/>
      <c r="N281" s="2392"/>
      <c r="O281" s="2392"/>
      <c r="P281" s="2392"/>
      <c r="Q281" s="2392"/>
      <c r="R281" s="2392"/>
      <c r="S281" s="2392"/>
      <c r="T281" s="2392"/>
      <c r="U281" s="2392"/>
      <c r="V281" s="2392"/>
      <c r="W281" s="2392"/>
      <c r="X281" s="2392"/>
      <c r="Y281" s="2392"/>
      <c r="Z281" s="2392"/>
      <c r="AA281" s="2392"/>
      <c r="AB281" s="2392"/>
      <c r="AC281" s="2392"/>
      <c r="AD281" s="2392"/>
      <c r="AE281" s="2392"/>
      <c r="AF281" s="2392"/>
      <c r="AG281" s="2392"/>
      <c r="AH281" s="2392"/>
      <c r="AI281" s="2392"/>
      <c r="AJ281" s="2392"/>
      <c r="AK281" s="2392"/>
      <c r="AL281" s="2392"/>
      <c r="AM281" s="144"/>
      <c r="AN281" s="144"/>
      <c r="AO281" s="144"/>
      <c r="AP281" s="144"/>
      <c r="AQ281" s="144"/>
      <c r="AR281" s="144"/>
      <c r="AS281" s="144"/>
      <c r="AT281" s="144"/>
      <c r="AU281" s="144"/>
      <c r="AV281" s="144"/>
      <c r="AW281" s="144"/>
      <c r="AX281" s="144"/>
      <c r="AY281" s="144"/>
      <c r="BN281" s="61"/>
    </row>
    <row r="282" spans="1:66" ht="13.5" thickBot="1">
      <c r="A282" s="2393"/>
      <c r="B282" s="2393"/>
      <c r="C282" s="2393"/>
      <c r="D282" s="2393"/>
      <c r="E282" s="2393"/>
      <c r="F282" s="2393"/>
      <c r="G282" s="2393"/>
      <c r="H282" s="2393"/>
      <c r="I282" s="2393"/>
      <c r="J282" s="2393"/>
      <c r="K282" s="2393"/>
      <c r="L282" s="2393"/>
      <c r="M282" s="2393"/>
      <c r="N282" s="2393"/>
      <c r="O282" s="2393"/>
      <c r="P282" s="2393"/>
      <c r="Q282" s="2393"/>
      <c r="R282" s="2393"/>
      <c r="S282" s="2393"/>
      <c r="T282" s="2393"/>
      <c r="U282" s="2393"/>
      <c r="V282" s="2393"/>
      <c r="W282" s="2393"/>
      <c r="X282" s="2393"/>
      <c r="Y282" s="2393"/>
      <c r="Z282" s="2393"/>
      <c r="AA282" s="2393"/>
      <c r="AB282" s="2393"/>
      <c r="AC282" s="2393"/>
      <c r="AD282" s="2393"/>
      <c r="AE282" s="2393"/>
      <c r="AF282" s="2393"/>
      <c r="AG282" s="2393"/>
      <c r="AH282" s="2393"/>
      <c r="AI282" s="2393"/>
      <c r="AJ282" s="2393"/>
      <c r="AK282" s="2393"/>
      <c r="AL282" s="239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30" t="s">
        <v>2493</v>
      </c>
      <c r="I286" s="2030"/>
      <c r="J286" s="2030"/>
      <c r="K286" s="2030"/>
      <c r="L286" s="2030"/>
      <c r="M286" s="2030"/>
      <c r="N286" s="2030"/>
      <c r="O286" s="2030"/>
      <c r="P286" s="2030"/>
      <c r="Q286" s="2030"/>
      <c r="R286" s="2030"/>
      <c r="T286" s="58" t="s">
        <v>602</v>
      </c>
      <c r="V286" s="58"/>
      <c r="W286" s="58"/>
      <c r="X286" s="58"/>
      <c r="Y286" s="58"/>
      <c r="AA286" s="2030" t="s">
        <v>2499</v>
      </c>
      <c r="AB286" s="2030"/>
      <c r="AC286" s="2030"/>
      <c r="AD286" s="2030"/>
      <c r="AE286" s="2030"/>
      <c r="AF286" s="2030"/>
      <c r="AG286" s="2030"/>
      <c r="AH286" s="2030"/>
      <c r="AI286" s="2030"/>
      <c r="AJ286" s="2030"/>
      <c r="AK286" s="2030"/>
      <c r="BN286" s="61"/>
    </row>
    <row r="287" spans="1:66" ht="12.75">
      <c r="B287" s="58" t="s">
        <v>506</v>
      </c>
      <c r="C287" s="58"/>
      <c r="D287" s="58"/>
      <c r="E287" s="58"/>
      <c r="F287" s="58"/>
      <c r="H287" s="2262" t="s">
        <v>2494</v>
      </c>
      <c r="I287" s="2262"/>
      <c r="J287" s="2262"/>
      <c r="K287" s="2262"/>
      <c r="L287" s="2262"/>
      <c r="M287" s="2262"/>
      <c r="N287" s="2262"/>
      <c r="O287" s="2262"/>
      <c r="P287" s="2262"/>
      <c r="Q287" s="2262"/>
      <c r="R287" s="2262"/>
      <c r="T287" s="58" t="s">
        <v>506</v>
      </c>
      <c r="V287" s="58"/>
      <c r="W287" s="58"/>
      <c r="X287" s="58"/>
      <c r="Y287" s="58"/>
      <c r="AA287" s="2262" t="s">
        <v>2500</v>
      </c>
      <c r="AB287" s="2262"/>
      <c r="AC287" s="2262"/>
      <c r="AD287" s="2262"/>
      <c r="AE287" s="2262"/>
      <c r="AF287" s="2262"/>
      <c r="AG287" s="2262"/>
      <c r="AH287" s="2262"/>
      <c r="AI287" s="2262"/>
      <c r="AJ287" s="2262"/>
      <c r="AK287" s="2262"/>
      <c r="BN287" s="61"/>
    </row>
    <row r="288" spans="1:66" ht="12.75">
      <c r="B288" s="58" t="s">
        <v>507</v>
      </c>
      <c r="C288" s="58"/>
      <c r="D288" s="58"/>
      <c r="E288" s="58"/>
      <c r="F288" s="58"/>
      <c r="H288" s="2262" t="s">
        <v>2495</v>
      </c>
      <c r="I288" s="2262"/>
      <c r="J288" s="2262"/>
      <c r="K288" s="2262"/>
      <c r="L288" s="2262"/>
      <c r="M288" s="2262"/>
      <c r="N288" s="2262"/>
      <c r="O288" s="2262"/>
      <c r="P288" s="2262"/>
      <c r="Q288" s="2262"/>
      <c r="R288" s="2262"/>
      <c r="T288" s="58" t="s">
        <v>79</v>
      </c>
      <c r="V288" s="58"/>
      <c r="W288" s="58"/>
      <c r="X288" s="58"/>
      <c r="Y288" s="58"/>
      <c r="AA288" s="2262" t="s">
        <v>2501</v>
      </c>
      <c r="AB288" s="2262"/>
      <c r="AC288" s="2262"/>
      <c r="AD288" s="2262"/>
      <c r="AE288" s="2262"/>
      <c r="AF288" s="2262"/>
      <c r="AG288" s="2262"/>
      <c r="AH288" s="2262"/>
      <c r="AI288" s="2262"/>
      <c r="AJ288" s="2262"/>
      <c r="AK288" s="2262"/>
      <c r="BN288" s="61"/>
    </row>
    <row r="289" spans="2:66" ht="12.75" customHeight="1">
      <c r="B289" s="58" t="s">
        <v>92</v>
      </c>
      <c r="C289" s="58"/>
      <c r="D289" s="58"/>
      <c r="E289" s="58"/>
      <c r="F289" s="58"/>
      <c r="H289" s="2262" t="s">
        <v>2496</v>
      </c>
      <c r="I289" s="2262"/>
      <c r="J289" s="2262"/>
      <c r="K289" s="2262"/>
      <c r="L289" s="2262"/>
      <c r="M289" s="2262"/>
      <c r="N289" s="2262"/>
      <c r="O289" s="2262"/>
      <c r="P289" s="2262"/>
      <c r="Q289" s="2262"/>
      <c r="R289" s="2262"/>
      <c r="T289" s="58" t="s">
        <v>92</v>
      </c>
      <c r="V289" s="58"/>
      <c r="W289" s="58"/>
      <c r="X289" s="58"/>
      <c r="Y289" s="58"/>
      <c r="AA289" s="2262" t="s">
        <v>2502</v>
      </c>
      <c r="AB289" s="2262"/>
      <c r="AC289" s="2262"/>
      <c r="AD289" s="2262"/>
      <c r="AE289" s="2262"/>
      <c r="AF289" s="2262"/>
      <c r="AG289" s="2262"/>
      <c r="AH289" s="2262"/>
      <c r="AI289" s="2262"/>
      <c r="AJ289" s="2262"/>
      <c r="AK289" s="2262"/>
      <c r="BN289" s="61"/>
    </row>
    <row r="290" spans="2:66" ht="12.75" customHeight="1">
      <c r="B290" s="58" t="s">
        <v>93</v>
      </c>
      <c r="C290" s="58"/>
      <c r="D290" s="58"/>
      <c r="E290" s="58"/>
      <c r="F290" s="58"/>
      <c r="G290" s="58"/>
      <c r="H290" s="2350" t="s">
        <v>2497</v>
      </c>
      <c r="I290" s="2350"/>
      <c r="J290" s="2350"/>
      <c r="K290" s="2350"/>
      <c r="L290" s="2350"/>
      <c r="M290" s="2350"/>
      <c r="N290" s="7" t="s">
        <v>212</v>
      </c>
      <c r="O290" s="7"/>
      <c r="P290" s="2348"/>
      <c r="Q290" s="2348"/>
      <c r="R290" s="2348"/>
      <c r="S290" s="58"/>
      <c r="T290" s="58" t="s">
        <v>93</v>
      </c>
      <c r="V290" s="58"/>
      <c r="W290" s="58"/>
      <c r="X290" s="58"/>
      <c r="Y290" s="58"/>
      <c r="AA290" s="2350" t="s">
        <v>2503</v>
      </c>
      <c r="AB290" s="2350"/>
      <c r="AC290" s="2350"/>
      <c r="AD290" s="2350"/>
      <c r="AE290" s="2350"/>
      <c r="AF290" s="2350"/>
      <c r="AG290" s="7" t="s">
        <v>212</v>
      </c>
      <c r="AH290" s="7"/>
      <c r="AI290" s="2348"/>
      <c r="AJ290" s="2348"/>
      <c r="AK290" s="2348"/>
      <c r="BN290" s="61"/>
    </row>
    <row r="291" spans="2:66" ht="12.75" customHeight="1">
      <c r="B291" s="58" t="s">
        <v>94</v>
      </c>
      <c r="C291" s="58"/>
      <c r="D291" s="58"/>
      <c r="E291" s="58"/>
      <c r="F291" s="58"/>
      <c r="G291" s="58"/>
      <c r="H291" s="2261"/>
      <c r="I291" s="2261"/>
      <c r="J291" s="2261"/>
      <c r="K291" s="2261"/>
      <c r="L291" s="2261"/>
      <c r="M291" s="2261"/>
      <c r="N291" s="60"/>
      <c r="O291" s="60"/>
      <c r="P291" s="62"/>
      <c r="Q291" s="62"/>
      <c r="R291" s="62"/>
      <c r="S291" s="58"/>
      <c r="T291" s="58" t="s">
        <v>94</v>
      </c>
      <c r="V291" s="58"/>
      <c r="W291" s="58"/>
      <c r="X291" s="58"/>
      <c r="Y291" s="58"/>
      <c r="AA291" s="2261"/>
      <c r="AB291" s="2261"/>
      <c r="AC291" s="2261"/>
      <c r="AD291" s="2261"/>
      <c r="AE291" s="2261"/>
      <c r="AF291" s="2261"/>
      <c r="AG291" s="60"/>
      <c r="AH291" s="60"/>
      <c r="AI291" s="62"/>
      <c r="AJ291" s="62"/>
      <c r="AK291" s="62"/>
      <c r="BN291" s="61"/>
    </row>
    <row r="292" spans="2:66" ht="12.75" customHeight="1">
      <c r="B292" s="58" t="s">
        <v>80</v>
      </c>
      <c r="C292" s="58"/>
      <c r="D292" s="58"/>
      <c r="E292" s="58"/>
      <c r="F292" s="58"/>
      <c r="G292" s="58"/>
      <c r="H292" s="2262" t="s">
        <v>2498</v>
      </c>
      <c r="I292" s="2262"/>
      <c r="J292" s="2262"/>
      <c r="K292" s="2262"/>
      <c r="L292" s="2262"/>
      <c r="M292" s="2262"/>
      <c r="N292" s="2030"/>
      <c r="O292" s="2030"/>
      <c r="P292" s="2030"/>
      <c r="Q292" s="2030"/>
      <c r="R292" s="2030"/>
      <c r="S292" s="58"/>
      <c r="T292" s="58" t="s">
        <v>80</v>
      </c>
      <c r="V292" s="58"/>
      <c r="W292" s="58"/>
      <c r="X292" s="58"/>
      <c r="Y292" s="58"/>
      <c r="AA292" s="2262" t="s">
        <v>2504</v>
      </c>
      <c r="AB292" s="2262"/>
      <c r="AC292" s="2262"/>
      <c r="AD292" s="2262"/>
      <c r="AE292" s="2262"/>
      <c r="AF292" s="2262"/>
      <c r="AG292" s="2030"/>
      <c r="AH292" s="2030"/>
      <c r="AI292" s="2030"/>
      <c r="AJ292" s="2030"/>
      <c r="AK292" s="203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30" t="s">
        <v>2505</v>
      </c>
      <c r="I294" s="2030"/>
      <c r="J294" s="2030"/>
      <c r="K294" s="2030"/>
      <c r="L294" s="2030"/>
      <c r="M294" s="2030"/>
      <c r="N294" s="2030"/>
      <c r="O294" s="2030"/>
      <c r="P294" s="2030"/>
      <c r="Q294" s="2030"/>
      <c r="R294" s="2030"/>
      <c r="T294" s="58" t="s">
        <v>376</v>
      </c>
      <c r="V294" s="58"/>
      <c r="W294" s="58"/>
      <c r="X294" s="58"/>
      <c r="Y294" s="58"/>
      <c r="AA294" s="2030" t="s">
        <v>2508</v>
      </c>
      <c r="AB294" s="2030"/>
      <c r="AC294" s="2030"/>
      <c r="AD294" s="2030"/>
      <c r="AE294" s="2030"/>
      <c r="AF294" s="2030"/>
      <c r="AG294" s="2030"/>
      <c r="AH294" s="2030"/>
      <c r="AI294" s="2030"/>
      <c r="AJ294" s="2030"/>
      <c r="AK294" s="2030"/>
      <c r="BN294" s="61"/>
    </row>
    <row r="295" spans="2:66" ht="12.75">
      <c r="B295" s="58" t="s">
        <v>506</v>
      </c>
      <c r="C295" s="58"/>
      <c r="D295" s="58"/>
      <c r="E295" s="58"/>
      <c r="F295" s="58"/>
      <c r="H295" s="2262" t="s">
        <v>2506</v>
      </c>
      <c r="I295" s="2262"/>
      <c r="J295" s="2262"/>
      <c r="K295" s="2262"/>
      <c r="L295" s="2262"/>
      <c r="M295" s="2262"/>
      <c r="N295" s="2262"/>
      <c r="O295" s="2262"/>
      <c r="P295" s="2262"/>
      <c r="Q295" s="2262"/>
      <c r="R295" s="2262"/>
      <c r="T295" s="58" t="s">
        <v>506</v>
      </c>
      <c r="V295" s="58"/>
      <c r="W295" s="58"/>
      <c r="X295" s="58"/>
      <c r="Y295" s="58"/>
      <c r="AA295" s="2262" t="s">
        <v>2509</v>
      </c>
      <c r="AB295" s="2262"/>
      <c r="AC295" s="2262"/>
      <c r="AD295" s="2262"/>
      <c r="AE295" s="2262"/>
      <c r="AF295" s="2262"/>
      <c r="AG295" s="2262"/>
      <c r="AH295" s="2262"/>
      <c r="AI295" s="2262"/>
      <c r="AJ295" s="2262"/>
      <c r="AK295" s="2262"/>
      <c r="BN295" s="61"/>
    </row>
    <row r="296" spans="2:66" ht="12.75">
      <c r="B296" s="58" t="s">
        <v>507</v>
      </c>
      <c r="C296" s="58"/>
      <c r="D296" s="58"/>
      <c r="E296" s="58"/>
      <c r="F296" s="58"/>
      <c r="H296" s="2262" t="s">
        <v>2507</v>
      </c>
      <c r="I296" s="2262"/>
      <c r="J296" s="2262"/>
      <c r="K296" s="2262"/>
      <c r="L296" s="2262"/>
      <c r="M296" s="2262"/>
      <c r="N296" s="2262"/>
      <c r="O296" s="2262"/>
      <c r="P296" s="2262"/>
      <c r="Q296" s="2262"/>
      <c r="R296" s="2262"/>
      <c r="T296" s="58" t="s">
        <v>79</v>
      </c>
      <c r="V296" s="58"/>
      <c r="W296" s="58"/>
      <c r="X296" s="58"/>
      <c r="Y296" s="58"/>
      <c r="AA296" s="2262" t="s">
        <v>2510</v>
      </c>
      <c r="AB296" s="2262"/>
      <c r="AC296" s="2262"/>
      <c r="AD296" s="2262"/>
      <c r="AE296" s="2262"/>
      <c r="AF296" s="2262"/>
      <c r="AG296" s="2262"/>
      <c r="AH296" s="2262"/>
      <c r="AI296" s="2262"/>
      <c r="AJ296" s="2262"/>
      <c r="AK296" s="2262"/>
      <c r="BN296" s="61"/>
    </row>
    <row r="297" spans="2:66" ht="12.75">
      <c r="B297" s="58" t="s">
        <v>92</v>
      </c>
      <c r="C297" s="58"/>
      <c r="D297" s="58"/>
      <c r="E297" s="58"/>
      <c r="F297" s="58"/>
      <c r="H297" s="2262" t="s">
        <v>2505</v>
      </c>
      <c r="I297" s="2262"/>
      <c r="J297" s="2262"/>
      <c r="K297" s="2262"/>
      <c r="L297" s="2262"/>
      <c r="M297" s="2262"/>
      <c r="N297" s="2262"/>
      <c r="O297" s="2262"/>
      <c r="P297" s="2262"/>
      <c r="Q297" s="2262"/>
      <c r="R297" s="2262"/>
      <c r="T297" s="58" t="s">
        <v>92</v>
      </c>
      <c r="V297" s="58"/>
      <c r="W297" s="58"/>
      <c r="X297" s="58"/>
      <c r="Y297" s="58"/>
      <c r="AA297" s="2262" t="s">
        <v>2511</v>
      </c>
      <c r="AB297" s="2262"/>
      <c r="AC297" s="2262"/>
      <c r="AD297" s="2262"/>
      <c r="AE297" s="2262"/>
      <c r="AF297" s="2262"/>
      <c r="AG297" s="2262"/>
      <c r="AH297" s="2262"/>
      <c r="AI297" s="2262"/>
      <c r="AJ297" s="2262"/>
      <c r="AK297" s="2262"/>
      <c r="BN297" s="61"/>
    </row>
    <row r="298" spans="2:66" ht="12.75">
      <c r="B298" s="58" t="s">
        <v>93</v>
      </c>
      <c r="C298" s="58"/>
      <c r="D298" s="58"/>
      <c r="E298" s="58"/>
      <c r="F298" s="58"/>
      <c r="G298" s="58"/>
      <c r="H298" s="2350" t="s">
        <v>2512</v>
      </c>
      <c r="I298" s="2350"/>
      <c r="J298" s="2350"/>
      <c r="K298" s="2350"/>
      <c r="L298" s="2350"/>
      <c r="M298" s="2350"/>
      <c r="N298" s="7" t="s">
        <v>212</v>
      </c>
      <c r="O298" s="7"/>
      <c r="P298" s="2348"/>
      <c r="Q298" s="2348"/>
      <c r="R298" s="2348"/>
      <c r="S298" s="58"/>
      <c r="T298" s="58" t="s">
        <v>93</v>
      </c>
      <c r="V298" s="58"/>
      <c r="W298" s="58"/>
      <c r="X298" s="58"/>
      <c r="Y298" s="58"/>
      <c r="AA298" s="2350" t="s">
        <v>2497</v>
      </c>
      <c r="AB298" s="2350"/>
      <c r="AC298" s="2350"/>
      <c r="AD298" s="2350"/>
      <c r="AE298" s="2350"/>
      <c r="AF298" s="2350"/>
      <c r="AG298" s="7" t="s">
        <v>212</v>
      </c>
      <c r="AH298" s="7"/>
      <c r="AI298" s="2348"/>
      <c r="AJ298" s="2348"/>
      <c r="AK298" s="2348"/>
      <c r="BN298" s="61"/>
    </row>
    <row r="299" spans="2:66" ht="12.75" customHeight="1">
      <c r="B299" s="58" t="s">
        <v>94</v>
      </c>
      <c r="C299" s="58"/>
      <c r="D299" s="58"/>
      <c r="E299" s="58"/>
      <c r="F299" s="58"/>
      <c r="G299" s="58"/>
      <c r="H299" s="2261"/>
      <c r="I299" s="2261"/>
      <c r="J299" s="2261"/>
      <c r="K299" s="2261"/>
      <c r="L299" s="2261"/>
      <c r="M299" s="2261"/>
      <c r="N299" s="60"/>
      <c r="O299" s="60"/>
      <c r="P299" s="62"/>
      <c r="Q299" s="62"/>
      <c r="R299" s="62"/>
      <c r="S299" s="58"/>
      <c r="T299" s="58" t="s">
        <v>94</v>
      </c>
      <c r="V299" s="58"/>
      <c r="W299" s="58"/>
      <c r="X299" s="58"/>
      <c r="Y299" s="58"/>
      <c r="AA299" s="2261"/>
      <c r="AB299" s="2261"/>
      <c r="AC299" s="2261"/>
      <c r="AD299" s="2261"/>
      <c r="AE299" s="2261"/>
      <c r="AF299" s="2261"/>
      <c r="AG299" s="60"/>
      <c r="AH299" s="60"/>
      <c r="AI299" s="62"/>
      <c r="AJ299" s="62"/>
      <c r="AK299" s="62"/>
      <c r="BN299" s="61"/>
    </row>
    <row r="300" spans="2:66" ht="12.75" customHeight="1">
      <c r="B300" s="58" t="s">
        <v>80</v>
      </c>
      <c r="C300" s="58"/>
      <c r="D300" s="58"/>
      <c r="E300" s="58"/>
      <c r="F300" s="58"/>
      <c r="G300" s="58"/>
      <c r="H300" s="2262" t="s">
        <v>2513</v>
      </c>
      <c r="I300" s="2262"/>
      <c r="J300" s="2262"/>
      <c r="K300" s="2262"/>
      <c r="L300" s="2262"/>
      <c r="M300" s="2262"/>
      <c r="N300" s="2030"/>
      <c r="O300" s="2030"/>
      <c r="P300" s="2030"/>
      <c r="Q300" s="2030"/>
      <c r="R300" s="2030"/>
      <c r="S300" s="58"/>
      <c r="T300" s="58" t="s">
        <v>80</v>
      </c>
      <c r="V300" s="58"/>
      <c r="W300" s="58"/>
      <c r="X300" s="58"/>
      <c r="Y300" s="58"/>
      <c r="AA300" s="2262" t="s">
        <v>2581</v>
      </c>
      <c r="AB300" s="2262"/>
      <c r="AC300" s="2262"/>
      <c r="AD300" s="2262"/>
      <c r="AE300" s="2262"/>
      <c r="AF300" s="2262"/>
      <c r="AG300" s="2030"/>
      <c r="AH300" s="2030"/>
      <c r="AI300" s="2030"/>
      <c r="AJ300" s="2030"/>
      <c r="AK300" s="2030"/>
      <c r="BN300" s="61"/>
    </row>
    <row r="301" spans="2:66" ht="12.75" customHeight="1">
      <c r="BN301" s="61"/>
    </row>
    <row r="302" spans="2:66" ht="12.75" customHeight="1">
      <c r="B302" s="58" t="s">
        <v>81</v>
      </c>
      <c r="C302" s="58"/>
      <c r="D302" s="58"/>
      <c r="E302" s="58"/>
      <c r="F302" s="58"/>
      <c r="H302" s="2030" t="s">
        <v>2517</v>
      </c>
      <c r="I302" s="2030"/>
      <c r="J302" s="2030"/>
      <c r="K302" s="2030"/>
      <c r="L302" s="2030"/>
      <c r="M302" s="2030"/>
      <c r="N302" s="2030"/>
      <c r="O302" s="2030"/>
      <c r="P302" s="2030"/>
      <c r="Q302" s="2030"/>
      <c r="R302" s="2030"/>
      <c r="T302" s="7" t="s">
        <v>947</v>
      </c>
      <c r="V302" s="58"/>
      <c r="W302" s="58"/>
      <c r="X302" s="58"/>
      <c r="Y302" s="58"/>
      <c r="AA302" s="2030" t="s">
        <v>2520</v>
      </c>
      <c r="AB302" s="2030"/>
      <c r="AC302" s="2030"/>
      <c r="AD302" s="2030"/>
      <c r="AE302" s="2030"/>
      <c r="AF302" s="2030"/>
      <c r="AG302" s="2030"/>
      <c r="AH302" s="2030"/>
      <c r="AI302" s="2030"/>
      <c r="AJ302" s="2030"/>
      <c r="AK302" s="2030"/>
      <c r="BN302" s="61"/>
    </row>
    <row r="303" spans="2:66" ht="12.75">
      <c r="B303" s="58" t="s">
        <v>506</v>
      </c>
      <c r="C303" s="58"/>
      <c r="D303" s="58"/>
      <c r="E303" s="58"/>
      <c r="F303" s="58"/>
      <c r="H303" s="2262" t="s">
        <v>2516</v>
      </c>
      <c r="I303" s="2262"/>
      <c r="J303" s="2262"/>
      <c r="K303" s="2262"/>
      <c r="L303" s="2262"/>
      <c r="M303" s="2262"/>
      <c r="N303" s="2262"/>
      <c r="O303" s="2262"/>
      <c r="P303" s="2262"/>
      <c r="Q303" s="2262"/>
      <c r="R303" s="2262"/>
      <c r="T303" s="58" t="s">
        <v>506</v>
      </c>
      <c r="V303" s="58"/>
      <c r="W303" s="58"/>
      <c r="X303" s="58"/>
      <c r="Y303" s="58"/>
      <c r="AA303" s="2262" t="s">
        <v>2521</v>
      </c>
      <c r="AB303" s="2262"/>
      <c r="AC303" s="2262"/>
      <c r="AD303" s="2262"/>
      <c r="AE303" s="2262"/>
      <c r="AF303" s="2262"/>
      <c r="AG303" s="2262"/>
      <c r="AH303" s="2262"/>
      <c r="AI303" s="2262"/>
      <c r="AJ303" s="2262"/>
      <c r="AK303" s="2262"/>
      <c r="BN303" s="61"/>
    </row>
    <row r="304" spans="2:66" ht="12.75">
      <c r="B304" s="58" t="s">
        <v>507</v>
      </c>
      <c r="C304" s="58"/>
      <c r="D304" s="58"/>
      <c r="E304" s="58"/>
      <c r="F304" s="58"/>
      <c r="H304" s="2262" t="s">
        <v>2515</v>
      </c>
      <c r="I304" s="2262"/>
      <c r="J304" s="2262"/>
      <c r="K304" s="2262"/>
      <c r="L304" s="2262"/>
      <c r="M304" s="2262"/>
      <c r="N304" s="2262"/>
      <c r="O304" s="2262"/>
      <c r="P304" s="2262"/>
      <c r="Q304" s="2262"/>
      <c r="R304" s="2262"/>
      <c r="T304" s="58" t="s">
        <v>79</v>
      </c>
      <c r="V304" s="58"/>
      <c r="W304" s="58"/>
      <c r="X304" s="58"/>
      <c r="Y304" s="58"/>
      <c r="AA304" s="2262" t="s">
        <v>2522</v>
      </c>
      <c r="AB304" s="2262"/>
      <c r="AC304" s="2262"/>
      <c r="AD304" s="2262"/>
      <c r="AE304" s="2262"/>
      <c r="AF304" s="2262"/>
      <c r="AG304" s="2262"/>
      <c r="AH304" s="2262"/>
      <c r="AI304" s="2262"/>
      <c r="AJ304" s="2262"/>
      <c r="AK304" s="2262"/>
      <c r="BN304" s="61"/>
    </row>
    <row r="305" spans="2:66" ht="12.75">
      <c r="B305" s="58" t="s">
        <v>92</v>
      </c>
      <c r="C305" s="58"/>
      <c r="D305" s="58"/>
      <c r="E305" s="58"/>
      <c r="F305" s="58"/>
      <c r="H305" s="2262" t="s">
        <v>2514</v>
      </c>
      <c r="I305" s="2262"/>
      <c r="J305" s="2262"/>
      <c r="K305" s="2262"/>
      <c r="L305" s="2262"/>
      <c r="M305" s="2262"/>
      <c r="N305" s="2262"/>
      <c r="O305" s="2262"/>
      <c r="P305" s="2262"/>
      <c r="Q305" s="2262"/>
      <c r="R305" s="2262"/>
      <c r="T305" s="58" t="s">
        <v>92</v>
      </c>
      <c r="V305" s="58"/>
      <c r="W305" s="58"/>
      <c r="X305" s="58"/>
      <c r="Y305" s="58"/>
      <c r="AA305" s="2262" t="s">
        <v>2523</v>
      </c>
      <c r="AB305" s="2262"/>
      <c r="AC305" s="2262"/>
      <c r="AD305" s="2262"/>
      <c r="AE305" s="2262"/>
      <c r="AF305" s="2262"/>
      <c r="AG305" s="2262"/>
      <c r="AH305" s="2262"/>
      <c r="AI305" s="2262"/>
      <c r="AJ305" s="2262"/>
      <c r="AK305" s="2262"/>
      <c r="BN305" s="61"/>
    </row>
    <row r="306" spans="2:66" ht="12.75">
      <c r="B306" s="58" t="s">
        <v>93</v>
      </c>
      <c r="C306" s="58"/>
      <c r="D306" s="58"/>
      <c r="E306" s="58"/>
      <c r="F306" s="58"/>
      <c r="G306" s="58"/>
      <c r="H306" s="2350" t="s">
        <v>2518</v>
      </c>
      <c r="I306" s="2350"/>
      <c r="J306" s="2350"/>
      <c r="K306" s="2350"/>
      <c r="L306" s="2350"/>
      <c r="M306" s="2350"/>
      <c r="N306" s="7" t="s">
        <v>212</v>
      </c>
      <c r="O306" s="7"/>
      <c r="P306" s="2348"/>
      <c r="Q306" s="2348"/>
      <c r="R306" s="2348"/>
      <c r="S306" s="58"/>
      <c r="T306" s="58" t="s">
        <v>93</v>
      </c>
      <c r="V306" s="58"/>
      <c r="W306" s="58"/>
      <c r="X306" s="58"/>
      <c r="Y306" s="58"/>
      <c r="AA306" s="2350" t="s">
        <v>2524</v>
      </c>
      <c r="AB306" s="2350"/>
      <c r="AC306" s="2350"/>
      <c r="AD306" s="2350"/>
      <c r="AE306" s="2350"/>
      <c r="AF306" s="2350"/>
      <c r="AG306" s="7" t="s">
        <v>212</v>
      </c>
      <c r="AH306" s="7"/>
      <c r="AI306" s="2348"/>
      <c r="AJ306" s="2348"/>
      <c r="AK306" s="2348"/>
      <c r="BN306" s="61"/>
    </row>
    <row r="307" spans="2:66" ht="12.75">
      <c r="B307" s="58" t="s">
        <v>94</v>
      </c>
      <c r="C307" s="58"/>
      <c r="D307" s="58"/>
      <c r="E307" s="58"/>
      <c r="F307" s="58"/>
      <c r="G307" s="58"/>
      <c r="H307" s="2426" t="s">
        <v>2519</v>
      </c>
      <c r="I307" s="2426"/>
      <c r="J307" s="2426"/>
      <c r="K307" s="2426"/>
      <c r="L307" s="2426"/>
      <c r="M307" s="2426"/>
      <c r="N307" s="60"/>
      <c r="O307" s="60"/>
      <c r="P307" s="62"/>
      <c r="Q307" s="62"/>
      <c r="R307" s="62"/>
      <c r="S307" s="58"/>
      <c r="T307" s="58" t="s">
        <v>94</v>
      </c>
      <c r="V307" s="58"/>
      <c r="W307" s="58"/>
      <c r="X307" s="58"/>
      <c r="Y307" s="58"/>
      <c r="AA307" s="2261"/>
      <c r="AB307" s="2261"/>
      <c r="AC307" s="2261"/>
      <c r="AD307" s="2261"/>
      <c r="AE307" s="2261"/>
      <c r="AF307" s="2261"/>
      <c r="AG307" s="60"/>
      <c r="AH307" s="60"/>
      <c r="AI307" s="62"/>
      <c r="AJ307" s="62"/>
      <c r="AK307" s="62"/>
      <c r="BN307" s="61"/>
    </row>
    <row r="308" spans="2:66" ht="12.75">
      <c r="B308" s="58" t="s">
        <v>80</v>
      </c>
      <c r="C308" s="58"/>
      <c r="D308" s="58"/>
      <c r="E308" s="58"/>
      <c r="F308" s="58"/>
      <c r="G308" s="58"/>
      <c r="H308" s="2262"/>
      <c r="I308" s="2262"/>
      <c r="J308" s="2262"/>
      <c r="K308" s="2262"/>
      <c r="L308" s="2262"/>
      <c r="M308" s="2262"/>
      <c r="N308" s="2030"/>
      <c r="O308" s="2030"/>
      <c r="P308" s="2030"/>
      <c r="Q308" s="2030"/>
      <c r="R308" s="2030"/>
      <c r="S308" s="58"/>
      <c r="T308" s="58" t="s">
        <v>80</v>
      </c>
      <c r="V308" s="58"/>
      <c r="W308" s="58"/>
      <c r="X308" s="58"/>
      <c r="Y308" s="58"/>
      <c r="AA308" s="2262" t="s">
        <v>2525</v>
      </c>
      <c r="AB308" s="2262"/>
      <c r="AC308" s="2262"/>
      <c r="AD308" s="2262"/>
      <c r="AE308" s="2262"/>
      <c r="AF308" s="2262"/>
      <c r="AG308" s="2030"/>
      <c r="AH308" s="2030"/>
      <c r="AI308" s="2030"/>
      <c r="AJ308" s="2030"/>
      <c r="AK308" s="203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30" t="s">
        <v>2517</v>
      </c>
      <c r="I310" s="2030"/>
      <c r="J310" s="2030"/>
      <c r="K310" s="2030"/>
      <c r="L310" s="2030"/>
      <c r="M310" s="2030"/>
      <c r="N310" s="2030"/>
      <c r="O310" s="2030"/>
      <c r="P310" s="2030"/>
      <c r="Q310" s="2030"/>
      <c r="R310" s="2030"/>
      <c r="S310" s="58"/>
      <c r="T310" s="58" t="s">
        <v>377</v>
      </c>
      <c r="V310" s="58"/>
      <c r="W310" s="58"/>
      <c r="X310" s="58"/>
      <c r="Y310" s="58"/>
      <c r="AA310" s="2030" t="s">
        <v>2526</v>
      </c>
      <c r="AB310" s="2030"/>
      <c r="AC310" s="2030"/>
      <c r="AD310" s="2030"/>
      <c r="AE310" s="2030"/>
      <c r="AF310" s="2030"/>
      <c r="AG310" s="2030"/>
      <c r="AH310" s="2030"/>
      <c r="AI310" s="2030"/>
      <c r="AJ310" s="2030"/>
      <c r="AK310" s="2030"/>
      <c r="BN310" s="61"/>
    </row>
    <row r="311" spans="2:66" ht="12.75">
      <c r="B311" s="58" t="s">
        <v>506</v>
      </c>
      <c r="C311" s="58"/>
      <c r="D311" s="58"/>
      <c r="E311" s="58"/>
      <c r="F311" s="58"/>
      <c r="H311" s="2262" t="s">
        <v>2516</v>
      </c>
      <c r="I311" s="2262"/>
      <c r="J311" s="2262"/>
      <c r="K311" s="2262"/>
      <c r="L311" s="2262"/>
      <c r="M311" s="2262"/>
      <c r="N311" s="2262"/>
      <c r="O311" s="2262"/>
      <c r="P311" s="2262"/>
      <c r="Q311" s="2262"/>
      <c r="R311" s="2262"/>
      <c r="S311" s="58"/>
      <c r="T311" s="58" t="s">
        <v>506</v>
      </c>
      <c r="V311" s="58"/>
      <c r="W311" s="58"/>
      <c r="X311" s="58"/>
      <c r="Y311" s="58"/>
      <c r="AA311" s="2262" t="s">
        <v>2527</v>
      </c>
      <c r="AB311" s="2262"/>
      <c r="AC311" s="2262"/>
      <c r="AD311" s="2262"/>
      <c r="AE311" s="2262"/>
      <c r="AF311" s="2262"/>
      <c r="AG311" s="2262"/>
      <c r="AH311" s="2262"/>
      <c r="AI311" s="2262"/>
      <c r="AJ311" s="2262"/>
      <c r="AK311" s="2262"/>
      <c r="BN311" s="61"/>
    </row>
    <row r="312" spans="2:66" ht="12.75" customHeight="1">
      <c r="B312" s="58" t="s">
        <v>507</v>
      </c>
      <c r="C312" s="58"/>
      <c r="D312" s="58"/>
      <c r="E312" s="58"/>
      <c r="F312" s="58"/>
      <c r="H312" s="2262" t="s">
        <v>2515</v>
      </c>
      <c r="I312" s="2262"/>
      <c r="J312" s="2262"/>
      <c r="K312" s="2262"/>
      <c r="L312" s="2262"/>
      <c r="M312" s="2262"/>
      <c r="N312" s="2262"/>
      <c r="O312" s="2262"/>
      <c r="P312" s="2262"/>
      <c r="Q312" s="2262"/>
      <c r="R312" s="2262"/>
      <c r="S312" s="58"/>
      <c r="T312" s="58" t="s">
        <v>79</v>
      </c>
      <c r="V312" s="58"/>
      <c r="W312" s="58"/>
      <c r="X312" s="58"/>
      <c r="Y312" s="58"/>
      <c r="AA312" s="2262" t="s">
        <v>2528</v>
      </c>
      <c r="AB312" s="2262"/>
      <c r="AC312" s="2262"/>
      <c r="AD312" s="2262"/>
      <c r="AE312" s="2262"/>
      <c r="AF312" s="2262"/>
      <c r="AG312" s="2262"/>
      <c r="AH312" s="2262"/>
      <c r="AI312" s="2262"/>
      <c r="AJ312" s="2262"/>
      <c r="AK312" s="2262"/>
      <c r="BN312" s="61"/>
    </row>
    <row r="313" spans="2:66" ht="12.75">
      <c r="B313" s="58" t="s">
        <v>92</v>
      </c>
      <c r="C313" s="58"/>
      <c r="D313" s="58"/>
      <c r="E313" s="58"/>
      <c r="F313" s="58"/>
      <c r="H313" s="2262" t="s">
        <v>2514</v>
      </c>
      <c r="I313" s="2262"/>
      <c r="J313" s="2262"/>
      <c r="K313" s="2262"/>
      <c r="L313" s="2262"/>
      <c r="M313" s="2262"/>
      <c r="N313" s="2262"/>
      <c r="O313" s="2262"/>
      <c r="P313" s="2262"/>
      <c r="Q313" s="2262"/>
      <c r="R313" s="2262"/>
      <c r="S313" s="58"/>
      <c r="T313" s="58" t="s">
        <v>92</v>
      </c>
      <c r="V313" s="58"/>
      <c r="W313" s="58"/>
      <c r="X313" s="58"/>
      <c r="Y313" s="58"/>
      <c r="AA313" s="2262" t="s">
        <v>2529</v>
      </c>
      <c r="AB313" s="2262"/>
      <c r="AC313" s="2262"/>
      <c r="AD313" s="2262"/>
      <c r="AE313" s="2262"/>
      <c r="AF313" s="2262"/>
      <c r="AG313" s="2262"/>
      <c r="AH313" s="2262"/>
      <c r="AI313" s="2262"/>
      <c r="AJ313" s="2262"/>
      <c r="AK313" s="2262"/>
      <c r="BN313" s="61"/>
    </row>
    <row r="314" spans="2:66" ht="12.75">
      <c r="B314" s="58" t="s">
        <v>93</v>
      </c>
      <c r="C314" s="58"/>
      <c r="D314" s="58"/>
      <c r="E314" s="58"/>
      <c r="F314" s="58"/>
      <c r="G314" s="58"/>
      <c r="H314" s="2350" t="s">
        <v>2518</v>
      </c>
      <c r="I314" s="2350"/>
      <c r="J314" s="2350"/>
      <c r="K314" s="2350"/>
      <c r="L314" s="2350"/>
      <c r="M314" s="2350"/>
      <c r="N314" s="7" t="s">
        <v>212</v>
      </c>
      <c r="O314" s="7"/>
      <c r="P314" s="2348"/>
      <c r="Q314" s="2348"/>
      <c r="R314" s="2348"/>
      <c r="S314" s="58"/>
      <c r="T314" s="58" t="s">
        <v>93</v>
      </c>
      <c r="V314" s="58"/>
      <c r="W314" s="58"/>
      <c r="X314" s="58"/>
      <c r="Y314" s="58"/>
      <c r="AA314" s="2350" t="s">
        <v>2530</v>
      </c>
      <c r="AB314" s="2350"/>
      <c r="AC314" s="2350"/>
      <c r="AD314" s="2350"/>
      <c r="AE314" s="2350"/>
      <c r="AF314" s="2350"/>
      <c r="AG314" s="7" t="s">
        <v>212</v>
      </c>
      <c r="AH314" s="7"/>
      <c r="AI314" s="2348"/>
      <c r="AJ314" s="2348"/>
      <c r="AK314" s="2348"/>
      <c r="BN314" s="61"/>
    </row>
    <row r="315" spans="2:66" ht="12.75">
      <c r="B315" s="58" t="s">
        <v>94</v>
      </c>
      <c r="C315" s="58"/>
      <c r="D315" s="58"/>
      <c r="E315" s="58"/>
      <c r="F315" s="58"/>
      <c r="G315" s="58"/>
      <c r="H315" s="2426" t="s">
        <v>2519</v>
      </c>
      <c r="I315" s="2426"/>
      <c r="J315" s="2426"/>
      <c r="K315" s="2426"/>
      <c r="L315" s="2426"/>
      <c r="M315" s="2426"/>
      <c r="N315" s="60"/>
      <c r="O315" s="60"/>
      <c r="P315" s="62"/>
      <c r="Q315" s="62"/>
      <c r="R315" s="62"/>
      <c r="S315" s="58"/>
      <c r="T315" s="58" t="s">
        <v>94</v>
      </c>
      <c r="V315" s="58"/>
      <c r="W315" s="58"/>
      <c r="X315" s="58"/>
      <c r="Y315" s="58"/>
      <c r="AA315" s="2261"/>
      <c r="AB315" s="2261"/>
      <c r="AC315" s="2261"/>
      <c r="AD315" s="2261"/>
      <c r="AE315" s="2261"/>
      <c r="AF315" s="2261"/>
      <c r="AG315" s="60"/>
      <c r="AH315" s="60"/>
      <c r="AI315" s="62"/>
      <c r="AJ315" s="62"/>
      <c r="AK315" s="62"/>
      <c r="BN315" s="61"/>
    </row>
    <row r="316" spans="2:66" ht="12.75">
      <c r="B316" s="58" t="s">
        <v>80</v>
      </c>
      <c r="C316" s="58"/>
      <c r="D316" s="58"/>
      <c r="E316" s="58"/>
      <c r="F316" s="58"/>
      <c r="G316" s="58"/>
      <c r="H316" s="2262"/>
      <c r="I316" s="2262"/>
      <c r="J316" s="2262"/>
      <c r="K316" s="2262"/>
      <c r="L316" s="2262"/>
      <c r="M316" s="2262"/>
      <c r="N316" s="2030"/>
      <c r="O316" s="2030"/>
      <c r="P316" s="2030"/>
      <c r="Q316" s="2030"/>
      <c r="R316" s="2030"/>
      <c r="S316" s="58"/>
      <c r="T316" s="58" t="s">
        <v>80</v>
      </c>
      <c r="V316" s="58"/>
      <c r="W316" s="58"/>
      <c r="X316" s="58"/>
      <c r="Y316" s="58"/>
      <c r="AA316" s="2262" t="s">
        <v>2531</v>
      </c>
      <c r="AB316" s="2262"/>
      <c r="AC316" s="2262"/>
      <c r="AD316" s="2262"/>
      <c r="AE316" s="2262"/>
      <c r="AF316" s="2262"/>
      <c r="AG316" s="2030"/>
      <c r="AH316" s="2030"/>
      <c r="AI316" s="2030"/>
      <c r="AJ316" s="2030"/>
      <c r="AK316" s="2030"/>
      <c r="BN316" s="61"/>
    </row>
    <row r="317" spans="2:66" ht="12.75">
      <c r="BN317" s="61"/>
    </row>
    <row r="318" spans="2:66" ht="12.75">
      <c r="B318" s="7" t="s">
        <v>981</v>
      </c>
      <c r="C318" s="58"/>
      <c r="D318" s="58"/>
      <c r="E318" s="58"/>
      <c r="F318" s="58"/>
      <c r="H318" s="2030" t="s">
        <v>2532</v>
      </c>
      <c r="I318" s="2030"/>
      <c r="J318" s="2030"/>
      <c r="K318" s="2030"/>
      <c r="L318" s="2030"/>
      <c r="M318" s="2030"/>
      <c r="N318" s="2030"/>
      <c r="O318" s="2030"/>
      <c r="P318" s="2030"/>
      <c r="Q318" s="2030"/>
      <c r="R318" s="2030"/>
      <c r="T318" s="58" t="s">
        <v>378</v>
      </c>
      <c r="V318" s="58"/>
      <c r="W318" s="58"/>
      <c r="X318" s="58"/>
      <c r="Y318" s="58"/>
      <c r="AA318" s="2030" t="s">
        <v>2535</v>
      </c>
      <c r="AB318" s="2030"/>
      <c r="AC318" s="2030"/>
      <c r="AD318" s="2030"/>
      <c r="AE318" s="2030"/>
      <c r="AF318" s="2030"/>
      <c r="AG318" s="2030"/>
      <c r="AH318" s="2030"/>
      <c r="AI318" s="2030"/>
      <c r="AJ318" s="2030"/>
      <c r="AK318" s="2030"/>
      <c r="BN318" s="61"/>
    </row>
    <row r="319" spans="2:66" ht="12.75">
      <c r="B319" s="58" t="s">
        <v>506</v>
      </c>
      <c r="C319" s="58"/>
      <c r="D319" s="58"/>
      <c r="E319" s="58"/>
      <c r="F319" s="58"/>
      <c r="H319" s="2262" t="s">
        <v>2480</v>
      </c>
      <c r="I319" s="2262"/>
      <c r="J319" s="2262"/>
      <c r="K319" s="2262"/>
      <c r="L319" s="2262"/>
      <c r="M319" s="2262"/>
      <c r="N319" s="2262"/>
      <c r="O319" s="2262"/>
      <c r="P319" s="2262"/>
      <c r="Q319" s="2262"/>
      <c r="R319" s="2262"/>
      <c r="T319" s="58" t="s">
        <v>506</v>
      </c>
      <c r="V319" s="58"/>
      <c r="W319" s="58"/>
      <c r="X319" s="58"/>
      <c r="Y319" s="58"/>
      <c r="AA319" s="2262" t="s">
        <v>2536</v>
      </c>
      <c r="AB319" s="2262"/>
      <c r="AC319" s="2262"/>
      <c r="AD319" s="2262"/>
      <c r="AE319" s="2262"/>
      <c r="AF319" s="2262"/>
      <c r="AG319" s="2262"/>
      <c r="AH319" s="2262"/>
      <c r="AI319" s="2262"/>
      <c r="AJ319" s="2262"/>
      <c r="AK319" s="2262"/>
      <c r="BN319" s="61"/>
    </row>
    <row r="320" spans="2:66" ht="12.75">
      <c r="B320" s="58" t="s">
        <v>507</v>
      </c>
      <c r="C320" s="58"/>
      <c r="D320" s="58"/>
      <c r="E320" s="58"/>
      <c r="F320" s="58"/>
      <c r="H320" s="2262" t="s">
        <v>2533</v>
      </c>
      <c r="I320" s="2262"/>
      <c r="J320" s="2262"/>
      <c r="K320" s="2262"/>
      <c r="L320" s="2262"/>
      <c r="M320" s="2262"/>
      <c r="N320" s="2262"/>
      <c r="O320" s="2262"/>
      <c r="P320" s="2262"/>
      <c r="Q320" s="2262"/>
      <c r="R320" s="2262"/>
      <c r="T320" s="58" t="s">
        <v>79</v>
      </c>
      <c r="V320" s="58"/>
      <c r="W320" s="58"/>
      <c r="X320" s="58"/>
      <c r="Y320" s="58"/>
      <c r="AA320" s="2262" t="s">
        <v>2537</v>
      </c>
      <c r="AB320" s="2262"/>
      <c r="AC320" s="2262"/>
      <c r="AD320" s="2262"/>
      <c r="AE320" s="2262"/>
      <c r="AF320" s="2262"/>
      <c r="AG320" s="2262"/>
      <c r="AH320" s="2262"/>
      <c r="AI320" s="2262"/>
      <c r="AJ320" s="2262"/>
      <c r="AK320" s="2262"/>
      <c r="BN320" s="61"/>
    </row>
    <row r="321" spans="1:66" ht="12.75" customHeight="1">
      <c r="A321" s="39"/>
      <c r="B321" s="58" t="s">
        <v>92</v>
      </c>
      <c r="C321" s="58"/>
      <c r="D321" s="58"/>
      <c r="E321" s="58"/>
      <c r="F321" s="58"/>
      <c r="H321" s="2262" t="s">
        <v>2482</v>
      </c>
      <c r="I321" s="2262"/>
      <c r="J321" s="2262"/>
      <c r="K321" s="2262"/>
      <c r="L321" s="2262"/>
      <c r="M321" s="2262"/>
      <c r="N321" s="2262"/>
      <c r="O321" s="2262"/>
      <c r="P321" s="2262"/>
      <c r="Q321" s="2262"/>
      <c r="R321" s="2262"/>
      <c r="T321" s="58" t="s">
        <v>92</v>
      </c>
      <c r="V321" s="58"/>
      <c r="W321" s="58"/>
      <c r="X321" s="58"/>
      <c r="Y321" s="58"/>
      <c r="AA321" s="2262" t="s">
        <v>2538</v>
      </c>
      <c r="AB321" s="2262"/>
      <c r="AC321" s="2262"/>
      <c r="AD321" s="2262"/>
      <c r="AE321" s="2262"/>
      <c r="AF321" s="2262"/>
      <c r="AG321" s="2262"/>
      <c r="AH321" s="2262"/>
      <c r="AI321" s="2262"/>
      <c r="AJ321" s="2262"/>
      <c r="AK321" s="2262"/>
      <c r="AL321" s="39"/>
      <c r="BN321" s="61"/>
    </row>
    <row r="322" spans="1:66" ht="12.75">
      <c r="A322" s="39"/>
      <c r="B322" s="58" t="s">
        <v>93</v>
      </c>
      <c r="C322" s="58"/>
      <c r="D322" s="58"/>
      <c r="E322" s="58"/>
      <c r="F322" s="58"/>
      <c r="G322" s="58"/>
      <c r="H322" s="2350" t="s">
        <v>2483</v>
      </c>
      <c r="I322" s="2350"/>
      <c r="J322" s="2350"/>
      <c r="K322" s="2350"/>
      <c r="L322" s="2350"/>
      <c r="M322" s="2350"/>
      <c r="N322" s="7" t="s">
        <v>212</v>
      </c>
      <c r="O322" s="7"/>
      <c r="P322" s="2348"/>
      <c r="Q322" s="2348"/>
      <c r="R322" s="2348"/>
      <c r="S322" s="58"/>
      <c r="T322" s="58" t="s">
        <v>93</v>
      </c>
      <c r="V322" s="58"/>
      <c r="W322" s="58"/>
      <c r="X322" s="58"/>
      <c r="Y322" s="58"/>
      <c r="AA322" s="2350" t="s">
        <v>2539</v>
      </c>
      <c r="AB322" s="2350"/>
      <c r="AC322" s="2350"/>
      <c r="AD322" s="2350"/>
      <c r="AE322" s="2350"/>
      <c r="AF322" s="2350"/>
      <c r="AG322" s="7" t="s">
        <v>212</v>
      </c>
      <c r="AH322" s="7"/>
      <c r="AI322" s="2348"/>
      <c r="AJ322" s="2348"/>
      <c r="AK322" s="2348"/>
      <c r="AL322" s="39"/>
      <c r="BN322" s="61"/>
    </row>
    <row r="323" spans="1:66" ht="12.75" customHeight="1">
      <c r="A323" s="39"/>
      <c r="B323" s="58" t="s">
        <v>94</v>
      </c>
      <c r="C323" s="58"/>
      <c r="D323" s="58"/>
      <c r="E323" s="58"/>
      <c r="F323" s="58"/>
      <c r="G323" s="58"/>
      <c r="H323" s="2261"/>
      <c r="I323" s="2261"/>
      <c r="J323" s="2261"/>
      <c r="K323" s="2261"/>
      <c r="L323" s="2261"/>
      <c r="M323" s="2261"/>
      <c r="N323" s="60"/>
      <c r="O323" s="60"/>
      <c r="P323" s="62"/>
      <c r="Q323" s="62"/>
      <c r="R323" s="62"/>
      <c r="S323" s="58"/>
      <c r="T323" s="58" t="s">
        <v>94</v>
      </c>
      <c r="V323" s="58"/>
      <c r="W323" s="58"/>
      <c r="X323" s="58"/>
      <c r="Y323" s="58"/>
      <c r="AA323" s="2261"/>
      <c r="AB323" s="2261"/>
      <c r="AC323" s="2261"/>
      <c r="AD323" s="2261"/>
      <c r="AE323" s="2261"/>
      <c r="AF323" s="2261"/>
      <c r="AG323" s="60"/>
      <c r="AH323" s="60"/>
      <c r="AI323" s="62"/>
      <c r="AJ323" s="62"/>
      <c r="AK323" s="62"/>
      <c r="AL323" s="39"/>
    </row>
    <row r="324" spans="1:66" ht="12.75">
      <c r="A324" s="39"/>
      <c r="B324" s="58" t="s">
        <v>80</v>
      </c>
      <c r="C324" s="58"/>
      <c r="D324" s="58"/>
      <c r="E324" s="58"/>
      <c r="F324" s="58"/>
      <c r="G324" s="58"/>
      <c r="H324" s="2262" t="s">
        <v>2534</v>
      </c>
      <c r="I324" s="2262"/>
      <c r="J324" s="2262"/>
      <c r="K324" s="2262"/>
      <c r="L324" s="2262"/>
      <c r="M324" s="2262"/>
      <c r="N324" s="2030"/>
      <c r="O324" s="2030"/>
      <c r="P324" s="2030"/>
      <c r="Q324" s="2030"/>
      <c r="R324" s="2030"/>
      <c r="S324" s="58"/>
      <c r="T324" s="58" t="s">
        <v>80</v>
      </c>
      <c r="V324" s="58"/>
      <c r="W324" s="58"/>
      <c r="X324" s="58"/>
      <c r="Y324" s="58"/>
      <c r="AA324" s="2262" t="s">
        <v>2540</v>
      </c>
      <c r="AB324" s="2262"/>
      <c r="AC324" s="2262"/>
      <c r="AD324" s="2262"/>
      <c r="AE324" s="2262"/>
      <c r="AF324" s="2262"/>
      <c r="AG324" s="2030"/>
      <c r="AH324" s="2030"/>
      <c r="AI324" s="2030"/>
      <c r="AJ324" s="2030"/>
      <c r="AK324" s="203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30" t="s">
        <v>2571</v>
      </c>
      <c r="I326" s="2030"/>
      <c r="J326" s="2030"/>
      <c r="K326" s="2030"/>
      <c r="L326" s="2030"/>
      <c r="M326" s="2030"/>
      <c r="N326" s="2030"/>
      <c r="O326" s="2030"/>
      <c r="P326" s="2030"/>
      <c r="Q326" s="2030"/>
      <c r="R326" s="2030"/>
      <c r="T326" s="58" t="s">
        <v>380</v>
      </c>
      <c r="V326" s="58"/>
      <c r="W326" s="58"/>
      <c r="X326" s="58"/>
      <c r="Y326" s="58"/>
      <c r="AA326" s="2030"/>
      <c r="AB326" s="2030"/>
      <c r="AC326" s="2030"/>
      <c r="AD326" s="2030"/>
      <c r="AE326" s="2030"/>
      <c r="AF326" s="2030"/>
      <c r="AG326" s="2030"/>
      <c r="AH326" s="2030"/>
      <c r="AI326" s="2030"/>
      <c r="AJ326" s="2030"/>
      <c r="AK326" s="2030"/>
      <c r="AL326" s="39"/>
    </row>
    <row r="327" spans="1:66" ht="12.75">
      <c r="A327" s="39"/>
      <c r="B327" s="58" t="s">
        <v>506</v>
      </c>
      <c r="C327" s="58"/>
      <c r="D327" s="58"/>
      <c r="E327" s="58"/>
      <c r="F327" s="58"/>
      <c r="H327" s="2262"/>
      <c r="I327" s="2262"/>
      <c r="J327" s="2262"/>
      <c r="K327" s="2262"/>
      <c r="L327" s="2262"/>
      <c r="M327" s="2262"/>
      <c r="N327" s="2262"/>
      <c r="O327" s="2262"/>
      <c r="P327" s="2262"/>
      <c r="Q327" s="2262"/>
      <c r="R327" s="2262"/>
      <c r="T327" s="58" t="s">
        <v>506</v>
      </c>
      <c r="V327" s="58"/>
      <c r="W327" s="58"/>
      <c r="X327" s="58"/>
      <c r="Y327" s="58"/>
      <c r="AA327" s="2262"/>
      <c r="AB327" s="2262"/>
      <c r="AC327" s="2262"/>
      <c r="AD327" s="2262"/>
      <c r="AE327" s="2262"/>
      <c r="AF327" s="2262"/>
      <c r="AG327" s="2262"/>
      <c r="AH327" s="2262"/>
      <c r="AI327" s="2262"/>
      <c r="AJ327" s="2262"/>
      <c r="AK327" s="2262"/>
      <c r="AL327" s="39"/>
    </row>
    <row r="328" spans="1:66" ht="12.75">
      <c r="A328" s="39"/>
      <c r="B328" s="58" t="s">
        <v>507</v>
      </c>
      <c r="C328" s="58"/>
      <c r="D328" s="58"/>
      <c r="E328" s="58"/>
      <c r="F328" s="58"/>
      <c r="H328" s="2262"/>
      <c r="I328" s="2262"/>
      <c r="J328" s="2262"/>
      <c r="K328" s="2262"/>
      <c r="L328" s="2262"/>
      <c r="M328" s="2262"/>
      <c r="N328" s="2262"/>
      <c r="O328" s="2262"/>
      <c r="P328" s="2262"/>
      <c r="Q328" s="2262"/>
      <c r="R328" s="2262"/>
      <c r="T328" s="58" t="s">
        <v>79</v>
      </c>
      <c r="V328" s="58"/>
      <c r="W328" s="58"/>
      <c r="X328" s="58"/>
      <c r="Y328" s="58"/>
      <c r="AA328" s="2262"/>
      <c r="AB328" s="2262"/>
      <c r="AC328" s="2262"/>
      <c r="AD328" s="2262"/>
      <c r="AE328" s="2262"/>
      <c r="AF328" s="2262"/>
      <c r="AG328" s="2262"/>
      <c r="AH328" s="2262"/>
      <c r="AI328" s="2262"/>
      <c r="AJ328" s="2262"/>
      <c r="AK328" s="2262"/>
      <c r="AL328" s="39"/>
    </row>
    <row r="329" spans="1:66" ht="12.75">
      <c r="A329" s="39"/>
      <c r="B329" s="58" t="s">
        <v>92</v>
      </c>
      <c r="C329" s="58"/>
      <c r="D329" s="58"/>
      <c r="E329" s="58"/>
      <c r="F329" s="58"/>
      <c r="H329" s="2262"/>
      <c r="I329" s="2262"/>
      <c r="J329" s="2262"/>
      <c r="K329" s="2262"/>
      <c r="L329" s="2262"/>
      <c r="M329" s="2262"/>
      <c r="N329" s="2262"/>
      <c r="O329" s="2262"/>
      <c r="P329" s="2262"/>
      <c r="Q329" s="2262"/>
      <c r="R329" s="2262"/>
      <c r="T329" s="58" t="s">
        <v>92</v>
      </c>
      <c r="V329" s="58"/>
      <c r="W329" s="58"/>
      <c r="X329" s="58"/>
      <c r="Y329" s="58"/>
      <c r="AA329" s="2262"/>
      <c r="AB329" s="2262"/>
      <c r="AC329" s="2262"/>
      <c r="AD329" s="2262"/>
      <c r="AE329" s="2262"/>
      <c r="AF329" s="2262"/>
      <c r="AG329" s="2262"/>
      <c r="AH329" s="2262"/>
      <c r="AI329" s="2262"/>
      <c r="AJ329" s="2262"/>
      <c r="AK329" s="2262"/>
      <c r="AL329" s="39"/>
    </row>
    <row r="330" spans="1:66" ht="12.75" customHeight="1">
      <c r="A330" s="39"/>
      <c r="B330" s="58" t="s">
        <v>93</v>
      </c>
      <c r="C330" s="58"/>
      <c r="D330" s="58"/>
      <c r="E330" s="58"/>
      <c r="F330" s="58"/>
      <c r="G330" s="58"/>
      <c r="H330" s="2482"/>
      <c r="I330" s="2482"/>
      <c r="J330" s="2482"/>
      <c r="K330" s="2482"/>
      <c r="L330" s="2482"/>
      <c r="M330" s="2482"/>
      <c r="N330" s="7" t="s">
        <v>212</v>
      </c>
      <c r="O330" s="7"/>
      <c r="P330" s="2348"/>
      <c r="Q330" s="2348"/>
      <c r="R330" s="2348"/>
      <c r="S330" s="58"/>
      <c r="T330" s="58" t="s">
        <v>93</v>
      </c>
      <c r="V330" s="58"/>
      <c r="W330" s="58"/>
      <c r="X330" s="58"/>
      <c r="Y330" s="58"/>
      <c r="AA330" s="2482"/>
      <c r="AB330" s="2482"/>
      <c r="AC330" s="2482"/>
      <c r="AD330" s="2482"/>
      <c r="AE330" s="2482"/>
      <c r="AF330" s="2482"/>
      <c r="AG330" s="7" t="s">
        <v>212</v>
      </c>
      <c r="AH330" s="7"/>
      <c r="AI330" s="2348"/>
      <c r="AJ330" s="2348"/>
      <c r="AK330" s="2348"/>
      <c r="AL330" s="39"/>
    </row>
    <row r="331" spans="1:66" ht="12.75">
      <c r="A331" s="39"/>
      <c r="B331" s="58" t="s">
        <v>94</v>
      </c>
      <c r="C331" s="58"/>
      <c r="D331" s="58"/>
      <c r="E331" s="58"/>
      <c r="F331" s="58"/>
      <c r="G331" s="58"/>
      <c r="H331" s="2261"/>
      <c r="I331" s="2261"/>
      <c r="J331" s="2261"/>
      <c r="K331" s="2261"/>
      <c r="L331" s="2261"/>
      <c r="M331" s="2261"/>
      <c r="N331" s="60"/>
      <c r="O331" s="60"/>
      <c r="P331" s="62"/>
      <c r="Q331" s="62"/>
      <c r="R331" s="62"/>
      <c r="S331" s="58"/>
      <c r="T331" s="58" t="s">
        <v>94</v>
      </c>
      <c r="V331" s="58"/>
      <c r="W331" s="58"/>
      <c r="X331" s="58"/>
      <c r="Y331" s="58"/>
      <c r="AA331" s="2261"/>
      <c r="AB331" s="2261"/>
      <c r="AC331" s="2261"/>
      <c r="AD331" s="2261"/>
      <c r="AE331" s="2261"/>
      <c r="AF331" s="2261"/>
      <c r="AG331" s="60"/>
      <c r="AH331" s="60"/>
      <c r="AI331" s="62"/>
      <c r="AJ331" s="62"/>
      <c r="AK331" s="62"/>
      <c r="AL331" s="39"/>
    </row>
    <row r="332" spans="1:66" ht="12.75">
      <c r="A332" s="39"/>
      <c r="B332" s="58" t="s">
        <v>80</v>
      </c>
      <c r="C332" s="58"/>
      <c r="D332" s="58"/>
      <c r="E332" s="58"/>
      <c r="F332" s="58"/>
      <c r="G332" s="58"/>
      <c r="H332" s="2262"/>
      <c r="I332" s="2262"/>
      <c r="J332" s="2262"/>
      <c r="K332" s="2262"/>
      <c r="L332" s="2262"/>
      <c r="M332" s="2262"/>
      <c r="N332" s="2030"/>
      <c r="O332" s="2030"/>
      <c r="P332" s="2030"/>
      <c r="Q332" s="2030"/>
      <c r="R332" s="2030"/>
      <c r="S332" s="58"/>
      <c r="T332" s="58" t="s">
        <v>80</v>
      </c>
      <c r="V332" s="58"/>
      <c r="W332" s="58"/>
      <c r="X332" s="58"/>
      <c r="Y332" s="58"/>
      <c r="AA332" s="2262"/>
      <c r="AB332" s="2262"/>
      <c r="AC332" s="2262"/>
      <c r="AD332" s="2262"/>
      <c r="AE332" s="2262"/>
      <c r="AF332" s="2262"/>
      <c r="AG332" s="2030"/>
      <c r="AH332" s="2030"/>
      <c r="AI332" s="2030"/>
      <c r="AJ332" s="2030"/>
      <c r="AK332" s="203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0" t="s">
        <v>2541</v>
      </c>
      <c r="I334" s="2030"/>
      <c r="J334" s="2030"/>
      <c r="K334" s="2030"/>
      <c r="L334" s="2030"/>
      <c r="M334" s="2030"/>
      <c r="N334" s="2030"/>
      <c r="O334" s="2030"/>
      <c r="P334" s="2030"/>
      <c r="Q334" s="2030"/>
      <c r="R334" s="2030"/>
      <c r="T334" s="406" t="s">
        <v>956</v>
      </c>
      <c r="V334" s="58"/>
      <c r="W334" s="58"/>
      <c r="X334" s="58"/>
      <c r="Y334" s="58"/>
      <c r="AA334" s="2030" t="s">
        <v>2547</v>
      </c>
      <c r="AB334" s="2030"/>
      <c r="AC334" s="2030"/>
      <c r="AD334" s="2030"/>
      <c r="AE334" s="2030"/>
      <c r="AF334" s="2030"/>
      <c r="AG334" s="2030"/>
      <c r="AH334" s="2030"/>
      <c r="AI334" s="2030"/>
      <c r="AJ334" s="2030"/>
      <c r="AK334" s="2030"/>
      <c r="AL334" s="39"/>
    </row>
    <row r="335" spans="1:66" ht="12.75" customHeight="1">
      <c r="B335" s="58" t="s">
        <v>506</v>
      </c>
      <c r="C335" s="240"/>
      <c r="D335" s="240"/>
      <c r="E335" s="240"/>
      <c r="F335" s="240"/>
      <c r="G335" s="3"/>
      <c r="H335" s="2262" t="s">
        <v>2542</v>
      </c>
      <c r="I335" s="2262"/>
      <c r="J335" s="2262"/>
      <c r="K335" s="2262"/>
      <c r="L335" s="2262"/>
      <c r="M335" s="2262"/>
      <c r="N335" s="2262"/>
      <c r="O335" s="2262"/>
      <c r="P335" s="2262"/>
      <c r="Q335" s="2262"/>
      <c r="R335" s="2262"/>
      <c r="T335" s="58" t="s">
        <v>506</v>
      </c>
      <c r="V335" s="58"/>
      <c r="W335" s="58"/>
      <c r="X335" s="58"/>
      <c r="Y335" s="58"/>
      <c r="AA335" s="2262" t="s">
        <v>2548</v>
      </c>
      <c r="AB335" s="2262"/>
      <c r="AC335" s="2262"/>
      <c r="AD335" s="2262"/>
      <c r="AE335" s="2262"/>
      <c r="AF335" s="2262"/>
      <c r="AG335" s="2262"/>
      <c r="AH335" s="2262"/>
      <c r="AI335" s="2262"/>
      <c r="AJ335" s="2262"/>
      <c r="AK335" s="2262"/>
      <c r="AL335" s="39"/>
    </row>
    <row r="336" spans="1:66" ht="12.75" customHeight="1">
      <c r="B336" s="58" t="s">
        <v>79</v>
      </c>
      <c r="C336" s="240"/>
      <c r="D336" s="240"/>
      <c r="E336" s="240"/>
      <c r="F336" s="240"/>
      <c r="G336" s="3"/>
      <c r="H336" s="2262" t="s">
        <v>2543</v>
      </c>
      <c r="I336" s="2262"/>
      <c r="J336" s="2262"/>
      <c r="K336" s="2262"/>
      <c r="L336" s="2262"/>
      <c r="M336" s="2262"/>
      <c r="N336" s="2262"/>
      <c r="O336" s="2262"/>
      <c r="P336" s="2262"/>
      <c r="Q336" s="2262"/>
      <c r="R336" s="2262"/>
      <c r="T336" s="58" t="s">
        <v>79</v>
      </c>
      <c r="V336" s="58"/>
      <c r="W336" s="58"/>
      <c r="X336" s="58"/>
      <c r="Y336" s="58"/>
      <c r="AA336" s="2262" t="s">
        <v>2549</v>
      </c>
      <c r="AB336" s="2262"/>
      <c r="AC336" s="2262"/>
      <c r="AD336" s="2262"/>
      <c r="AE336" s="2262"/>
      <c r="AF336" s="2262"/>
      <c r="AG336" s="2262"/>
      <c r="AH336" s="2262"/>
      <c r="AI336" s="2262"/>
      <c r="AJ336" s="2262"/>
      <c r="AK336" s="2262"/>
      <c r="AL336" s="39"/>
    </row>
    <row r="337" spans="1:66" ht="12.75" customHeight="1">
      <c r="A337" s="39"/>
      <c r="B337" s="58" t="s">
        <v>92</v>
      </c>
      <c r="C337" s="240"/>
      <c r="D337" s="240"/>
      <c r="E337" s="240"/>
      <c r="F337" s="240"/>
      <c r="G337" s="240"/>
      <c r="H337" s="2262" t="s">
        <v>2544</v>
      </c>
      <c r="I337" s="2262"/>
      <c r="J337" s="2262"/>
      <c r="K337" s="2262"/>
      <c r="L337" s="2262"/>
      <c r="M337" s="2262"/>
      <c r="N337" s="2262"/>
      <c r="O337" s="2262"/>
      <c r="P337" s="2262"/>
      <c r="Q337" s="2262"/>
      <c r="R337" s="2262"/>
      <c r="T337" s="58" t="s">
        <v>92</v>
      </c>
      <c r="V337" s="58"/>
      <c r="W337" s="58"/>
      <c r="X337" s="58"/>
      <c r="Y337" s="58"/>
      <c r="AA337" s="2262" t="s">
        <v>2550</v>
      </c>
      <c r="AB337" s="2262"/>
      <c r="AC337" s="2262"/>
      <c r="AD337" s="2262"/>
      <c r="AE337" s="2262"/>
      <c r="AF337" s="2262"/>
      <c r="AG337" s="2262"/>
      <c r="AH337" s="2262"/>
      <c r="AI337" s="2262"/>
      <c r="AJ337" s="2262"/>
      <c r="AK337" s="2262"/>
      <c r="AL337" s="39"/>
    </row>
    <row r="338" spans="1:66" ht="12.75" customHeight="1">
      <c r="A338" s="39"/>
      <c r="B338" s="58" t="s">
        <v>93</v>
      </c>
      <c r="C338" s="240"/>
      <c r="D338" s="240"/>
      <c r="E338" s="240"/>
      <c r="F338" s="240"/>
      <c r="G338" s="240"/>
      <c r="H338" s="2350" t="s">
        <v>2545</v>
      </c>
      <c r="I338" s="2350"/>
      <c r="J338" s="2350"/>
      <c r="K338" s="2350"/>
      <c r="L338" s="2350"/>
      <c r="M338" s="2350"/>
      <c r="N338" s="7" t="s">
        <v>212</v>
      </c>
      <c r="O338" s="7"/>
      <c r="P338" s="2348"/>
      <c r="Q338" s="2348"/>
      <c r="R338" s="2348"/>
      <c r="S338" s="58"/>
      <c r="T338" s="58" t="s">
        <v>93</v>
      </c>
      <c r="V338" s="58"/>
      <c r="W338" s="58"/>
      <c r="X338" s="58"/>
      <c r="Y338" s="58"/>
      <c r="AA338" s="2350" t="s">
        <v>2497</v>
      </c>
      <c r="AB338" s="2350"/>
      <c r="AC338" s="2350"/>
      <c r="AD338" s="2350"/>
      <c r="AE338" s="2350"/>
      <c r="AF338" s="2350"/>
      <c r="AG338" s="7" t="s">
        <v>212</v>
      </c>
      <c r="AH338" s="7"/>
      <c r="AI338" s="2348"/>
      <c r="AJ338" s="2348"/>
      <c r="AK338" s="2348"/>
      <c r="AL338" s="39"/>
    </row>
    <row r="339" spans="1:66" ht="12.75">
      <c r="A339" s="39"/>
      <c r="B339" s="58" t="s">
        <v>94</v>
      </c>
      <c r="C339" s="240"/>
      <c r="D339" s="240"/>
      <c r="E339" s="240"/>
      <c r="F339" s="240"/>
      <c r="G339" s="240"/>
      <c r="H339" s="2261"/>
      <c r="I339" s="2261"/>
      <c r="J339" s="2261"/>
      <c r="K339" s="2261"/>
      <c r="L339" s="2261"/>
      <c r="M339" s="2261"/>
      <c r="N339" s="60"/>
      <c r="O339" s="60"/>
      <c r="P339" s="62"/>
      <c r="Q339" s="62"/>
      <c r="R339" s="62"/>
      <c r="S339" s="58"/>
      <c r="T339" s="58" t="s">
        <v>94</v>
      </c>
      <c r="V339" s="58"/>
      <c r="W339" s="58"/>
      <c r="X339" s="58"/>
      <c r="Y339" s="58"/>
      <c r="AA339" s="2426" t="s">
        <v>2551</v>
      </c>
      <c r="AB339" s="2426"/>
      <c r="AC339" s="2426"/>
      <c r="AD339" s="2426"/>
      <c r="AE339" s="2426"/>
      <c r="AF339" s="2426"/>
      <c r="AG339" s="60"/>
      <c r="AH339" s="60"/>
      <c r="AI339" s="62"/>
      <c r="AJ339" s="62"/>
      <c r="AK339" s="62"/>
      <c r="AL339" s="39"/>
    </row>
    <row r="340" spans="1:66" ht="12.75">
      <c r="A340" s="39"/>
      <c r="B340" s="58" t="s">
        <v>80</v>
      </c>
      <c r="C340" s="237"/>
      <c r="D340" s="237"/>
      <c r="E340" s="237"/>
      <c r="F340" s="237"/>
      <c r="G340" s="237"/>
      <c r="H340" s="2262" t="s">
        <v>2546</v>
      </c>
      <c r="I340" s="2262"/>
      <c r="J340" s="2262"/>
      <c r="K340" s="2262"/>
      <c r="L340" s="2262"/>
      <c r="M340" s="2262"/>
      <c r="N340" s="2030"/>
      <c r="O340" s="2030"/>
      <c r="P340" s="2030"/>
      <c r="Q340" s="2030"/>
      <c r="R340" s="2030"/>
      <c r="S340" s="58"/>
      <c r="T340" s="58" t="s">
        <v>80</v>
      </c>
      <c r="V340" s="58"/>
      <c r="W340" s="58"/>
      <c r="X340" s="58"/>
      <c r="Y340" s="58"/>
      <c r="AA340" s="2262" t="s">
        <v>2552</v>
      </c>
      <c r="AB340" s="2262"/>
      <c r="AC340" s="2262"/>
      <c r="AD340" s="2262"/>
      <c r="AE340" s="2262"/>
      <c r="AF340" s="2262"/>
      <c r="AG340" s="2030"/>
      <c r="AH340" s="2030"/>
      <c r="AI340" s="2030"/>
      <c r="AJ340" s="2030"/>
      <c r="AK340" s="203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30"/>
      <c r="Q342" s="2030"/>
      <c r="R342" s="2030"/>
      <c r="S342" s="2030"/>
      <c r="T342" s="2030"/>
      <c r="U342" s="2030"/>
      <c r="V342" s="2030"/>
      <c r="W342" s="2030"/>
      <c r="X342" s="2030"/>
      <c r="Y342" s="2030"/>
      <c r="Z342" s="2030"/>
      <c r="AA342" s="2030"/>
      <c r="AB342" s="2030"/>
      <c r="AC342" s="2030"/>
      <c r="AD342" s="2030"/>
      <c r="AE342" s="2030"/>
      <c r="AF342" s="88"/>
      <c r="AG342" s="88"/>
      <c r="AH342" s="88"/>
      <c r="AI342" s="88"/>
      <c r="AJ342" s="88"/>
      <c r="AK342" s="88"/>
      <c r="AL342" s="39"/>
      <c r="BN342" s="12" t="s">
        <v>628</v>
      </c>
    </row>
    <row r="343" spans="1:66" ht="12.75">
      <c r="A343" s="3"/>
      <c r="B343" s="60"/>
      <c r="C343" s="60"/>
      <c r="D343" s="60"/>
      <c r="E343" s="60"/>
      <c r="F343" s="60"/>
      <c r="G343" s="3"/>
      <c r="H343" s="88"/>
      <c r="I343" s="7" t="s">
        <v>506</v>
      </c>
      <c r="P343" s="2262"/>
      <c r="Q343" s="2262"/>
      <c r="R343" s="2262"/>
      <c r="S343" s="2262"/>
      <c r="T343" s="2262"/>
      <c r="U343" s="2262"/>
      <c r="V343" s="2262"/>
      <c r="W343" s="2262"/>
      <c r="X343" s="2262"/>
      <c r="Y343" s="2262"/>
      <c r="Z343" s="2262"/>
      <c r="AA343" s="2262"/>
      <c r="AB343" s="2262"/>
      <c r="AC343" s="2262"/>
      <c r="AD343" s="2262"/>
      <c r="AE343" s="2262"/>
      <c r="AF343" s="88"/>
      <c r="AG343" s="88"/>
      <c r="AH343" s="88"/>
      <c r="AI343" s="88"/>
      <c r="AJ343" s="88"/>
      <c r="AK343" s="88"/>
      <c r="AL343" s="39"/>
      <c r="BN343" s="12" t="s">
        <v>708</v>
      </c>
    </row>
    <row r="344" spans="1:66" ht="12.75">
      <c r="A344" s="3"/>
      <c r="B344" s="60"/>
      <c r="C344" s="60"/>
      <c r="D344" s="60"/>
      <c r="E344" s="60"/>
      <c r="F344" s="60"/>
      <c r="G344" s="3"/>
      <c r="H344" s="88"/>
      <c r="I344" s="7" t="s">
        <v>79</v>
      </c>
      <c r="P344" s="2262"/>
      <c r="Q344" s="2262"/>
      <c r="R344" s="2262"/>
      <c r="S344" s="2262"/>
      <c r="T344" s="2262"/>
      <c r="U344" s="2262"/>
      <c r="V344" s="2262"/>
      <c r="W344" s="2262"/>
      <c r="X344" s="2262"/>
      <c r="Y344" s="2262"/>
      <c r="Z344" s="2262"/>
      <c r="AA344" s="2262"/>
      <c r="AB344" s="2262"/>
      <c r="AC344" s="2262"/>
      <c r="AD344" s="2262"/>
      <c r="AE344" s="2262"/>
      <c r="AF344" s="88"/>
      <c r="AG344" s="88"/>
      <c r="AH344" s="88"/>
      <c r="AI344" s="88"/>
      <c r="AJ344" s="88"/>
      <c r="AK344" s="88"/>
      <c r="AL344" s="39"/>
      <c r="BN344" s="12" t="s">
        <v>580</v>
      </c>
    </row>
    <row r="345" spans="1:66" ht="12.75">
      <c r="A345" s="3"/>
      <c r="B345" s="60"/>
      <c r="C345" s="60"/>
      <c r="D345" s="60"/>
      <c r="E345" s="60"/>
      <c r="F345" s="60"/>
      <c r="G345" s="60"/>
      <c r="H345" s="88"/>
      <c r="I345" s="7" t="s">
        <v>92</v>
      </c>
      <c r="P345" s="2262"/>
      <c r="Q345" s="2262"/>
      <c r="R345" s="2262"/>
      <c r="S345" s="2262"/>
      <c r="T345" s="2262"/>
      <c r="U345" s="2262"/>
      <c r="V345" s="2262"/>
      <c r="W345" s="2262"/>
      <c r="X345" s="2262"/>
      <c r="Y345" s="2262"/>
      <c r="Z345" s="2262"/>
      <c r="AA345" s="2262"/>
      <c r="AB345" s="2262"/>
      <c r="AC345" s="2262"/>
      <c r="AD345" s="2262"/>
      <c r="AE345" s="2262"/>
      <c r="AF345" s="88"/>
      <c r="AG345" s="88"/>
      <c r="AH345" s="88"/>
      <c r="AI345" s="88"/>
      <c r="AJ345" s="88"/>
      <c r="AK345" s="88"/>
      <c r="AL345" s="39"/>
    </row>
    <row r="346" spans="1:66" ht="12.75">
      <c r="A346" s="3"/>
      <c r="B346" s="60"/>
      <c r="C346" s="60"/>
      <c r="D346" s="60"/>
      <c r="E346" s="60"/>
      <c r="F346" s="60"/>
      <c r="G346" s="60"/>
      <c r="H346" s="466"/>
      <c r="I346" s="7" t="s">
        <v>93</v>
      </c>
      <c r="P346" s="2261"/>
      <c r="Q346" s="2261"/>
      <c r="R346" s="2261"/>
      <c r="S346" s="2261"/>
      <c r="T346" s="2261"/>
      <c r="U346" s="2261"/>
      <c r="V346" s="2261"/>
      <c r="W346" s="2261"/>
      <c r="X346" s="2261"/>
      <c r="Y346" s="2261"/>
      <c r="Z346" s="2261"/>
      <c r="AA346" s="7" t="s">
        <v>212</v>
      </c>
      <c r="AB346" s="7"/>
      <c r="AC346" s="2083"/>
      <c r="AD346" s="2083"/>
      <c r="AE346" s="2083"/>
      <c r="AF346" s="466"/>
      <c r="AG346" s="60"/>
      <c r="AH346" s="60"/>
      <c r="AI346" s="407"/>
      <c r="AJ346" s="407"/>
      <c r="AK346" s="407"/>
      <c r="AL346" s="39"/>
    </row>
    <row r="347" spans="1:66" ht="12.75" customHeight="1">
      <c r="A347" s="3"/>
      <c r="B347" s="60"/>
      <c r="C347" s="60"/>
      <c r="D347" s="60"/>
      <c r="E347" s="60"/>
      <c r="F347" s="60"/>
      <c r="G347" s="60"/>
      <c r="H347" s="466"/>
      <c r="I347" s="7" t="s">
        <v>94</v>
      </c>
      <c r="P347" s="2261"/>
      <c r="Q347" s="2261"/>
      <c r="R347" s="2261"/>
      <c r="S347" s="2261"/>
      <c r="T347" s="2261"/>
      <c r="U347" s="2261"/>
      <c r="V347" s="2261"/>
      <c r="W347" s="2261"/>
      <c r="X347" s="2261"/>
      <c r="Y347" s="2261"/>
      <c r="Z347" s="2261"/>
      <c r="AF347" s="466"/>
      <c r="AG347" s="60"/>
      <c r="AH347" s="60"/>
      <c r="AI347" s="62"/>
      <c r="AJ347" s="62"/>
      <c r="AK347" s="62"/>
      <c r="AL347" s="39"/>
    </row>
    <row r="348" spans="1:66" ht="12.75">
      <c r="A348" s="3"/>
      <c r="B348" s="60"/>
      <c r="C348" s="407"/>
      <c r="D348" s="407"/>
      <c r="E348" s="407"/>
      <c r="F348" s="407"/>
      <c r="G348" s="407"/>
      <c r="H348" s="88"/>
      <c r="I348" s="7" t="s">
        <v>80</v>
      </c>
      <c r="P348" s="2030"/>
      <c r="Q348" s="2030"/>
      <c r="R348" s="2030"/>
      <c r="S348" s="2030"/>
      <c r="T348" s="2030"/>
      <c r="U348" s="2030"/>
      <c r="V348" s="2030"/>
      <c r="W348" s="2030"/>
      <c r="X348" s="2030"/>
      <c r="Y348" s="2030"/>
      <c r="Z348" s="2030"/>
      <c r="AA348" s="2030"/>
      <c r="AB348" s="2030"/>
      <c r="AC348" s="2030"/>
      <c r="AD348" s="2030"/>
      <c r="AE348" s="203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92" t="s">
        <v>577</v>
      </c>
      <c r="B350" s="2392"/>
      <c r="C350" s="2392"/>
      <c r="D350" s="2392"/>
      <c r="E350" s="2392"/>
      <c r="F350" s="2392"/>
      <c r="G350" s="2392"/>
      <c r="H350" s="2392"/>
      <c r="I350" s="2392"/>
      <c r="J350" s="2392"/>
      <c r="K350" s="2392"/>
      <c r="L350" s="2392"/>
      <c r="M350" s="2392"/>
      <c r="N350" s="2392"/>
      <c r="O350" s="2392"/>
      <c r="P350" s="2392"/>
      <c r="Q350" s="2392"/>
      <c r="R350" s="2392"/>
      <c r="S350" s="2392"/>
      <c r="T350" s="2392"/>
      <c r="U350" s="2392"/>
      <c r="V350" s="2392"/>
      <c r="W350" s="2392"/>
      <c r="X350" s="2392"/>
      <c r="Y350" s="2392"/>
      <c r="Z350" s="2392"/>
      <c r="AA350" s="2392"/>
      <c r="AB350" s="2392"/>
      <c r="AC350" s="2392"/>
      <c r="AD350" s="2392"/>
      <c r="AE350" s="2392"/>
      <c r="AF350" s="2392"/>
      <c r="AG350" s="2392"/>
      <c r="AH350" s="2392"/>
      <c r="AI350" s="2392"/>
      <c r="AJ350" s="2392"/>
      <c r="AK350" s="2392"/>
      <c r="AL350" s="2392"/>
      <c r="AM350" s="144"/>
      <c r="AN350" s="144"/>
      <c r="AO350" s="144"/>
      <c r="AP350" s="144"/>
      <c r="AQ350" s="144"/>
      <c r="AR350" s="144"/>
      <c r="AS350" s="144"/>
      <c r="AT350" s="144"/>
      <c r="AU350" s="144"/>
      <c r="AV350" s="144"/>
      <c r="AW350" s="144"/>
      <c r="AX350" s="144"/>
      <c r="AY350" s="144"/>
    </row>
    <row r="351" spans="1:66" ht="13.5" thickBot="1">
      <c r="A351" s="2393"/>
      <c r="B351" s="2393"/>
      <c r="C351" s="2393"/>
      <c r="D351" s="2393"/>
      <c r="E351" s="2393"/>
      <c r="F351" s="2393"/>
      <c r="G351" s="2393"/>
      <c r="H351" s="2393"/>
      <c r="I351" s="2393"/>
      <c r="J351" s="2393"/>
      <c r="K351" s="2393"/>
      <c r="L351" s="2393"/>
      <c r="M351" s="2393"/>
      <c r="N351" s="2393"/>
      <c r="O351" s="2393"/>
      <c r="P351" s="2393"/>
      <c r="Q351" s="2393"/>
      <c r="R351" s="2393"/>
      <c r="S351" s="2393"/>
      <c r="T351" s="2393"/>
      <c r="U351" s="2393"/>
      <c r="V351" s="2393"/>
      <c r="W351" s="2393"/>
      <c r="X351" s="2393"/>
      <c r="Y351" s="2393"/>
      <c r="Z351" s="2393"/>
      <c r="AA351" s="2393"/>
      <c r="AB351" s="2393"/>
      <c r="AC351" s="2393"/>
      <c r="AD351" s="2393"/>
      <c r="AE351" s="2393"/>
      <c r="AF351" s="2393"/>
      <c r="AG351" s="2393"/>
      <c r="AH351" s="2393"/>
      <c r="AI351" s="2393"/>
      <c r="AJ351" s="2393"/>
      <c r="AK351" s="2393"/>
      <c r="AL351" s="239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267" t="s">
        <v>580</v>
      </c>
      <c r="N354" s="2267"/>
      <c r="P354" s="12" t="s">
        <v>2019</v>
      </c>
      <c r="AJ354" s="2267" t="s">
        <v>628</v>
      </c>
      <c r="AK354" s="2267"/>
    </row>
    <row r="355" spans="1:37" ht="12.75" customHeight="1">
      <c r="D355" s="58" t="s">
        <v>2008</v>
      </c>
      <c r="M355" s="2267" t="s">
        <v>628</v>
      </c>
      <c r="N355" s="2267"/>
      <c r="P355" s="58" t="s">
        <v>2234</v>
      </c>
      <c r="AJ355" s="2063" t="s">
        <v>2571</v>
      </c>
      <c r="AK355" s="2063"/>
    </row>
    <row r="356" spans="1:37" ht="12.75" customHeight="1">
      <c r="D356" s="12" t="s">
        <v>749</v>
      </c>
      <c r="M356" s="2267" t="s">
        <v>628</v>
      </c>
      <c r="N356" s="2267"/>
      <c r="P356" s="720" t="s">
        <v>2018</v>
      </c>
      <c r="AJ356" s="2267" t="s">
        <v>628</v>
      </c>
      <c r="AK356" s="2267"/>
    </row>
    <row r="357" spans="1:37" ht="12.75" customHeight="1">
      <c r="D357" s="12" t="s">
        <v>750</v>
      </c>
      <c r="M357" s="2267" t="s">
        <v>628</v>
      </c>
      <c r="N357" s="2267"/>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267" t="s">
        <v>628</v>
      </c>
      <c r="O362" s="2267"/>
      <c r="P362" s="69"/>
      <c r="Q362" s="69"/>
      <c r="R362" s="69"/>
      <c r="S362" s="69"/>
      <c r="T362" s="69"/>
      <c r="U362" s="69"/>
      <c r="V362" s="69"/>
      <c r="W362" s="69"/>
      <c r="X362" s="69"/>
      <c r="Y362" s="70"/>
      <c r="Z362" s="70"/>
      <c r="AC362" s="69"/>
      <c r="AD362" s="69"/>
      <c r="AE362" s="69"/>
    </row>
    <row r="363" spans="1:37" ht="12.75" customHeight="1">
      <c r="E363" s="12" t="s">
        <v>383</v>
      </c>
      <c r="Y363" s="2267" t="s">
        <v>628</v>
      </c>
      <c r="Z363" s="2267"/>
    </row>
    <row r="364" spans="1:37" ht="12.75" customHeight="1">
      <c r="D364" s="7" t="s">
        <v>1063</v>
      </c>
      <c r="Q364" s="2030" t="s">
        <v>628</v>
      </c>
      <c r="R364" s="2030"/>
      <c r="S364" s="2030"/>
      <c r="T364" s="2030"/>
      <c r="U364" s="2030"/>
      <c r="V364" s="2030"/>
      <c r="W364" s="2030"/>
      <c r="X364" s="2030"/>
      <c r="Y364" s="2030"/>
      <c r="Z364" s="2030"/>
      <c r="AA364" s="2030"/>
      <c r="AB364" s="2030"/>
      <c r="AC364" s="2030"/>
      <c r="AD364" s="2030"/>
      <c r="AE364" s="2030"/>
      <c r="AF364" s="2030"/>
      <c r="AG364" s="203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267" t="s">
        <v>628</v>
      </c>
      <c r="K366" s="2267"/>
      <c r="L366" s="69"/>
      <c r="M366" s="69"/>
      <c r="N366" s="69"/>
      <c r="O366" s="69"/>
      <c r="P366" s="69"/>
      <c r="Q366" s="69"/>
      <c r="R366" s="69"/>
      <c r="S366" s="69"/>
      <c r="T366" s="69"/>
      <c r="U366" s="69"/>
      <c r="V366" s="69"/>
      <c r="W366" s="69"/>
      <c r="X366" s="69"/>
      <c r="Y366" s="69"/>
      <c r="Z366" s="69"/>
      <c r="AC366" s="69"/>
      <c r="AD366" s="69"/>
      <c r="AE366" s="69"/>
    </row>
    <row r="367" spans="1:37" ht="12.75" customHeight="1">
      <c r="E367" s="2301" t="s">
        <v>751</v>
      </c>
      <c r="F367" s="2301"/>
      <c r="G367" s="2301"/>
      <c r="H367" s="2301"/>
      <c r="I367" s="2301"/>
      <c r="J367" s="2301"/>
      <c r="K367" s="2301"/>
      <c r="L367" s="2301"/>
      <c r="M367" s="2301"/>
      <c r="N367" s="2301"/>
      <c r="O367" s="2301"/>
      <c r="P367" s="2301"/>
      <c r="Q367" s="2301"/>
      <c r="R367" s="2301"/>
      <c r="S367" s="2301"/>
      <c r="T367" s="2301"/>
      <c r="U367" s="2301"/>
      <c r="V367" s="2301"/>
      <c r="W367" s="2301"/>
      <c r="X367" s="2301"/>
      <c r="Y367" s="2301"/>
      <c r="Z367" s="2301"/>
      <c r="AA367" s="2301"/>
      <c r="AB367" s="2301"/>
      <c r="AC367" s="2301"/>
      <c r="AD367" s="2301"/>
      <c r="AE367" s="2301"/>
      <c r="AF367" s="2301"/>
      <c r="AG367" s="2301"/>
      <c r="AH367" s="2301"/>
    </row>
    <row r="368" spans="1:37" ht="12.75" customHeight="1">
      <c r="E368" s="2301"/>
      <c r="F368" s="2301"/>
      <c r="G368" s="2301"/>
      <c r="H368" s="2301"/>
      <c r="I368" s="2301"/>
      <c r="J368" s="2301"/>
      <c r="K368" s="2301"/>
      <c r="L368" s="2301"/>
      <c r="M368" s="2301"/>
      <c r="N368" s="2301"/>
      <c r="O368" s="2301"/>
      <c r="P368" s="2301"/>
      <c r="Q368" s="2301"/>
      <c r="R368" s="2301"/>
      <c r="S368" s="2301"/>
      <c r="T368" s="2301"/>
      <c r="U368" s="2301"/>
      <c r="V368" s="2301"/>
      <c r="W368" s="2301"/>
      <c r="X368" s="2301"/>
      <c r="Y368" s="2301"/>
      <c r="Z368" s="2301"/>
      <c r="AA368" s="2301"/>
      <c r="AB368" s="2301"/>
      <c r="AC368" s="2301"/>
      <c r="AD368" s="2301"/>
      <c r="AE368" s="2301"/>
      <c r="AF368" s="2301"/>
      <c r="AG368" s="2301"/>
      <c r="AH368" s="2301"/>
    </row>
    <row r="369" spans="1:36" ht="12.75" customHeight="1">
      <c r="E369" s="7" t="s">
        <v>481</v>
      </c>
      <c r="F369" s="7"/>
      <c r="G369" s="7"/>
      <c r="H369" s="7"/>
      <c r="I369" s="7"/>
      <c r="J369" s="7"/>
      <c r="K369" s="7"/>
      <c r="L369" s="7"/>
      <c r="N369" s="2276"/>
      <c r="O369" s="2276"/>
      <c r="P369" s="2276"/>
      <c r="Q369" s="2276"/>
      <c r="R369" s="7"/>
      <c r="U369" s="7" t="s">
        <v>482</v>
      </c>
      <c r="V369" s="7"/>
      <c r="W369" s="7"/>
      <c r="X369" s="7"/>
      <c r="Y369" s="7"/>
      <c r="Z369" s="7"/>
      <c r="AA369" s="7"/>
      <c r="AB369" s="7"/>
      <c r="AC369" s="2276"/>
      <c r="AD369" s="2276"/>
      <c r="AE369" s="2276"/>
      <c r="AF369" s="2276"/>
    </row>
    <row r="370" spans="1:36" ht="12.75" customHeight="1">
      <c r="E370" s="7" t="s">
        <v>483</v>
      </c>
      <c r="F370" s="7"/>
      <c r="G370" s="7"/>
      <c r="H370" s="7"/>
      <c r="I370" s="7"/>
      <c r="J370" s="7"/>
      <c r="K370" s="7"/>
      <c r="L370" s="7"/>
      <c r="N370" s="2276"/>
      <c r="O370" s="2276"/>
      <c r="P370" s="2276"/>
      <c r="Q370" s="2276"/>
      <c r="R370" s="7"/>
      <c r="U370" s="7" t="s">
        <v>0</v>
      </c>
      <c r="V370" s="7"/>
      <c r="W370" s="7"/>
      <c r="X370" s="7"/>
      <c r="Y370" s="7"/>
      <c r="Z370" s="7"/>
      <c r="AA370" s="7"/>
      <c r="AB370" s="7"/>
      <c r="AC370" s="2276"/>
      <c r="AD370" s="2276"/>
      <c r="AE370" s="2276"/>
      <c r="AF370" s="2276"/>
    </row>
    <row r="371" spans="1:36" ht="12.75" customHeight="1">
      <c r="E371" s="7" t="s">
        <v>1</v>
      </c>
      <c r="F371" s="7"/>
      <c r="G371" s="7"/>
      <c r="H371" s="7"/>
      <c r="I371" s="7"/>
      <c r="J371" s="7"/>
      <c r="K371" s="7"/>
      <c r="L371" s="7"/>
      <c r="N371" s="2276"/>
      <c r="O371" s="2276"/>
      <c r="P371" s="2276"/>
      <c r="Q371" s="2276"/>
      <c r="R371" s="7"/>
      <c r="V371" s="7"/>
      <c r="W371" s="7"/>
      <c r="X371" s="7"/>
      <c r="Y371" s="7"/>
      <c r="Z371" s="7"/>
      <c r="AA371" s="7"/>
      <c r="AB371" s="7"/>
    </row>
    <row r="372" spans="1:36" ht="12.75" customHeight="1">
      <c r="E372" s="7" t="s">
        <v>2</v>
      </c>
      <c r="F372" s="7"/>
      <c r="G372" s="7"/>
      <c r="H372" s="7"/>
      <c r="I372" s="7"/>
      <c r="J372" s="7"/>
      <c r="K372" s="7"/>
      <c r="L372" s="7"/>
      <c r="N372" s="2553"/>
      <c r="O372" s="2553"/>
      <c r="P372" s="2553"/>
      <c r="Q372" s="2553"/>
      <c r="R372" s="2553"/>
      <c r="S372" s="2553"/>
      <c r="T372" s="2553"/>
      <c r="U372" s="2553"/>
      <c r="V372" s="2553"/>
      <c r="W372" s="2553"/>
      <c r="X372" s="2553"/>
      <c r="Y372" s="2553"/>
      <c r="Z372" s="2553"/>
      <c r="AA372" s="2553"/>
      <c r="AB372" s="2553"/>
      <c r="AC372" s="2553"/>
      <c r="AD372" s="2553"/>
      <c r="AE372" s="2553"/>
      <c r="AF372" s="2553"/>
    </row>
    <row r="373" spans="1:36" ht="12.75" customHeight="1">
      <c r="E373" s="7"/>
      <c r="F373" s="7"/>
      <c r="G373" s="7"/>
      <c r="H373" s="7"/>
      <c r="I373" s="7"/>
      <c r="J373" s="7"/>
      <c r="K373" s="7"/>
      <c r="L373" s="7"/>
      <c r="N373" s="2554"/>
      <c r="O373" s="2554"/>
      <c r="P373" s="2554"/>
      <c r="Q373" s="2554"/>
      <c r="R373" s="2554"/>
      <c r="S373" s="2554"/>
      <c r="T373" s="2554"/>
      <c r="U373" s="2554"/>
      <c r="V373" s="2554"/>
      <c r="W373" s="2554"/>
      <c r="X373" s="2554"/>
      <c r="Y373" s="2554"/>
      <c r="Z373" s="2554"/>
      <c r="AA373" s="2554"/>
      <c r="AB373" s="2554"/>
      <c r="AC373" s="2554"/>
      <c r="AD373" s="2554"/>
      <c r="AE373" s="2554"/>
      <c r="AF373" s="2554"/>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39"/>
      <c r="T376" s="2439"/>
      <c r="U376" s="4" t="s">
        <v>317</v>
      </c>
      <c r="V376" s="2439"/>
      <c r="W376" s="2439"/>
      <c r="Y376" s="25" t="s">
        <v>315</v>
      </c>
      <c r="AA376" s="25"/>
      <c r="AB376" s="25" t="s">
        <v>316</v>
      </c>
      <c r="AD376" s="2439"/>
      <c r="AE376" s="2439"/>
      <c r="AF376" s="4" t="s">
        <v>317</v>
      </c>
      <c r="AG376" s="2439"/>
      <c r="AH376" s="2439"/>
    </row>
    <row r="377" spans="1:36" ht="12.75" customHeight="1">
      <c r="E377" s="7" t="s">
        <v>1094</v>
      </c>
      <c r="F377" s="7"/>
      <c r="G377" s="7"/>
      <c r="H377" s="7"/>
      <c r="I377" s="7"/>
      <c r="J377" s="7"/>
      <c r="K377" s="7"/>
      <c r="L377" s="7"/>
      <c r="N377" s="2439"/>
      <c r="O377" s="2439"/>
      <c r="P377" s="2439"/>
    </row>
    <row r="378" spans="1:36" ht="12.75" customHeight="1">
      <c r="E378" s="383" t="s">
        <v>1095</v>
      </c>
      <c r="F378" s="7"/>
      <c r="G378" s="7"/>
      <c r="H378" s="7"/>
      <c r="I378" s="7"/>
      <c r="J378" s="7"/>
      <c r="K378" s="7"/>
      <c r="L378" s="7"/>
      <c r="AG378" s="2444" t="s">
        <v>628</v>
      </c>
      <c r="AH378" s="2444"/>
    </row>
    <row r="379" spans="1:36" ht="12.75" customHeight="1">
      <c r="E379" s="7"/>
      <c r="F379" s="7"/>
      <c r="G379" s="7" t="s">
        <v>1116</v>
      </c>
      <c r="H379" s="7"/>
      <c r="I379" s="7"/>
      <c r="J379" s="7"/>
      <c r="K379" s="7"/>
      <c r="L379" s="7"/>
      <c r="AG379" s="2444" t="s">
        <v>628</v>
      </c>
      <c r="AH379" s="2444"/>
    </row>
    <row r="380" spans="1:36" ht="12.75" customHeight="1">
      <c r="E380" s="7"/>
      <c r="F380" s="7"/>
      <c r="G380" s="510" t="s">
        <v>1096</v>
      </c>
      <c r="H380" s="7"/>
      <c r="I380" s="7"/>
      <c r="J380" s="7"/>
      <c r="K380" s="7"/>
      <c r="L380" s="7"/>
      <c r="V380" s="2267" t="s">
        <v>628</v>
      </c>
      <c r="W380" s="2267"/>
      <c r="Y380" s="35" t="s">
        <v>1065</v>
      </c>
    </row>
    <row r="381" spans="1:36" ht="12.75" customHeight="1">
      <c r="E381" s="7" t="s">
        <v>1066</v>
      </c>
      <c r="F381" s="7"/>
      <c r="G381" s="7"/>
      <c r="H381" s="7"/>
      <c r="I381" s="7"/>
      <c r="J381" s="7"/>
      <c r="K381" s="7"/>
      <c r="L381" s="7"/>
      <c r="V381" s="2267" t="s">
        <v>628</v>
      </c>
      <c r="W381" s="2267"/>
      <c r="Y381" s="7" t="s">
        <v>1067</v>
      </c>
    </row>
    <row r="382" spans="1:36" ht="12.75" customHeight="1"/>
    <row r="383" spans="1:36" ht="12.75" customHeight="1">
      <c r="A383" s="50" t="s">
        <v>82</v>
      </c>
      <c r="B383" s="50"/>
    </row>
    <row r="384" spans="1:36" ht="12.75" customHeight="1">
      <c r="D384" s="12" t="s">
        <v>451</v>
      </c>
      <c r="J384" s="2030" t="s">
        <v>2553</v>
      </c>
      <c r="K384" s="2030"/>
      <c r="L384" s="2030"/>
      <c r="M384" s="2030"/>
      <c r="N384" s="2030"/>
      <c r="O384" s="2030"/>
      <c r="P384" s="2030"/>
      <c r="Q384" s="2030"/>
      <c r="R384" s="2030"/>
      <c r="S384" s="2030"/>
      <c r="T384" s="2030"/>
      <c r="U384" s="2030"/>
      <c r="V384" s="14" t="s">
        <v>88</v>
      </c>
      <c r="W384" s="14"/>
      <c r="X384" s="14"/>
      <c r="Y384" s="14"/>
      <c r="Z384" s="14"/>
      <c r="AA384" s="14"/>
      <c r="AB384" s="14"/>
      <c r="AC384" s="2030" t="s">
        <v>2554</v>
      </c>
      <c r="AD384" s="2030"/>
      <c r="AE384" s="2030"/>
      <c r="AF384" s="2030"/>
      <c r="AG384" s="2030"/>
      <c r="AH384" s="2030"/>
      <c r="AI384" s="2030"/>
      <c r="AJ384" s="2030"/>
    </row>
    <row r="385" spans="1:96" ht="12.75" customHeight="1">
      <c r="A385" s="720"/>
      <c r="B385" s="720"/>
      <c r="C385" s="720"/>
      <c r="D385" s="58" t="s">
        <v>1386</v>
      </c>
      <c r="E385" s="720"/>
      <c r="F385" s="720"/>
      <c r="G385" s="720"/>
      <c r="H385" s="720"/>
      <c r="I385" s="720"/>
      <c r="J385" s="1847" t="s">
        <v>2554</v>
      </c>
      <c r="K385" s="1845"/>
      <c r="L385" s="1845"/>
      <c r="M385" s="1845"/>
      <c r="N385" s="1845"/>
      <c r="O385" s="1845"/>
      <c r="P385" s="1845"/>
      <c r="Q385" s="1845"/>
      <c r="R385" s="1845"/>
      <c r="S385" s="1845"/>
      <c r="T385" s="1845"/>
      <c r="U385" s="1845"/>
      <c r="V385" s="58" t="s">
        <v>1386</v>
      </c>
      <c r="W385" s="14"/>
      <c r="X385" s="14"/>
      <c r="Y385" s="14"/>
      <c r="Z385" s="14"/>
      <c r="AA385" s="14"/>
      <c r="AB385" s="14"/>
      <c r="AC385" s="2030"/>
      <c r="AD385" s="2030"/>
      <c r="AE385" s="2030"/>
      <c r="AF385" s="2030"/>
      <c r="AG385" s="2030"/>
      <c r="AH385" s="2030"/>
      <c r="AI385" s="2030"/>
      <c r="AJ385" s="2030"/>
      <c r="AK385" s="720"/>
      <c r="AL385" s="720"/>
    </row>
    <row r="386" spans="1:96" ht="12.75" customHeight="1">
      <c r="A386" s="720"/>
      <c r="B386" s="720"/>
      <c r="C386" s="720"/>
      <c r="D386" s="58" t="s">
        <v>466</v>
      </c>
      <c r="E386" s="720"/>
      <c r="F386" s="720"/>
      <c r="G386" s="720"/>
      <c r="H386" s="720"/>
      <c r="I386" s="720"/>
      <c r="J386" s="2262" t="s">
        <v>2555</v>
      </c>
      <c r="K386" s="2262"/>
      <c r="L386" s="2262"/>
      <c r="M386" s="2262"/>
      <c r="N386" s="2262"/>
      <c r="O386" s="2262"/>
      <c r="P386" s="2262"/>
      <c r="Q386" s="2262"/>
      <c r="R386" s="2262"/>
      <c r="S386" s="2262"/>
      <c r="T386" s="2262"/>
      <c r="U386" s="2262"/>
      <c r="V386" s="58" t="s">
        <v>466</v>
      </c>
      <c r="W386" s="14"/>
      <c r="X386" s="14"/>
      <c r="Y386" s="14"/>
      <c r="Z386" s="14"/>
      <c r="AA386" s="14"/>
      <c r="AB386" s="14"/>
      <c r="AC386" s="2030" t="s">
        <v>2555</v>
      </c>
      <c r="AD386" s="2030"/>
      <c r="AE386" s="2030"/>
      <c r="AF386" s="2030"/>
      <c r="AG386" s="2030"/>
      <c r="AH386" s="2030"/>
      <c r="AI386" s="2030"/>
      <c r="AJ386" s="2030"/>
      <c r="AK386" s="720"/>
      <c r="AL386" s="720"/>
    </row>
    <row r="387" spans="1:96" ht="12.75" customHeight="1">
      <c r="A387" s="720"/>
      <c r="B387" s="720"/>
      <c r="C387" s="720"/>
      <c r="D387" s="480" t="s">
        <v>1382</v>
      </c>
      <c r="E387" s="720"/>
      <c r="F387" s="720"/>
      <c r="G387" s="720"/>
      <c r="H387" s="720"/>
      <c r="I387" s="88"/>
      <c r="J387" s="2319" t="s">
        <v>2556</v>
      </c>
      <c r="K387" s="2319"/>
      <c r="L387" s="2319"/>
      <c r="M387" s="2319"/>
      <c r="N387" s="2319"/>
      <c r="O387" s="2319"/>
      <c r="P387" s="2319"/>
      <c r="Q387" s="2319"/>
      <c r="R387" s="2319"/>
      <c r="S387" s="2319"/>
      <c r="T387" s="2319"/>
      <c r="U387" s="2319"/>
      <c r="V387" s="2030"/>
      <c r="W387" s="2030"/>
      <c r="X387" s="2030"/>
      <c r="Y387" s="2030"/>
      <c r="Z387" s="2030"/>
      <c r="AA387" s="2030"/>
      <c r="AB387" s="2030"/>
      <c r="AC387" s="2030"/>
      <c r="AD387" s="2030"/>
      <c r="AE387" s="2030"/>
      <c r="AF387" s="2030"/>
      <c r="AG387" s="2030"/>
      <c r="AH387" s="2030"/>
      <c r="AI387" s="2030"/>
      <c r="AJ387" s="2030"/>
      <c r="AK387" s="720"/>
      <c r="AL387" s="720"/>
    </row>
    <row r="388" spans="1:96" ht="12.75" customHeight="1">
      <c r="D388" s="12" t="s">
        <v>4</v>
      </c>
      <c r="Q388" s="2447">
        <v>43742</v>
      </c>
      <c r="R388" s="2447"/>
      <c r="S388" s="2447"/>
      <c r="T388" s="2447"/>
      <c r="U388" s="2447"/>
      <c r="V388" s="12" t="s">
        <v>320</v>
      </c>
      <c r="AI388" s="2267" t="s">
        <v>708</v>
      </c>
      <c r="AJ388" s="2267"/>
    </row>
    <row r="389" spans="1:96" ht="12.75" customHeight="1">
      <c r="D389" s="12" t="s">
        <v>5</v>
      </c>
      <c r="Q389" s="2299"/>
      <c r="R389" s="2300"/>
      <c r="S389" s="2300"/>
      <c r="T389" s="2300"/>
      <c r="U389" s="2300"/>
      <c r="W389" s="33" t="s">
        <v>78</v>
      </c>
      <c r="AG389" s="2448"/>
      <c r="AH389" s="2448"/>
      <c r="AI389" s="2448"/>
      <c r="AJ389" s="2448"/>
    </row>
    <row r="390" spans="1:96" ht="12.75" customHeight="1">
      <c r="D390" s="12" t="s">
        <v>450</v>
      </c>
      <c r="Q390" s="2316">
        <v>3000000</v>
      </c>
      <c r="R390" s="2316"/>
      <c r="S390" s="2316"/>
      <c r="T390" s="2316"/>
      <c r="U390" s="2316"/>
      <c r="V390" s="58" t="s">
        <v>1385</v>
      </c>
      <c r="AG390" s="2551"/>
      <c r="AH390" s="2551"/>
      <c r="AI390" s="2551"/>
      <c r="AJ390" s="2551"/>
    </row>
    <row r="391" spans="1:96" ht="12.75" customHeight="1">
      <c r="D391" s="12" t="s">
        <v>93</v>
      </c>
      <c r="I391" s="2350" t="s">
        <v>2600</v>
      </c>
      <c r="J391" s="2482"/>
      <c r="K391" s="2482"/>
      <c r="L391" s="2482"/>
      <c r="M391" s="2482"/>
      <c r="N391" s="2482"/>
      <c r="Q391" s="57" t="s">
        <v>212</v>
      </c>
      <c r="S391" s="2446">
        <v>1044</v>
      </c>
      <c r="T391" s="2446"/>
      <c r="U391" s="2446"/>
      <c r="V391" s="12" t="s">
        <v>77</v>
      </c>
      <c r="AI391" s="2267" t="s">
        <v>708</v>
      </c>
      <c r="AJ391" s="2267"/>
    </row>
    <row r="392" spans="1:96" ht="12.75" customHeight="1">
      <c r="D392" s="12" t="s">
        <v>321</v>
      </c>
      <c r="Q392" s="2245"/>
      <c r="R392" s="2245"/>
      <c r="S392" s="2245"/>
      <c r="T392" s="2245"/>
      <c r="U392" s="2245"/>
      <c r="V392" s="12" t="s">
        <v>322</v>
      </c>
      <c r="AG392" s="2448"/>
      <c r="AH392" s="2448"/>
      <c r="AI392" s="2448"/>
      <c r="AJ392" s="2448"/>
    </row>
    <row r="393" spans="1:96" ht="12.75" customHeight="1">
      <c r="D393" s="12" t="s">
        <v>323</v>
      </c>
      <c r="Q393" s="2491">
        <v>1.14E-2</v>
      </c>
      <c r="R393" s="2491"/>
      <c r="S393" s="2491"/>
      <c r="T393" s="2491"/>
      <c r="U393" s="2491"/>
      <c r="V393" s="720" t="s">
        <v>1362</v>
      </c>
      <c r="AG393" s="2448"/>
      <c r="AH393" s="2448"/>
      <c r="AI393" s="2448"/>
      <c r="AJ393" s="2448"/>
    </row>
    <row r="394" spans="1:96" ht="12.75">
      <c r="D394" s="720" t="s">
        <v>1361</v>
      </c>
      <c r="V394" s="720"/>
      <c r="AG394" s="2448"/>
      <c r="AH394" s="2448"/>
      <c r="AI394" s="2448"/>
      <c r="AJ394" s="244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267" t="s">
        <v>708</v>
      </c>
      <c r="AJ396" s="2267"/>
      <c r="AM396" s="39"/>
      <c r="AN396" s="39"/>
      <c r="AO396" s="39"/>
      <c r="AP396" s="39"/>
      <c r="AQ396" s="39"/>
      <c r="AR396" s="39"/>
      <c r="AS396" s="39"/>
      <c r="AT396" s="39"/>
      <c r="AU396" s="39"/>
      <c r="AV396" s="39"/>
      <c r="AW396" s="39"/>
      <c r="AX396" s="39"/>
      <c r="AY396" s="39"/>
      <c r="CR396" s="25"/>
    </row>
    <row r="397" spans="1:96" s="720" customFormat="1" ht="12.75">
      <c r="D397" s="58" t="s">
        <v>2039</v>
      </c>
      <c r="T397" s="2497"/>
      <c r="U397" s="2497"/>
      <c r="V397" s="2497"/>
      <c r="W397" s="2497"/>
      <c r="X397" s="2497"/>
      <c r="Y397" s="2497"/>
      <c r="Z397" s="2497"/>
      <c r="AA397" s="2497"/>
      <c r="AB397" s="2497"/>
      <c r="AC397" s="2497"/>
      <c r="AD397" s="2497"/>
      <c r="AE397" s="2497"/>
      <c r="AF397" s="2497"/>
      <c r="AG397" s="2497"/>
      <c r="AH397" s="2497"/>
      <c r="AI397" s="2497"/>
      <c r="AJ397" s="2497"/>
      <c r="AM397" s="39"/>
      <c r="AN397" s="39"/>
      <c r="AO397" s="39"/>
      <c r="AP397" s="39"/>
      <c r="AQ397" s="39"/>
      <c r="AR397" s="39"/>
      <c r="AS397" s="39"/>
      <c r="AT397" s="39"/>
      <c r="AU397" s="39"/>
      <c r="AV397" s="39"/>
      <c r="AW397" s="39"/>
      <c r="AX397" s="39"/>
      <c r="AY397" s="39"/>
      <c r="CR397" s="25"/>
    </row>
    <row r="398" spans="1:96" s="720" customFormat="1" ht="12.75">
      <c r="D398" s="58" t="s">
        <v>2038</v>
      </c>
      <c r="T398" s="2497"/>
      <c r="U398" s="2497"/>
      <c r="V398" s="2497"/>
      <c r="W398" s="2497"/>
      <c r="X398" s="2497"/>
      <c r="Y398" s="2497"/>
      <c r="Z398" s="2497"/>
      <c r="AA398" s="2497"/>
      <c r="AB398" s="2497"/>
      <c r="AC398" s="2497"/>
      <c r="AD398" s="2497"/>
      <c r="AE398" s="2497"/>
      <c r="AF398" s="2497"/>
      <c r="AG398" s="2497"/>
      <c r="AH398" s="2497"/>
      <c r="AI398" s="2497"/>
      <c r="AJ398" s="2497"/>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497" t="s">
        <v>708</v>
      </c>
      <c r="T400" s="2497"/>
      <c r="U400" s="2497"/>
      <c r="V400" s="480" t="s">
        <v>2032</v>
      </c>
      <c r="W400" s="720"/>
      <c r="X400" s="720"/>
      <c r="Y400" s="720"/>
      <c r="Z400" s="720"/>
      <c r="AA400" s="720"/>
      <c r="AB400" s="39"/>
      <c r="AC400" s="39"/>
      <c r="AD400" s="39"/>
      <c r="AE400" s="39"/>
      <c r="AF400" s="39"/>
      <c r="AG400" s="2572"/>
      <c r="AH400" s="2572"/>
      <c r="AI400" s="2572"/>
      <c r="AJ400" s="2572"/>
      <c r="AK400" s="39"/>
      <c r="AL400" s="720"/>
    </row>
    <row r="401" spans="1:96" s="720" customFormat="1" ht="12.75">
      <c r="D401" s="58" t="s">
        <v>2028</v>
      </c>
      <c r="S401" s="2497" t="s">
        <v>628</v>
      </c>
      <c r="T401" s="2497"/>
      <c r="U401" s="2497"/>
      <c r="V401" s="480" t="s">
        <v>2034</v>
      </c>
      <c r="AB401" s="39"/>
      <c r="AC401" s="39"/>
      <c r="AD401" s="39"/>
      <c r="AE401" s="2573"/>
      <c r="AF401" s="2573"/>
      <c r="AG401" s="2573"/>
      <c r="AH401" s="2573"/>
      <c r="AI401" s="2573"/>
      <c r="AJ401" s="2573"/>
      <c r="AK401" s="39"/>
      <c r="AM401" s="39"/>
      <c r="AN401" s="39"/>
      <c r="AO401" s="39"/>
      <c r="AP401" s="39"/>
      <c r="AQ401" s="39"/>
      <c r="AR401" s="39"/>
      <c r="AS401" s="39"/>
      <c r="AT401" s="39"/>
      <c r="AU401" s="39"/>
      <c r="AV401" s="39"/>
      <c r="AW401" s="39"/>
      <c r="AX401" s="39"/>
      <c r="AY401" s="39"/>
      <c r="CR401" s="25"/>
    </row>
    <row r="402" spans="1:96" s="720" customFormat="1" ht="12.75">
      <c r="D402" s="58" t="s">
        <v>2030</v>
      </c>
      <c r="K402" s="2541"/>
      <c r="L402" s="2541"/>
      <c r="M402" s="2541"/>
      <c r="N402" s="2541"/>
      <c r="O402" s="2541"/>
      <c r="P402" s="2541"/>
      <c r="Q402" s="2541"/>
      <c r="R402" s="2541"/>
      <c r="S402" s="2541"/>
      <c r="T402" s="2541"/>
      <c r="U402" s="2541"/>
      <c r="V402" s="2541"/>
      <c r="W402" s="2541"/>
      <c r="X402" s="2541"/>
      <c r="Y402" s="2541"/>
      <c r="Z402" s="2541"/>
      <c r="AA402" s="2541"/>
      <c r="AB402" s="2541"/>
      <c r="AC402" s="2541"/>
      <c r="AD402" s="2541"/>
      <c r="AE402" s="2541"/>
      <c r="AF402" s="2541"/>
      <c r="AG402" s="2541"/>
      <c r="AH402" s="2541"/>
      <c r="AI402" s="2541"/>
      <c r="AJ402" s="2541"/>
      <c r="AK402" s="39"/>
      <c r="AM402" s="39"/>
      <c r="AN402" s="39"/>
      <c r="AO402" s="39"/>
      <c r="AP402" s="39"/>
      <c r="AQ402" s="39"/>
      <c r="AR402" s="39"/>
      <c r="AS402" s="39"/>
      <c r="AT402" s="39"/>
      <c r="AU402" s="39"/>
      <c r="AV402" s="39"/>
      <c r="AW402" s="39"/>
      <c r="AX402" s="39"/>
      <c r="AY402" s="39"/>
      <c r="CR402" s="25"/>
    </row>
    <row r="403" spans="1:96" s="720" customFormat="1" ht="12.75">
      <c r="D403" s="58" t="s">
        <v>2033</v>
      </c>
      <c r="K403" s="2541"/>
      <c r="L403" s="2541"/>
      <c r="M403" s="2541"/>
      <c r="N403" s="2541"/>
      <c r="O403" s="2541"/>
      <c r="P403" s="2541"/>
      <c r="Q403" s="2541"/>
      <c r="R403" s="2541"/>
      <c r="S403" s="2541"/>
      <c r="T403" s="2541"/>
      <c r="U403" s="2541"/>
      <c r="V403" s="2541"/>
      <c r="W403" s="2541"/>
      <c r="X403" s="2541"/>
      <c r="Y403" s="2541"/>
      <c r="Z403" s="2541"/>
      <c r="AA403" s="2541"/>
      <c r="AB403" s="2541"/>
      <c r="AC403" s="2541"/>
      <c r="AD403" s="2541"/>
      <c r="AE403" s="2541"/>
      <c r="AF403" s="2541"/>
      <c r="AG403" s="2541"/>
      <c r="AH403" s="2541"/>
      <c r="AI403" s="2541"/>
      <c r="AJ403" s="2541"/>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75" t="s">
        <v>1388</v>
      </c>
      <c r="T404" s="2575"/>
      <c r="U404" s="2575"/>
      <c r="V404" s="2575"/>
      <c r="W404" s="2575"/>
      <c r="X404" s="2575"/>
      <c r="Y404" s="2575"/>
      <c r="Z404" s="2575"/>
      <c r="AA404" s="2575"/>
      <c r="AB404" s="2575"/>
      <c r="AC404" s="2575"/>
      <c r="AD404" s="2575"/>
      <c r="AE404" s="2575"/>
      <c r="AF404" s="2575"/>
      <c r="AG404" s="2575"/>
      <c r="AH404" s="2575"/>
      <c r="AI404" s="2575"/>
      <c r="AJ404" s="2575"/>
      <c r="AK404" s="39"/>
      <c r="AL404" s="39"/>
      <c r="AM404" s="39"/>
      <c r="AN404" s="39"/>
      <c r="AO404" s="39"/>
      <c r="AP404" s="39"/>
      <c r="AQ404" s="39"/>
      <c r="AR404" s="39"/>
      <c r="AS404" s="39"/>
      <c r="AT404" s="39"/>
      <c r="AU404" s="39"/>
      <c r="AV404" s="39"/>
      <c r="AW404" s="39"/>
      <c r="AX404" s="39"/>
      <c r="AY404" s="39"/>
      <c r="CR404" s="25"/>
    </row>
    <row r="405" spans="1:96" s="720" customFormat="1" ht="12.75">
      <c r="D405" s="2574" t="s">
        <v>2035</v>
      </c>
      <c r="E405" s="2574"/>
      <c r="F405" s="2574"/>
      <c r="G405" s="2574"/>
      <c r="H405" s="2574"/>
      <c r="I405" s="2574"/>
      <c r="J405" s="2574"/>
      <c r="K405" s="2574"/>
      <c r="L405" s="2574"/>
      <c r="M405" s="2574"/>
      <c r="N405" s="2574"/>
      <c r="O405" s="2574"/>
      <c r="P405" s="2574"/>
      <c r="Q405" s="2574"/>
      <c r="R405" s="2574"/>
      <c r="S405" s="2574"/>
      <c r="T405" s="2574"/>
      <c r="U405" s="2574"/>
      <c r="V405" s="2574"/>
      <c r="W405" s="2574"/>
      <c r="X405" s="2574"/>
      <c r="Y405" s="2574"/>
      <c r="Z405" s="2574"/>
      <c r="AA405" s="2574"/>
      <c r="AB405" s="2574"/>
      <c r="AC405" s="2574"/>
      <c r="AD405" s="2574"/>
      <c r="AE405" s="2574"/>
      <c r="AF405" s="2574"/>
      <c r="AG405" s="2574"/>
      <c r="AH405" s="2574"/>
      <c r="AI405" s="2574"/>
      <c r="AJ405" s="2574"/>
      <c r="AK405" s="39"/>
      <c r="AL405" s="39"/>
      <c r="AM405" s="39"/>
      <c r="AN405" s="39"/>
      <c r="AO405" s="39"/>
      <c r="AP405" s="39"/>
      <c r="AQ405" s="39"/>
      <c r="AR405" s="39"/>
      <c r="AS405" s="39"/>
      <c r="AT405" s="39"/>
      <c r="AU405" s="39"/>
      <c r="AV405" s="39"/>
      <c r="AW405" s="39"/>
      <c r="AX405" s="39"/>
      <c r="AY405" s="39"/>
      <c r="CR405" s="25"/>
    </row>
    <row r="406" spans="1:96" s="720" customFormat="1" ht="12.75">
      <c r="D406" s="2574"/>
      <c r="E406" s="2574"/>
      <c r="F406" s="2574"/>
      <c r="G406" s="2574"/>
      <c r="H406" s="2574"/>
      <c r="I406" s="2574"/>
      <c r="J406" s="2574"/>
      <c r="K406" s="2574"/>
      <c r="L406" s="2574"/>
      <c r="M406" s="2574"/>
      <c r="N406" s="2574"/>
      <c r="O406" s="2574"/>
      <c r="P406" s="2574"/>
      <c r="Q406" s="2574"/>
      <c r="R406" s="2574"/>
      <c r="S406" s="2574"/>
      <c r="T406" s="2574"/>
      <c r="U406" s="2574"/>
      <c r="V406" s="2574"/>
      <c r="W406" s="2574"/>
      <c r="X406" s="2574"/>
      <c r="Y406" s="2574"/>
      <c r="Z406" s="2574"/>
      <c r="AA406" s="2574"/>
      <c r="AB406" s="2574"/>
      <c r="AC406" s="2574"/>
      <c r="AD406" s="2574"/>
      <c r="AE406" s="2574"/>
      <c r="AF406" s="2574"/>
      <c r="AG406" s="2574"/>
      <c r="AH406" s="2574"/>
      <c r="AI406" s="2574"/>
      <c r="AJ406" s="2574"/>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88" t="s">
        <v>2572</v>
      </c>
      <c r="J409" s="2288"/>
      <c r="K409" s="2288"/>
      <c r="L409" s="2288"/>
      <c r="M409" s="2288"/>
      <c r="N409" s="2288"/>
      <c r="O409" s="2288"/>
      <c r="P409" s="2288"/>
      <c r="Q409" s="2288"/>
      <c r="R409" s="2288"/>
      <c r="S409" s="2288"/>
      <c r="T409" s="2288"/>
      <c r="U409" s="2288"/>
      <c r="V409" s="2288"/>
      <c r="W409" s="2288"/>
      <c r="X409" s="2288"/>
      <c r="Y409" s="2288"/>
      <c r="Z409" s="2288"/>
      <c r="AA409" s="2288"/>
      <c r="AB409" s="2288"/>
      <c r="AC409" s="2288"/>
      <c r="AD409" s="2288"/>
      <c r="AE409" s="2288"/>
    </row>
    <row r="410" spans="1:96" ht="12.75" customHeight="1">
      <c r="C410" s="25"/>
      <c r="D410" s="25"/>
      <c r="E410" s="12" t="s">
        <v>111</v>
      </c>
      <c r="F410" s="25"/>
      <c r="G410" s="25"/>
      <c r="H410" s="25"/>
      <c r="I410" s="25"/>
      <c r="J410" s="25"/>
      <c r="K410" s="25"/>
      <c r="L410" s="25"/>
      <c r="M410" s="25"/>
      <c r="N410" s="25"/>
      <c r="O410" s="25"/>
      <c r="P410" s="720"/>
      <c r="Q410" s="720"/>
      <c r="R410" s="2267" t="s">
        <v>628</v>
      </c>
      <c r="S410" s="2267"/>
      <c r="T410" s="12" t="s">
        <v>606</v>
      </c>
      <c r="U410" s="720"/>
      <c r="V410" s="720"/>
      <c r="W410" s="720"/>
      <c r="X410" s="720"/>
      <c r="Y410" s="720"/>
      <c r="Z410" s="720"/>
      <c r="AA410" s="720"/>
      <c r="AB410" s="720"/>
      <c r="AC410" s="720"/>
      <c r="AD410" s="2276">
        <v>0</v>
      </c>
      <c r="AE410" s="2276"/>
      <c r="AF410" s="720"/>
    </row>
    <row r="411" spans="1:96" ht="12.75">
      <c r="C411" s="25"/>
      <c r="E411" s="12" t="s">
        <v>112</v>
      </c>
      <c r="F411" s="720"/>
      <c r="G411" s="720"/>
      <c r="H411" s="720"/>
      <c r="I411" s="720"/>
      <c r="J411" s="720"/>
      <c r="K411" s="720"/>
      <c r="L411" s="720"/>
      <c r="M411" s="720"/>
      <c r="N411" s="25"/>
      <c r="O411" s="25"/>
      <c r="P411" s="720"/>
      <c r="Q411" s="720"/>
      <c r="R411" s="2267" t="s">
        <v>580</v>
      </c>
      <c r="S411" s="2267"/>
      <c r="T411" s="12" t="s">
        <v>606</v>
      </c>
      <c r="U411" s="720"/>
      <c r="V411" s="720"/>
      <c r="W411" s="720"/>
      <c r="X411" s="720"/>
      <c r="Y411" s="720"/>
      <c r="Z411" s="720"/>
      <c r="AA411" s="720"/>
      <c r="AB411" s="720"/>
      <c r="AC411" s="720"/>
      <c r="AD411" s="2276">
        <v>3</v>
      </c>
      <c r="AE411" s="2276"/>
      <c r="AF411" s="720"/>
    </row>
    <row r="412" spans="1:96" ht="12.75" customHeight="1">
      <c r="C412" s="25"/>
      <c r="E412" s="12" t="s">
        <v>113</v>
      </c>
      <c r="F412" s="720"/>
      <c r="G412" s="720"/>
      <c r="H412" s="720"/>
      <c r="I412" s="720"/>
      <c r="J412" s="720"/>
      <c r="K412" s="720"/>
      <c r="L412" s="720"/>
      <c r="M412" s="720"/>
      <c r="N412" s="25"/>
      <c r="O412" s="25"/>
      <c r="P412" s="720"/>
      <c r="Q412" s="720"/>
      <c r="R412" s="720"/>
      <c r="S412" s="2267" t="s">
        <v>628</v>
      </c>
      <c r="T412" s="2267"/>
      <c r="U412" s="720"/>
      <c r="V412" s="720"/>
      <c r="W412" s="720"/>
      <c r="X412" s="720"/>
      <c r="Y412" s="720"/>
      <c r="Z412" s="720"/>
      <c r="AA412" s="720"/>
      <c r="AB412" s="720"/>
      <c r="AC412" s="720"/>
      <c r="AD412" s="720"/>
      <c r="AE412" s="720"/>
      <c r="AF412" s="720"/>
    </row>
    <row r="413" spans="1:96" ht="12.75" customHeight="1">
      <c r="E413" s="12" t="s">
        <v>175</v>
      </c>
      <c r="F413" s="720"/>
      <c r="G413" s="720"/>
      <c r="H413" s="2489"/>
      <c r="I413" s="2489"/>
      <c r="J413" s="2489"/>
      <c r="K413" s="2489"/>
      <c r="L413" s="2489"/>
      <c r="M413" s="2489"/>
      <c r="N413" s="2489"/>
      <c r="O413" s="2489"/>
      <c r="P413" s="2489"/>
      <c r="Q413" s="2489"/>
      <c r="R413" s="2489"/>
      <c r="S413" s="2489"/>
      <c r="T413" s="2489"/>
      <c r="U413" s="2489"/>
      <c r="V413" s="2489"/>
      <c r="W413" s="2489"/>
      <c r="X413" s="2489"/>
      <c r="Y413" s="2489"/>
      <c r="Z413" s="2489"/>
      <c r="AA413" s="2489"/>
      <c r="AB413" s="2489"/>
      <c r="AC413" s="2489"/>
      <c r="AD413" s="2489"/>
      <c r="AE413" s="2489"/>
      <c r="AF413" s="720"/>
    </row>
    <row r="414" spans="1:96" ht="12.75" customHeight="1">
      <c r="E414" s="25"/>
      <c r="F414" s="720"/>
      <c r="G414" s="720"/>
      <c r="H414" s="2490"/>
      <c r="I414" s="2490"/>
      <c r="J414" s="2490"/>
      <c r="K414" s="2490"/>
      <c r="L414" s="2490"/>
      <c r="M414" s="2490"/>
      <c r="N414" s="2490"/>
      <c r="O414" s="2490"/>
      <c r="P414" s="2490"/>
      <c r="Q414" s="2490"/>
      <c r="R414" s="2490"/>
      <c r="S414" s="2490"/>
      <c r="T414" s="2490"/>
      <c r="U414" s="2490"/>
      <c r="V414" s="2490"/>
      <c r="W414" s="2490"/>
      <c r="X414" s="2490"/>
      <c r="Y414" s="2490"/>
      <c r="Z414" s="2490"/>
      <c r="AA414" s="2490"/>
      <c r="AB414" s="2490"/>
      <c r="AC414" s="2490"/>
      <c r="AD414" s="2490"/>
      <c r="AE414" s="2490"/>
      <c r="AF414" s="720"/>
    </row>
    <row r="415" spans="1:96" ht="12.75" customHeight="1"/>
    <row r="416" spans="1:96" ht="12.75" customHeight="1">
      <c r="A416" s="50" t="s">
        <v>627</v>
      </c>
      <c r="B416" s="50"/>
      <c r="C416" s="50"/>
      <c r="D416" s="50" t="s">
        <v>119</v>
      </c>
      <c r="AF416" s="50" t="s">
        <v>1040</v>
      </c>
    </row>
    <row r="417" spans="1:96" ht="12.75" customHeight="1">
      <c r="E417" s="2439"/>
      <c r="F417" s="2439"/>
      <c r="G417" s="2439"/>
      <c r="H417" s="23" t="s">
        <v>120</v>
      </c>
      <c r="I417" s="2439"/>
      <c r="J417" s="2439"/>
      <c r="K417" s="2439"/>
      <c r="L417" s="12" t="s">
        <v>121</v>
      </c>
      <c r="N417" s="141" t="s">
        <v>612</v>
      </c>
      <c r="P417" s="2351">
        <v>8.36</v>
      </c>
      <c r="Q417" s="2351"/>
      <c r="R417" s="2351"/>
      <c r="S417" s="12" t="s">
        <v>122</v>
      </c>
      <c r="W417" s="2557">
        <f>IF(E417&gt;0,(E417*I417),(P417*43560))</f>
        <v>364161.6</v>
      </c>
      <c r="X417" s="2557"/>
      <c r="Y417" s="2557"/>
      <c r="Z417" s="12" t="s">
        <v>123</v>
      </c>
      <c r="AF417" s="2351">
        <v>19.14</v>
      </c>
      <c r="AG417" s="2351"/>
      <c r="AH417" s="2351"/>
    </row>
    <row r="418" spans="1:96" ht="12.75">
      <c r="E418" s="12" t="s">
        <v>54</v>
      </c>
    </row>
    <row r="419" spans="1:96" ht="12.75" customHeight="1">
      <c r="E419" s="2552"/>
      <c r="F419" s="2552"/>
      <c r="G419" s="2552"/>
      <c r="H419" s="2552"/>
      <c r="I419" s="2552"/>
      <c r="J419" s="2552"/>
      <c r="K419" s="2552"/>
      <c r="L419" s="2552"/>
      <c r="M419" s="2552"/>
      <c r="N419" s="2552"/>
      <c r="O419" s="2552"/>
      <c r="P419" s="2552"/>
      <c r="Q419" s="2552"/>
      <c r="R419" s="2552"/>
      <c r="S419" s="2552"/>
      <c r="T419" s="2552"/>
      <c r="U419" s="2552"/>
      <c r="V419" s="2552"/>
      <c r="W419" s="2552"/>
      <c r="X419" s="2552"/>
      <c r="Y419" s="2552"/>
      <c r="Z419" s="2552"/>
      <c r="AA419" s="2552"/>
      <c r="AB419" s="2552"/>
      <c r="AC419" s="2552"/>
      <c r="AD419" s="2552"/>
      <c r="AE419" s="2552"/>
      <c r="AF419" s="2552"/>
      <c r="AG419" s="2552"/>
      <c r="AH419" s="2552"/>
      <c r="AI419" s="2552"/>
      <c r="AJ419" s="2552"/>
    </row>
    <row r="420" spans="1:96" s="39" customFormat="1" ht="12.75" customHeight="1">
      <c r="E420" s="254" t="s">
        <v>2251</v>
      </c>
      <c r="F420" s="1825"/>
      <c r="G420" s="1825"/>
      <c r="H420" s="1825"/>
      <c r="I420" s="2352">
        <v>8.36</v>
      </c>
      <c r="J420" s="2352"/>
      <c r="K420" s="2352"/>
      <c r="L420" s="1825"/>
      <c r="M420" s="254"/>
      <c r="N420" s="1825"/>
      <c r="O420" s="1825"/>
      <c r="P420" s="2495">
        <f>(CM636+CS644+CS661)/I420</f>
        <v>19.138755980861244</v>
      </c>
      <c r="Q420" s="2495"/>
      <c r="R420" s="2495"/>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267">
        <v>10</v>
      </c>
      <c r="Q423" s="2267"/>
      <c r="S423" s="12" t="s">
        <v>195</v>
      </c>
      <c r="AE423" s="2267">
        <v>9</v>
      </c>
      <c r="AF423" s="2267"/>
    </row>
    <row r="424" spans="1:96" ht="12.75">
      <c r="E424" s="12" t="s">
        <v>196</v>
      </c>
      <c r="P424" s="2267">
        <v>1</v>
      </c>
      <c r="Q424" s="2267"/>
      <c r="S424" s="12" t="s">
        <v>136</v>
      </c>
      <c r="AE424" s="2267" t="s">
        <v>628</v>
      </c>
      <c r="AF424" s="2267"/>
    </row>
    <row r="425" spans="1:96" ht="12.75">
      <c r="F425" s="67" t="s">
        <v>137</v>
      </c>
    </row>
    <row r="426" spans="1:96" ht="12.75">
      <c r="F426" s="2562"/>
      <c r="G426" s="2562"/>
      <c r="H426" s="2562"/>
      <c r="I426" s="2562"/>
      <c r="J426" s="2562"/>
      <c r="K426" s="2562"/>
      <c r="L426" s="2562"/>
      <c r="M426" s="2562"/>
      <c r="N426" s="2562"/>
      <c r="O426" s="2562"/>
      <c r="P426" s="2562"/>
      <c r="Q426" s="2562"/>
      <c r="R426" s="2562"/>
      <c r="S426" s="2562"/>
      <c r="T426" s="2562"/>
      <c r="U426" s="2562"/>
      <c r="V426" s="2562"/>
      <c r="W426" s="2562"/>
      <c r="X426" s="2562"/>
      <c r="Y426" s="2562"/>
      <c r="Z426" s="2562"/>
      <c r="AA426" s="2562"/>
      <c r="AB426" s="2562"/>
      <c r="AC426" s="2562"/>
      <c r="AD426" s="2562"/>
      <c r="AE426" s="2562"/>
      <c r="AF426" s="2562"/>
      <c r="AG426" s="2562"/>
      <c r="AH426" s="2562"/>
    </row>
    <row r="427" spans="1:96" ht="12.75" customHeight="1">
      <c r="F427" s="2474"/>
      <c r="G427" s="2474"/>
      <c r="H427" s="2474"/>
      <c r="I427" s="2474"/>
      <c r="J427" s="2474"/>
      <c r="K427" s="2474"/>
      <c r="L427" s="2474"/>
      <c r="M427" s="2474"/>
      <c r="N427" s="2474"/>
      <c r="O427" s="2474"/>
      <c r="P427" s="2474"/>
      <c r="Q427" s="2474"/>
      <c r="R427" s="2474"/>
      <c r="S427" s="2474"/>
      <c r="T427" s="2474"/>
      <c r="U427" s="2474"/>
      <c r="V427" s="2474"/>
      <c r="W427" s="2474"/>
      <c r="X427" s="2474"/>
      <c r="Y427" s="2474"/>
      <c r="Z427" s="2474"/>
      <c r="AA427" s="2474"/>
      <c r="AB427" s="2474"/>
      <c r="AC427" s="2474"/>
      <c r="AD427" s="2474"/>
      <c r="AE427" s="2474"/>
      <c r="AF427" s="2474"/>
      <c r="AG427" s="2474"/>
      <c r="AH427" s="2474"/>
    </row>
    <row r="428" spans="1:96" ht="12.75" customHeight="1">
      <c r="E428" s="12" t="s">
        <v>645</v>
      </c>
      <c r="N428" s="39"/>
      <c r="O428" s="39"/>
      <c r="P428" s="235"/>
      <c r="Q428" s="2267" t="s">
        <v>580</v>
      </c>
      <c r="R428" s="2267"/>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267" t="s">
        <v>628</v>
      </c>
      <c r="AG429" s="2563"/>
    </row>
    <row r="430" spans="1:96" ht="12.75" customHeight="1">
      <c r="S430" s="25"/>
      <c r="T430" s="25"/>
    </row>
    <row r="431" spans="1:96" ht="12.75" customHeight="1">
      <c r="A431" s="50"/>
      <c r="B431" s="50"/>
      <c r="C431" s="50"/>
      <c r="E431" s="7" t="s">
        <v>319</v>
      </c>
      <c r="Z431" s="2267" t="s">
        <v>708</v>
      </c>
      <c r="AA431" s="226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267" t="s">
        <v>628</v>
      </c>
      <c r="AA433" s="2267"/>
    </row>
    <row r="434" spans="1:110" ht="12.75" customHeight="1"/>
    <row r="435" spans="1:110" ht="12.75" customHeight="1">
      <c r="A435" s="50" t="s">
        <v>502</v>
      </c>
      <c r="B435" s="50"/>
      <c r="C435" s="50"/>
      <c r="D435" s="50" t="s">
        <v>826</v>
      </c>
      <c r="AF435" s="80"/>
    </row>
    <row r="436" spans="1:110" ht="12.75" customHeight="1">
      <c r="D436" s="2306" t="s">
        <v>46</v>
      </c>
      <c r="E436" s="2307"/>
      <c r="F436" s="2307"/>
      <c r="G436" s="2307"/>
      <c r="H436" s="2307"/>
      <c r="I436" s="2307"/>
      <c r="J436" s="2307"/>
      <c r="K436" s="2307"/>
      <c r="L436" s="2307"/>
      <c r="M436" s="2307"/>
      <c r="N436" s="2307"/>
      <c r="O436" s="2307"/>
      <c r="P436" s="2307"/>
      <c r="Q436" s="2307"/>
      <c r="R436" s="2307"/>
      <c r="S436" s="2307"/>
      <c r="T436" s="2307"/>
      <c r="U436" s="2307"/>
      <c r="V436" s="2307"/>
      <c r="W436" s="2307"/>
      <c r="X436" s="2307"/>
      <c r="Y436" s="2307"/>
      <c r="Z436" s="2307"/>
      <c r="AA436" s="2307"/>
      <c r="AB436" s="2307"/>
      <c r="AC436" s="2307"/>
      <c r="AD436" s="2307"/>
      <c r="AE436" s="2307"/>
      <c r="AF436" s="2550"/>
      <c r="AG436" s="2547">
        <v>160</v>
      </c>
      <c r="AH436" s="2547"/>
      <c r="AI436" s="2547"/>
      <c r="AJ436" s="2547"/>
    </row>
    <row r="437" spans="1:110" ht="12.75" customHeight="1">
      <c r="D437" s="2514" t="s">
        <v>1445</v>
      </c>
      <c r="E437" s="2515"/>
      <c r="F437" s="2515"/>
      <c r="G437" s="2515"/>
      <c r="H437" s="2515"/>
      <c r="I437" s="2515"/>
      <c r="J437" s="2515"/>
      <c r="K437" s="2515"/>
      <c r="L437" s="2515"/>
      <c r="M437" s="2515"/>
      <c r="N437" s="2515"/>
      <c r="O437" s="2515"/>
      <c r="P437" s="2515"/>
      <c r="Q437" s="2515"/>
      <c r="R437" s="2515"/>
      <c r="S437" s="2515"/>
      <c r="T437" s="2515"/>
      <c r="U437" s="2515"/>
      <c r="V437" s="2515"/>
      <c r="W437" s="2515"/>
      <c r="X437" s="2515"/>
      <c r="Y437" s="2515"/>
      <c r="Z437" s="2515"/>
      <c r="AA437" s="2515"/>
      <c r="AB437" s="2515"/>
      <c r="AC437" s="2515"/>
      <c r="AD437" s="2515"/>
      <c r="AE437" s="2515"/>
      <c r="AF437" s="2516"/>
      <c r="AG437" s="2561"/>
      <c r="AH437" s="2369"/>
      <c r="AI437" s="2369"/>
      <c r="AJ437" s="2369"/>
    </row>
    <row r="438" spans="1:110" ht="12.75" customHeight="1">
      <c r="D438" s="2514" t="s">
        <v>1149</v>
      </c>
      <c r="E438" s="2515"/>
      <c r="F438" s="2515"/>
      <c r="G438" s="2515"/>
      <c r="H438" s="2515"/>
      <c r="I438" s="2515"/>
      <c r="J438" s="2515"/>
      <c r="K438" s="2515"/>
      <c r="L438" s="2515"/>
      <c r="M438" s="2515"/>
      <c r="N438" s="2515"/>
      <c r="O438" s="2515"/>
      <c r="P438" s="2515"/>
      <c r="Q438" s="2515"/>
      <c r="R438" s="2515"/>
      <c r="S438" s="2515"/>
      <c r="T438" s="2515"/>
      <c r="U438" s="2515"/>
      <c r="V438" s="2515"/>
      <c r="W438" s="2515"/>
      <c r="X438" s="2515"/>
      <c r="Y438" s="2515"/>
      <c r="Z438" s="2515"/>
      <c r="AA438" s="2515"/>
      <c r="AB438" s="2515"/>
      <c r="AC438" s="2515"/>
      <c r="AD438" s="2515"/>
      <c r="AE438" s="2515"/>
      <c r="AF438" s="2516"/>
      <c r="AG438" s="2547">
        <v>159</v>
      </c>
      <c r="AH438" s="2547"/>
      <c r="AI438" s="2547"/>
      <c r="AJ438" s="2547"/>
    </row>
    <row r="439" spans="1:110" ht="12.75" customHeight="1">
      <c r="D439" s="2514" t="s">
        <v>1150</v>
      </c>
      <c r="E439" s="2515"/>
      <c r="F439" s="2515"/>
      <c r="G439" s="2515"/>
      <c r="H439" s="2515"/>
      <c r="I439" s="2515"/>
      <c r="J439" s="2515"/>
      <c r="K439" s="2515"/>
      <c r="L439" s="2515"/>
      <c r="M439" s="2515"/>
      <c r="N439" s="2515"/>
      <c r="O439" s="2515"/>
      <c r="P439" s="2515"/>
      <c r="Q439" s="2515"/>
      <c r="R439" s="2515"/>
      <c r="S439" s="2515"/>
      <c r="T439" s="2515"/>
      <c r="U439" s="2515"/>
      <c r="V439" s="2515"/>
      <c r="W439" s="2515"/>
      <c r="X439" s="2515"/>
      <c r="Y439" s="2515"/>
      <c r="Z439" s="2515"/>
      <c r="AA439" s="2515"/>
      <c r="AB439" s="2515"/>
      <c r="AC439" s="2515"/>
      <c r="AD439" s="2515"/>
      <c r="AE439" s="2515"/>
      <c r="AF439" s="2516"/>
      <c r="AG439" s="2547">
        <v>159</v>
      </c>
      <c r="AH439" s="2547"/>
      <c r="AI439" s="2547"/>
      <c r="AJ439" s="2547"/>
    </row>
    <row r="440" spans="1:110" ht="12.75" customHeight="1">
      <c r="D440" s="2514" t="s">
        <v>1152</v>
      </c>
      <c r="E440" s="2515"/>
      <c r="F440" s="2515"/>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2516"/>
      <c r="AG440" s="2556">
        <f>IF(ISERROR(AG439/AG438),"",AG439/AG438)</f>
        <v>1</v>
      </c>
      <c r="AH440" s="2556"/>
      <c r="AI440" s="2556"/>
      <c r="AJ440" s="2556"/>
    </row>
    <row r="441" spans="1:110" ht="12.75" customHeight="1">
      <c r="D441" s="2514" t="s">
        <v>1151</v>
      </c>
      <c r="E441" s="2515"/>
      <c r="F441" s="2515"/>
      <c r="G441" s="2515"/>
      <c r="H441" s="2515"/>
      <c r="I441" s="2515"/>
      <c r="J441" s="2515"/>
      <c r="K441" s="2515"/>
      <c r="L441" s="2515"/>
      <c r="M441" s="2515"/>
      <c r="N441" s="2515"/>
      <c r="O441" s="2515"/>
      <c r="P441" s="2515"/>
      <c r="Q441" s="2515"/>
      <c r="R441" s="2515"/>
      <c r="S441" s="2515"/>
      <c r="T441" s="2515"/>
      <c r="U441" s="2515"/>
      <c r="V441" s="2515"/>
      <c r="W441" s="2515"/>
      <c r="X441" s="2515"/>
      <c r="Y441" s="2515"/>
      <c r="Z441" s="2515"/>
      <c r="AA441" s="2515"/>
      <c r="AB441" s="2515"/>
      <c r="AC441" s="2515"/>
      <c r="AD441" s="2515"/>
      <c r="AE441" s="2515"/>
      <c r="AF441" s="2516"/>
      <c r="AG441" s="2555">
        <v>170212</v>
      </c>
      <c r="AH441" s="2555"/>
      <c r="AI441" s="2555"/>
      <c r="AJ441" s="2555"/>
    </row>
    <row r="442" spans="1:110" ht="12.75" customHeight="1">
      <c r="D442" s="2514" t="s">
        <v>1153</v>
      </c>
      <c r="E442" s="2515"/>
      <c r="F442" s="2515"/>
      <c r="G442" s="2515"/>
      <c r="H442" s="2515"/>
      <c r="I442" s="2515"/>
      <c r="J442" s="2515"/>
      <c r="K442" s="2515"/>
      <c r="L442" s="2515"/>
      <c r="M442" s="2515"/>
      <c r="N442" s="2515"/>
      <c r="O442" s="2515"/>
      <c r="P442" s="2515"/>
      <c r="Q442" s="2515"/>
      <c r="R442" s="2515"/>
      <c r="S442" s="2515"/>
      <c r="T442" s="2515"/>
      <c r="U442" s="2515"/>
      <c r="V442" s="2515"/>
      <c r="W442" s="2515"/>
      <c r="X442" s="2515"/>
      <c r="Y442" s="2515"/>
      <c r="Z442" s="2515"/>
      <c r="AA442" s="2515"/>
      <c r="AB442" s="2515"/>
      <c r="AC442" s="2515"/>
      <c r="AD442" s="2515"/>
      <c r="AE442" s="2515"/>
      <c r="AF442" s="2516"/>
      <c r="AG442" s="2555">
        <v>170212</v>
      </c>
      <c r="AH442" s="2555"/>
      <c r="AI442" s="2555"/>
      <c r="AJ442" s="2555"/>
    </row>
    <row r="443" spans="1:110" ht="12.75" customHeight="1">
      <c r="D443" s="2514" t="s">
        <v>1154</v>
      </c>
      <c r="E443" s="2515"/>
      <c r="F443" s="2515"/>
      <c r="G443" s="2515"/>
      <c r="H443" s="2515"/>
      <c r="I443" s="2515"/>
      <c r="J443" s="2515"/>
      <c r="K443" s="2515"/>
      <c r="L443" s="2515"/>
      <c r="M443" s="2515"/>
      <c r="N443" s="2515"/>
      <c r="O443" s="2515"/>
      <c r="P443" s="2515"/>
      <c r="Q443" s="2515"/>
      <c r="R443" s="2515"/>
      <c r="S443" s="2515"/>
      <c r="T443" s="2515"/>
      <c r="U443" s="2515"/>
      <c r="V443" s="2515"/>
      <c r="W443" s="2515"/>
      <c r="X443" s="2515"/>
      <c r="Y443" s="2515"/>
      <c r="Z443" s="2515"/>
      <c r="AA443" s="2515"/>
      <c r="AB443" s="2515"/>
      <c r="AC443" s="2515"/>
      <c r="AD443" s="2515"/>
      <c r="AE443" s="2515"/>
      <c r="AF443" s="2516"/>
      <c r="AG443" s="2556">
        <f>IF(ISERROR(AG442/AG441),"",AG442/AG441)</f>
        <v>1</v>
      </c>
      <c r="AH443" s="2556"/>
      <c r="AI443" s="2556"/>
      <c r="AJ443" s="2556"/>
    </row>
    <row r="444" spans="1:110" ht="12.75" customHeight="1">
      <c r="D444" s="2514" t="s">
        <v>1155</v>
      </c>
      <c r="E444" s="2515"/>
      <c r="F444" s="2515"/>
      <c r="G444" s="2515"/>
      <c r="H444" s="2515"/>
      <c r="I444" s="2515"/>
      <c r="J444" s="2515"/>
      <c r="K444" s="2515"/>
      <c r="L444" s="2515"/>
      <c r="M444" s="2515"/>
      <c r="N444" s="2515"/>
      <c r="O444" s="2515"/>
      <c r="P444" s="2515"/>
      <c r="Q444" s="2515"/>
      <c r="R444" s="2515"/>
      <c r="S444" s="2515"/>
      <c r="T444" s="2515"/>
      <c r="U444" s="2515"/>
      <c r="V444" s="2515"/>
      <c r="W444" s="2515"/>
      <c r="X444" s="2515"/>
      <c r="Y444" s="2515"/>
      <c r="Z444" s="2515"/>
      <c r="AA444" s="2515"/>
      <c r="AB444" s="2515"/>
      <c r="AC444" s="2515"/>
      <c r="AD444" s="2515"/>
      <c r="AE444" s="2515"/>
      <c r="AF444" s="2516"/>
      <c r="AG444" s="2556">
        <f>MIN(IF(AG440&gt;AG443,AG443,AG440),1)</f>
        <v>1</v>
      </c>
      <c r="AH444" s="2556"/>
      <c r="AI444" s="2556"/>
      <c r="AJ444" s="2556"/>
    </row>
    <row r="445" spans="1:110" ht="12.75" customHeight="1">
      <c r="D445" s="2514" t="s">
        <v>1420</v>
      </c>
      <c r="E445" s="2307"/>
      <c r="F445" s="2307"/>
      <c r="G445" s="2307"/>
      <c r="H445" s="2307"/>
      <c r="I445" s="2307"/>
      <c r="J445" s="2307"/>
      <c r="K445" s="2307"/>
      <c r="L445" s="2307"/>
      <c r="M445" s="2307"/>
      <c r="N445" s="2307"/>
      <c r="O445" s="2307"/>
      <c r="P445" s="2307"/>
      <c r="Q445" s="2307"/>
      <c r="R445" s="2307"/>
      <c r="S445" s="2307"/>
      <c r="T445" s="2307"/>
      <c r="U445" s="2307"/>
      <c r="V445" s="2307"/>
      <c r="W445" s="2307"/>
      <c r="X445" s="2307"/>
      <c r="Y445" s="2307"/>
      <c r="Z445" s="2307"/>
      <c r="AA445" s="2307"/>
      <c r="AB445" s="2307"/>
      <c r="AC445" s="2307"/>
      <c r="AD445" s="2307"/>
      <c r="AE445" s="2307"/>
      <c r="AF445" s="2550"/>
      <c r="AG445" s="2440">
        <v>2474</v>
      </c>
      <c r="AH445" s="2440"/>
      <c r="AI445" s="2440"/>
      <c r="AJ445" s="2440"/>
    </row>
    <row r="446" spans="1:110" ht="12.75" customHeight="1">
      <c r="D446" s="2306" t="s">
        <v>604</v>
      </c>
      <c r="E446" s="2307"/>
      <c r="F446" s="2307"/>
      <c r="G446" s="2307"/>
      <c r="H446" s="2307"/>
      <c r="I446" s="2307"/>
      <c r="J446" s="2307"/>
      <c r="K446" s="2307"/>
      <c r="L446" s="2307"/>
      <c r="M446" s="2307"/>
      <c r="N446" s="2307"/>
      <c r="O446" s="2307"/>
      <c r="P446" s="2307"/>
      <c r="Q446" s="2307"/>
      <c r="R446" s="2307"/>
      <c r="S446" s="2307"/>
      <c r="T446" s="2307"/>
      <c r="U446" s="2307"/>
      <c r="V446" s="2307"/>
      <c r="W446" s="2307"/>
      <c r="X446" s="2307"/>
      <c r="Y446" s="2307"/>
      <c r="Z446" s="2307"/>
      <c r="AA446" s="2307"/>
      <c r="AB446" s="2307"/>
      <c r="AC446" s="2307"/>
      <c r="AD446" s="2307"/>
      <c r="AE446" s="2307"/>
      <c r="AF446" s="2550"/>
      <c r="AG446" s="2440">
        <v>0</v>
      </c>
      <c r="AH446" s="2440"/>
      <c r="AI446" s="2440"/>
      <c r="AJ446" s="244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514" t="s">
        <v>1421</v>
      </c>
      <c r="E447" s="2307"/>
      <c r="F447" s="2307"/>
      <c r="G447" s="2307"/>
      <c r="H447" s="2307"/>
      <c r="I447" s="2307"/>
      <c r="J447" s="2307"/>
      <c r="K447" s="2307"/>
      <c r="L447" s="2307"/>
      <c r="M447" s="2307"/>
      <c r="N447" s="2307"/>
      <c r="O447" s="2307"/>
      <c r="P447" s="2307"/>
      <c r="Q447" s="2307"/>
      <c r="R447" s="2307"/>
      <c r="S447" s="2307"/>
      <c r="T447" s="2307"/>
      <c r="U447" s="2307"/>
      <c r="V447" s="2307"/>
      <c r="W447" s="2307"/>
      <c r="X447" s="2307"/>
      <c r="Y447" s="2307"/>
      <c r="Z447" s="2307"/>
      <c r="AA447" s="2307"/>
      <c r="AB447" s="2307"/>
      <c r="AC447" s="2307"/>
      <c r="AD447" s="2307"/>
      <c r="AE447" s="2307"/>
      <c r="AF447" s="2550"/>
      <c r="AG447" s="2440">
        <v>3572</v>
      </c>
      <c r="AH447" s="2440"/>
      <c r="AI447" s="2440"/>
      <c r="AJ447" s="244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14" t="s">
        <v>1156</v>
      </c>
      <c r="E448" s="2307"/>
      <c r="F448" s="2307"/>
      <c r="G448" s="2307"/>
      <c r="H448" s="2307"/>
      <c r="I448" s="2307"/>
      <c r="J448" s="2307"/>
      <c r="K448" s="2307"/>
      <c r="L448" s="2307"/>
      <c r="M448" s="2307"/>
      <c r="N448" s="2307"/>
      <c r="O448" s="2307"/>
      <c r="P448" s="2307"/>
      <c r="Q448" s="2307"/>
      <c r="R448" s="2307"/>
      <c r="S448" s="2307"/>
      <c r="T448" s="2307"/>
      <c r="U448" s="2307"/>
      <c r="V448" s="2307"/>
      <c r="W448" s="2307"/>
      <c r="X448" s="2307"/>
      <c r="Y448" s="2307"/>
      <c r="Z448" s="2307"/>
      <c r="AA448" s="2307"/>
      <c r="AB448" s="2307"/>
      <c r="AC448" s="2307"/>
      <c r="AD448" s="2307"/>
      <c r="AE448" s="2307"/>
      <c r="AF448" s="2550"/>
      <c r="AG448" s="2440">
        <v>0</v>
      </c>
      <c r="AH448" s="2440"/>
      <c r="AI448" s="2440"/>
      <c r="AJ448" s="244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32" t="s">
        <v>1157</v>
      </c>
      <c r="E449" s="2433"/>
      <c r="F449" s="2433"/>
      <c r="G449" s="2433"/>
      <c r="H449" s="2433"/>
      <c r="I449" s="2433"/>
      <c r="J449" s="2433"/>
      <c r="K449" s="2433"/>
      <c r="L449" s="2433"/>
      <c r="M449" s="2433"/>
      <c r="N449" s="2433"/>
      <c r="O449" s="2433"/>
      <c r="P449" s="2433"/>
      <c r="Q449" s="2433"/>
      <c r="R449" s="2433"/>
      <c r="S449" s="2433"/>
      <c r="T449" s="2433"/>
      <c r="U449" s="2433"/>
      <c r="V449" s="2433"/>
      <c r="W449" s="2433"/>
      <c r="X449" s="2433"/>
      <c r="Y449" s="2433"/>
      <c r="Z449" s="2433"/>
      <c r="AA449" s="2433"/>
      <c r="AB449" s="2433"/>
      <c r="AC449" s="2433"/>
      <c r="AD449" s="2433"/>
      <c r="AE449" s="2433"/>
      <c r="AF449" s="2434"/>
      <c r="AG449" s="2548">
        <f>AG441+AG445+AG447+AG448</f>
        <v>176258</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35" t="s">
        <v>1422</v>
      </c>
      <c r="E450" s="2435"/>
      <c r="F450" s="2435"/>
      <c r="G450" s="2435"/>
      <c r="H450" s="2435"/>
      <c r="I450" s="2435"/>
      <c r="J450" s="2435"/>
      <c r="K450" s="2435"/>
      <c r="L450" s="2435"/>
      <c r="M450" s="2435"/>
      <c r="N450" s="2435"/>
      <c r="O450" s="2435"/>
      <c r="P450" s="2435"/>
      <c r="Q450" s="2435"/>
      <c r="R450" s="2435"/>
      <c r="S450" s="2435"/>
      <c r="T450" s="2435"/>
      <c r="U450" s="2435"/>
      <c r="V450" s="2435"/>
      <c r="W450" s="2435"/>
      <c r="X450" s="2435"/>
      <c r="Y450" s="2435"/>
      <c r="Z450" s="2435"/>
      <c r="AA450" s="2435"/>
      <c r="AB450" s="2435"/>
      <c r="AC450" s="2435"/>
      <c r="AD450" s="2435"/>
      <c r="AE450" s="2435"/>
      <c r="AF450" s="2435"/>
      <c r="AG450" s="2435"/>
      <c r="AH450" s="2435"/>
      <c r="AI450" s="2435"/>
      <c r="AJ450" s="243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36"/>
      <c r="E451" s="2436"/>
      <c r="F451" s="2436"/>
      <c r="G451" s="2436"/>
      <c r="H451" s="2436"/>
      <c r="I451" s="2436"/>
      <c r="J451" s="2436"/>
      <c r="K451" s="2436"/>
      <c r="L451" s="2436"/>
      <c r="M451" s="2436"/>
      <c r="N451" s="2436"/>
      <c r="O451" s="2436"/>
      <c r="P451" s="2436"/>
      <c r="Q451" s="2436"/>
      <c r="R451" s="2436"/>
      <c r="S451" s="2436"/>
      <c r="T451" s="2436"/>
      <c r="U451" s="2436"/>
      <c r="V451" s="2436"/>
      <c r="W451" s="2436"/>
      <c r="X451" s="2436"/>
      <c r="Y451" s="2436"/>
      <c r="Z451" s="2436"/>
      <c r="AA451" s="2436"/>
      <c r="AB451" s="2436"/>
      <c r="AC451" s="2436"/>
      <c r="AD451" s="2436"/>
      <c r="AE451" s="2436"/>
      <c r="AF451" s="2436"/>
      <c r="AG451" s="2436"/>
      <c r="AH451" s="2436"/>
      <c r="AI451" s="2436"/>
      <c r="AJ451" s="243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9">
        <f>'Sources and Uses Budget'!B105/Application!AG436</f>
        <v>436342.48749999999</v>
      </c>
      <c r="AD453" s="2549"/>
      <c r="AE453" s="2549"/>
      <c r="AF453" s="254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9">
        <f>'Sources and Uses Budget'!C105/Application!AG436</f>
        <v>436342.48749999999</v>
      </c>
      <c r="AD454" s="2549"/>
      <c r="AE454" s="2549"/>
      <c r="AF454" s="254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9">
        <f>('Sources and Uses Budget'!$S$107+'Sources and Uses Budget'!$T$107)/Application!AG436</f>
        <v>387675.02500000002</v>
      </c>
      <c r="AD455" s="2549"/>
      <c r="AE455" s="2549"/>
      <c r="AF455" s="254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41" t="s">
        <v>735</v>
      </c>
      <c r="E464" s="2442"/>
      <c r="F464" s="2442"/>
      <c r="G464" s="2442"/>
      <c r="H464" s="2442"/>
      <c r="I464" s="2442"/>
      <c r="J464" s="2442"/>
      <c r="K464" s="2442"/>
      <c r="L464" s="2442"/>
      <c r="M464" s="2442"/>
      <c r="N464" s="2442"/>
      <c r="O464" s="2442"/>
      <c r="P464" s="2442"/>
      <c r="Q464" s="2442"/>
      <c r="R464" s="2442"/>
      <c r="S464" s="2442"/>
      <c r="T464" s="2442"/>
      <c r="U464" s="2442"/>
      <c r="V464" s="2443"/>
      <c r="W464" s="2427" t="s">
        <v>628</v>
      </c>
      <c r="X464" s="2428"/>
      <c r="Y464" s="242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41" t="s">
        <v>736</v>
      </c>
      <c r="E465" s="2442"/>
      <c r="F465" s="2442"/>
      <c r="G465" s="2442"/>
      <c r="H465" s="2442"/>
      <c r="I465" s="2442"/>
      <c r="J465" s="2442"/>
      <c r="K465" s="2442"/>
      <c r="L465" s="2442"/>
      <c r="M465" s="2442"/>
      <c r="N465" s="2442"/>
      <c r="O465" s="2442"/>
      <c r="P465" s="2442"/>
      <c r="Q465" s="2442"/>
      <c r="R465" s="2442"/>
      <c r="S465" s="2442"/>
      <c r="T465" s="2442"/>
      <c r="U465" s="2442"/>
      <c r="V465" s="2443"/>
      <c r="W465" s="2427" t="s">
        <v>628</v>
      </c>
      <c r="X465" s="2428"/>
      <c r="Y465" s="242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41" t="s">
        <v>737</v>
      </c>
      <c r="E466" s="2442"/>
      <c r="F466" s="2442"/>
      <c r="G466" s="2442"/>
      <c r="H466" s="2442"/>
      <c r="I466" s="2442"/>
      <c r="J466" s="2442"/>
      <c r="K466" s="2442"/>
      <c r="L466" s="2442"/>
      <c r="M466" s="2442"/>
      <c r="N466" s="2442"/>
      <c r="O466" s="2442"/>
      <c r="P466" s="2442"/>
      <c r="Q466" s="2442"/>
      <c r="R466" s="2442"/>
      <c r="S466" s="2442"/>
      <c r="T466" s="2442"/>
      <c r="U466" s="2442"/>
      <c r="V466" s="2443"/>
      <c r="W466" s="2427" t="s">
        <v>628</v>
      </c>
      <c r="X466" s="2428"/>
      <c r="Y466" s="242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1" t="s">
        <v>738</v>
      </c>
      <c r="E467" s="2442"/>
      <c r="F467" s="2442"/>
      <c r="G467" s="2442"/>
      <c r="H467" s="2442"/>
      <c r="I467" s="2442"/>
      <c r="J467" s="2442"/>
      <c r="K467" s="2442"/>
      <c r="L467" s="2442"/>
      <c r="M467" s="2442"/>
      <c r="N467" s="2442"/>
      <c r="O467" s="2442"/>
      <c r="P467" s="2442"/>
      <c r="Q467" s="2442"/>
      <c r="R467" s="2442"/>
      <c r="S467" s="2442"/>
      <c r="T467" s="2442"/>
      <c r="U467" s="2442"/>
      <c r="V467" s="2443"/>
      <c r="W467" s="2427" t="s">
        <v>628</v>
      </c>
      <c r="X467" s="2428"/>
      <c r="Y467" s="242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1" t="s">
        <v>950</v>
      </c>
      <c r="E468" s="2442"/>
      <c r="F468" s="2442"/>
      <c r="G468" s="2442"/>
      <c r="H468" s="2442"/>
      <c r="I468" s="2442"/>
      <c r="J468" s="2442"/>
      <c r="K468" s="2442"/>
      <c r="L468" s="2442"/>
      <c r="M468" s="2442"/>
      <c r="N468" s="2442"/>
      <c r="O468" s="2442"/>
      <c r="P468" s="2442"/>
      <c r="Q468" s="2442"/>
      <c r="R468" s="2442"/>
      <c r="S468" s="2442"/>
      <c r="T468" s="2442"/>
      <c r="U468" s="2442"/>
      <c r="V468" s="2443"/>
      <c r="W468" s="2427" t="s">
        <v>628</v>
      </c>
      <c r="X468" s="2428"/>
      <c r="Y468" s="242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41" t="s">
        <v>739</v>
      </c>
      <c r="E469" s="2442"/>
      <c r="F469" s="2442"/>
      <c r="G469" s="2442"/>
      <c r="H469" s="2442"/>
      <c r="I469" s="2442"/>
      <c r="J469" s="2442"/>
      <c r="K469" s="2442"/>
      <c r="L469" s="2442"/>
      <c r="M469" s="2442"/>
      <c r="N469" s="2442"/>
      <c r="O469" s="2442"/>
      <c r="P469" s="2442"/>
      <c r="Q469" s="2442"/>
      <c r="R469" s="2442"/>
      <c r="S469" s="2442"/>
      <c r="T469" s="2442"/>
      <c r="U469" s="2442"/>
      <c r="V469" s="2443"/>
      <c r="W469" s="2427" t="s">
        <v>628</v>
      </c>
      <c r="X469" s="2428"/>
      <c r="Y469" s="242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41" t="s">
        <v>1123</v>
      </c>
      <c r="E470" s="2442"/>
      <c r="F470" s="2442"/>
      <c r="G470" s="2442"/>
      <c r="H470" s="2442"/>
      <c r="I470" s="2442"/>
      <c r="J470" s="2442"/>
      <c r="K470" s="2442"/>
      <c r="L470" s="2442"/>
      <c r="M470" s="2442"/>
      <c r="N470" s="2442"/>
      <c r="O470" s="2442"/>
      <c r="P470" s="2442"/>
      <c r="Q470" s="2442"/>
      <c r="R470" s="2442"/>
      <c r="S470" s="2442"/>
      <c r="T470" s="2442"/>
      <c r="U470" s="2442"/>
      <c r="V470" s="2443"/>
      <c r="W470" s="2427" t="s">
        <v>628</v>
      </c>
      <c r="X470" s="2428"/>
      <c r="Y470" s="242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6" t="s">
        <v>2023</v>
      </c>
      <c r="E471" s="2442"/>
      <c r="F471" s="2442"/>
      <c r="G471" s="2442"/>
      <c r="H471" s="2442"/>
      <c r="I471" s="2442"/>
      <c r="J471" s="2442"/>
      <c r="K471" s="2442"/>
      <c r="L471" s="2442"/>
      <c r="M471" s="2442"/>
      <c r="N471" s="2442"/>
      <c r="O471" s="2442"/>
      <c r="P471" s="2442"/>
      <c r="Q471" s="2442"/>
      <c r="R471" s="2442"/>
      <c r="S471" s="2442"/>
      <c r="T471" s="2442"/>
      <c r="U471" s="2442"/>
      <c r="V471" s="2443"/>
      <c r="W471" s="2427" t="s">
        <v>628</v>
      </c>
      <c r="X471" s="2428"/>
      <c r="Y471" s="242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3"/>
      <c r="H472" s="2544"/>
      <c r="I472" s="2544"/>
      <c r="J472" s="2544"/>
      <c r="K472" s="2544"/>
      <c r="L472" s="2544"/>
      <c r="M472" s="2544"/>
      <c r="N472" s="2544"/>
      <c r="O472" s="2544"/>
      <c r="P472" s="2544"/>
      <c r="Q472" s="2544"/>
      <c r="R472" s="2544"/>
      <c r="S472" s="2544"/>
      <c r="T472" s="2544"/>
      <c r="U472" s="2544"/>
      <c r="V472" s="2545"/>
      <c r="W472" s="2427" t="s">
        <v>628</v>
      </c>
      <c r="X472" s="2428"/>
      <c r="Y472" s="242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92" t="s">
        <v>873</v>
      </c>
      <c r="B478" s="2392"/>
      <c r="C478" s="2392"/>
      <c r="D478" s="2392"/>
      <c r="E478" s="2392"/>
      <c r="F478" s="2392"/>
      <c r="G478" s="2392"/>
      <c r="H478" s="2392"/>
      <c r="I478" s="2392"/>
      <c r="J478" s="2392"/>
      <c r="K478" s="2392"/>
      <c r="L478" s="2392"/>
      <c r="M478" s="2392"/>
      <c r="N478" s="2392"/>
      <c r="O478" s="2392"/>
      <c r="P478" s="2392"/>
      <c r="Q478" s="2392"/>
      <c r="R478" s="2392"/>
      <c r="S478" s="2392"/>
      <c r="T478" s="2392"/>
      <c r="U478" s="2392"/>
      <c r="V478" s="2392"/>
      <c r="W478" s="2392"/>
      <c r="X478" s="2392"/>
      <c r="Y478" s="2392"/>
      <c r="Z478" s="2392"/>
      <c r="AA478" s="2392"/>
      <c r="AB478" s="2392"/>
      <c r="AC478" s="2392"/>
      <c r="AD478" s="2392"/>
      <c r="AE478" s="2392"/>
      <c r="AF478" s="2392"/>
      <c r="AG478" s="2392"/>
      <c r="AH478" s="2392"/>
      <c r="AI478" s="2392"/>
      <c r="AJ478" s="2392"/>
      <c r="AK478" s="2392"/>
      <c r="AL478" s="239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3"/>
      <c r="B479" s="2393"/>
      <c r="C479" s="2393"/>
      <c r="D479" s="2393"/>
      <c r="E479" s="2393"/>
      <c r="F479" s="2393"/>
      <c r="G479" s="2393"/>
      <c r="H479" s="2393"/>
      <c r="I479" s="2393"/>
      <c r="J479" s="2393"/>
      <c r="K479" s="2393"/>
      <c r="L479" s="2393"/>
      <c r="M479" s="2393"/>
      <c r="N479" s="2393"/>
      <c r="O479" s="2393"/>
      <c r="P479" s="2393"/>
      <c r="Q479" s="2393"/>
      <c r="R479" s="2393"/>
      <c r="S479" s="2393"/>
      <c r="T479" s="2393"/>
      <c r="U479" s="2393"/>
      <c r="V479" s="2393"/>
      <c r="W479" s="2393"/>
      <c r="X479" s="2393"/>
      <c r="Y479" s="2393"/>
      <c r="Z479" s="2393"/>
      <c r="AA479" s="2393"/>
      <c r="AB479" s="2393"/>
      <c r="AC479" s="2393"/>
      <c r="AD479" s="2393"/>
      <c r="AE479" s="2393"/>
      <c r="AF479" s="2393"/>
      <c r="AG479" s="2393"/>
      <c r="AH479" s="2393"/>
      <c r="AI479" s="2393"/>
      <c r="AJ479" s="2393"/>
      <c r="AK479" s="2393"/>
      <c r="AL479" s="239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37" t="s">
        <v>874</v>
      </c>
      <c r="U483" s="2438"/>
      <c r="V483" s="2438"/>
      <c r="W483" s="2438"/>
      <c r="X483" s="2438"/>
      <c r="Y483" s="2438"/>
      <c r="Z483" s="2438"/>
      <c r="AA483" s="2438"/>
      <c r="AB483" s="2438"/>
      <c r="AC483" s="2438"/>
      <c r="AD483" s="2438"/>
      <c r="AE483" s="2438"/>
      <c r="AF483" s="2438"/>
      <c r="AG483" s="2438"/>
      <c r="AH483" s="25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88" t="s">
        <v>36</v>
      </c>
      <c r="U484" s="2488"/>
      <c r="V484" s="2488"/>
      <c r="W484" s="2488"/>
      <c r="X484" s="2488"/>
      <c r="Y484" s="2488" t="s">
        <v>37</v>
      </c>
      <c r="Z484" s="2488"/>
      <c r="AA484" s="2488"/>
      <c r="AB484" s="2488"/>
      <c r="AC484" s="2488"/>
      <c r="AD484" s="2488" t="s">
        <v>350</v>
      </c>
      <c r="AE484" s="2488"/>
      <c r="AF484" s="2488"/>
      <c r="AG484" s="2488"/>
      <c r="AH484" s="248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88"/>
      <c r="U485" s="2488"/>
      <c r="V485" s="2488"/>
      <c r="W485" s="2488"/>
      <c r="X485" s="2488"/>
      <c r="Y485" s="2488"/>
      <c r="Z485" s="2488"/>
      <c r="AA485" s="2488"/>
      <c r="AB485" s="2488"/>
      <c r="AC485" s="2488"/>
      <c r="AD485" s="2488"/>
      <c r="AE485" s="2488"/>
      <c r="AF485" s="2488"/>
      <c r="AG485" s="2488"/>
      <c r="AH485" s="248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30">
        <v>0</v>
      </c>
      <c r="U486" s="2430"/>
      <c r="V486" s="2430"/>
      <c r="W486" s="2430"/>
      <c r="X486" s="2430"/>
      <c r="Y486" s="2430">
        <v>0</v>
      </c>
      <c r="Z486" s="2430"/>
      <c r="AA486" s="2430"/>
      <c r="AB486" s="2430"/>
      <c r="AC486" s="2430"/>
      <c r="AD486" s="2430">
        <v>44153</v>
      </c>
      <c r="AE486" s="2430"/>
      <c r="AF486" s="2430"/>
      <c r="AG486" s="2430"/>
      <c r="AH486" s="24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30">
        <v>0</v>
      </c>
      <c r="U487" s="2430"/>
      <c r="V487" s="2430"/>
      <c r="W487" s="2430"/>
      <c r="X487" s="2430"/>
      <c r="Y487" s="2430">
        <v>0</v>
      </c>
      <c r="Z487" s="2430"/>
      <c r="AA487" s="2430"/>
      <c r="AB487" s="2430"/>
      <c r="AC487" s="2430"/>
      <c r="AD487" s="2430">
        <v>0</v>
      </c>
      <c r="AE487" s="2430"/>
      <c r="AF487" s="2430"/>
      <c r="AG487" s="2430"/>
      <c r="AH487" s="24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30">
        <v>0</v>
      </c>
      <c r="U488" s="2430"/>
      <c r="V488" s="2430"/>
      <c r="W488" s="2430"/>
      <c r="X488" s="2430"/>
      <c r="Y488" s="2430">
        <v>0</v>
      </c>
      <c r="Z488" s="2430"/>
      <c r="AA488" s="2430"/>
      <c r="AB488" s="2430"/>
      <c r="AC488" s="2430"/>
      <c r="AD488" s="2430">
        <v>0</v>
      </c>
      <c r="AE488" s="2430"/>
      <c r="AF488" s="2430"/>
      <c r="AG488" s="2430"/>
      <c r="AH488" s="24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30">
        <v>0</v>
      </c>
      <c r="U489" s="2430"/>
      <c r="V489" s="2430"/>
      <c r="W489" s="2430"/>
      <c r="X489" s="2430"/>
      <c r="Y489" s="2430">
        <v>0</v>
      </c>
      <c r="Z489" s="2430"/>
      <c r="AA489" s="2430"/>
      <c r="AB489" s="2430"/>
      <c r="AC489" s="2430"/>
      <c r="AD489" s="2430">
        <v>0</v>
      </c>
      <c r="AE489" s="2430"/>
      <c r="AF489" s="2430"/>
      <c r="AG489" s="2430"/>
      <c r="AH489" s="24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30">
        <v>0</v>
      </c>
      <c r="U490" s="2430"/>
      <c r="V490" s="2430"/>
      <c r="W490" s="2430"/>
      <c r="X490" s="2430"/>
      <c r="Y490" s="2430">
        <v>0</v>
      </c>
      <c r="Z490" s="2430"/>
      <c r="AA490" s="2430"/>
      <c r="AB490" s="2430"/>
      <c r="AC490" s="2430"/>
      <c r="AD490" s="2430">
        <v>0</v>
      </c>
      <c r="AE490" s="2430"/>
      <c r="AF490" s="2430"/>
      <c r="AG490" s="2430"/>
      <c r="AH490" s="24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30">
        <v>0</v>
      </c>
      <c r="U491" s="2430"/>
      <c r="V491" s="2430"/>
      <c r="W491" s="2430"/>
      <c r="X491" s="2430"/>
      <c r="Y491" s="2430">
        <v>0</v>
      </c>
      <c r="Z491" s="2430"/>
      <c r="AA491" s="2430"/>
      <c r="AB491" s="2430"/>
      <c r="AC491" s="2430"/>
      <c r="AD491" s="2430">
        <v>0</v>
      </c>
      <c r="AE491" s="2430"/>
      <c r="AF491" s="2430"/>
      <c r="AG491" s="2430"/>
      <c r="AH491" s="243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30">
        <v>0</v>
      </c>
      <c r="U492" s="2430"/>
      <c r="V492" s="2430"/>
      <c r="W492" s="2430"/>
      <c r="X492" s="2430"/>
      <c r="Y492" s="2430">
        <v>0</v>
      </c>
      <c r="Z492" s="2430"/>
      <c r="AA492" s="2430"/>
      <c r="AB492" s="2430"/>
      <c r="AC492" s="2430"/>
      <c r="AD492" s="2430">
        <v>0</v>
      </c>
      <c r="AE492" s="2430"/>
      <c r="AF492" s="2430"/>
      <c r="AG492" s="2430"/>
      <c r="AH492" s="243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30">
        <v>0</v>
      </c>
      <c r="U493" s="2430"/>
      <c r="V493" s="2430"/>
      <c r="W493" s="2430"/>
      <c r="X493" s="2430"/>
      <c r="Y493" s="2430">
        <v>0</v>
      </c>
      <c r="Z493" s="2430"/>
      <c r="AA493" s="2430"/>
      <c r="AB493" s="2430"/>
      <c r="AC493" s="2430"/>
      <c r="AD493" s="2430">
        <v>44153</v>
      </c>
      <c r="AE493" s="2430"/>
      <c r="AF493" s="2430"/>
      <c r="AG493" s="2430"/>
      <c r="AH493" s="24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30">
        <v>0</v>
      </c>
      <c r="U494" s="2430"/>
      <c r="V494" s="2430"/>
      <c r="W494" s="2430"/>
      <c r="X494" s="2430"/>
      <c r="Y494" s="2430">
        <v>0</v>
      </c>
      <c r="Z494" s="2430"/>
      <c r="AA494" s="2430"/>
      <c r="AB494" s="2430"/>
      <c r="AC494" s="2430"/>
      <c r="AD494" s="2430">
        <v>0</v>
      </c>
      <c r="AE494" s="2430"/>
      <c r="AF494" s="2430"/>
      <c r="AG494" s="2430"/>
      <c r="AH494" s="24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30">
        <v>0</v>
      </c>
      <c r="U495" s="2430"/>
      <c r="V495" s="2430"/>
      <c r="W495" s="2430"/>
      <c r="X495" s="2430"/>
      <c r="Y495" s="2430">
        <v>0</v>
      </c>
      <c r="Z495" s="2430"/>
      <c r="AA495" s="2430"/>
      <c r="AB495" s="2430"/>
      <c r="AC495" s="2430"/>
      <c r="AD495" s="2430">
        <v>44215</v>
      </c>
      <c r="AE495" s="2430"/>
      <c r="AF495" s="2430"/>
      <c r="AG495" s="2430"/>
      <c r="AH495" s="24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2" t="s">
        <v>416</v>
      </c>
      <c r="R497" s="2493"/>
      <c r="S497" s="2493"/>
      <c r="T497" s="2493"/>
      <c r="U497" s="2493"/>
      <c r="V497" s="2493"/>
      <c r="W497" s="2493"/>
      <c r="X497" s="2493"/>
      <c r="Y497" s="2493"/>
      <c r="Z497" s="2493"/>
      <c r="AA497" s="2493"/>
      <c r="AB497" s="2493"/>
      <c r="AC497" s="2493"/>
      <c r="AD497" s="2493"/>
      <c r="AE497" s="2493"/>
      <c r="AF497" s="2493"/>
      <c r="AG497" s="2493"/>
      <c r="AH497" s="2493"/>
      <c r="AI497" s="2493"/>
      <c r="AJ497" s="2493"/>
      <c r="AK497" s="249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75" t="s">
        <v>2557</v>
      </c>
      <c r="R498" s="2262"/>
      <c r="S498" s="2262"/>
      <c r="T498" s="2262"/>
      <c r="U498" s="2262"/>
      <c r="V498" s="2262"/>
      <c r="W498" s="2262"/>
      <c r="X498" s="2262"/>
      <c r="Y498" s="2262"/>
      <c r="Z498" s="2262"/>
      <c r="AA498" s="2262"/>
      <c r="AB498" s="2262"/>
      <c r="AC498" s="2262"/>
      <c r="AD498" s="2262"/>
      <c r="AE498" s="2262"/>
      <c r="AF498" s="2262"/>
      <c r="AG498" s="2262"/>
      <c r="AH498" s="2262"/>
      <c r="AI498" s="2262"/>
      <c r="AJ498" s="2262"/>
      <c r="AK498" s="237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75" t="s">
        <v>2558</v>
      </c>
      <c r="R499" s="2262"/>
      <c r="S499" s="2262"/>
      <c r="T499" s="2262"/>
      <c r="U499" s="2262"/>
      <c r="V499" s="2262"/>
      <c r="W499" s="2262"/>
      <c r="X499" s="2262"/>
      <c r="Y499" s="2262"/>
      <c r="Z499" s="2262"/>
      <c r="AA499" s="2262"/>
      <c r="AB499" s="2262"/>
      <c r="AC499" s="2262"/>
      <c r="AD499" s="2262"/>
      <c r="AE499" s="2262"/>
      <c r="AF499" s="2262"/>
      <c r="AG499" s="2262"/>
      <c r="AH499" s="2262"/>
      <c r="AI499" s="2262"/>
      <c r="AJ499" s="2262"/>
      <c r="AK499" s="237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75" t="s">
        <v>2558</v>
      </c>
      <c r="R500" s="2262"/>
      <c r="S500" s="2262"/>
      <c r="T500" s="2262"/>
      <c r="U500" s="2262"/>
      <c r="V500" s="2262"/>
      <c r="W500" s="2262"/>
      <c r="X500" s="2262"/>
      <c r="Y500" s="2262"/>
      <c r="Z500" s="2262"/>
      <c r="AA500" s="2262"/>
      <c r="AB500" s="2262"/>
      <c r="AC500" s="2262"/>
      <c r="AD500" s="2262"/>
      <c r="AE500" s="2262"/>
      <c r="AF500" s="2262"/>
      <c r="AG500" s="2262"/>
      <c r="AH500" s="2262"/>
      <c r="AI500" s="2262"/>
      <c r="AJ500" s="2262"/>
      <c r="AK500" s="237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26" t="s">
        <v>420</v>
      </c>
      <c r="C501" s="2527"/>
      <c r="D501" s="2527"/>
      <c r="E501" s="2527"/>
      <c r="F501" s="2527"/>
      <c r="G501" s="2527"/>
      <c r="H501" s="2527"/>
      <c r="I501" s="2527"/>
      <c r="J501" s="2527"/>
      <c r="K501" s="2527"/>
      <c r="L501" s="2527"/>
      <c r="M501" s="2527"/>
      <c r="N501" s="2527"/>
      <c r="O501" s="2527"/>
      <c r="P501" s="2528"/>
      <c r="Q501" s="2507" t="s">
        <v>708</v>
      </c>
      <c r="R501" s="2508"/>
      <c r="S501" s="2282" t="s">
        <v>171</v>
      </c>
      <c r="T501" s="2283"/>
      <c r="U501" s="2283"/>
      <c r="V501" s="2283"/>
      <c r="W501" s="2283"/>
      <c r="X501" s="2283"/>
      <c r="Y501" s="2283"/>
      <c r="Z501" s="2283"/>
      <c r="AA501" s="2283"/>
      <c r="AB501" s="2283"/>
      <c r="AC501" s="2283"/>
      <c r="AD501" s="2283"/>
      <c r="AE501" s="2283"/>
      <c r="AF501" s="2283"/>
      <c r="AG501" s="2283"/>
      <c r="AH501" s="2283"/>
      <c r="AI501" s="2283"/>
      <c r="AJ501" s="2283"/>
      <c r="AK501" s="228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9"/>
      <c r="C502" s="2530"/>
      <c r="D502" s="2530"/>
      <c r="E502" s="2530"/>
      <c r="F502" s="2530"/>
      <c r="G502" s="2530"/>
      <c r="H502" s="2530"/>
      <c r="I502" s="2530"/>
      <c r="J502" s="2530"/>
      <c r="K502" s="2530"/>
      <c r="L502" s="2530"/>
      <c r="M502" s="2530"/>
      <c r="N502" s="2530"/>
      <c r="O502" s="2530"/>
      <c r="P502" s="2531"/>
      <c r="Q502" s="2509"/>
      <c r="R502" s="2510"/>
      <c r="S502" s="2285"/>
      <c r="T502" s="2286"/>
      <c r="U502" s="2286"/>
      <c r="V502" s="2286"/>
      <c r="W502" s="2286"/>
      <c r="X502" s="2286"/>
      <c r="Y502" s="2286"/>
      <c r="Z502" s="2286"/>
      <c r="AA502" s="2286"/>
      <c r="AB502" s="2286"/>
      <c r="AC502" s="2286"/>
      <c r="AD502" s="2286"/>
      <c r="AE502" s="2286"/>
      <c r="AF502" s="2286"/>
      <c r="AG502" s="2286"/>
      <c r="AH502" s="2286"/>
      <c r="AI502" s="2286"/>
      <c r="AJ502" s="2286"/>
      <c r="AK502" s="228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58" t="s">
        <v>708</v>
      </c>
      <c r="R503" s="2559"/>
      <c r="S503" s="2559"/>
      <c r="T503" s="2559"/>
      <c r="U503" s="2559"/>
      <c r="V503" s="2559"/>
      <c r="W503" s="2559"/>
      <c r="X503" s="2559"/>
      <c r="Y503" s="2559"/>
      <c r="Z503" s="2559"/>
      <c r="AA503" s="2559"/>
      <c r="AB503" s="2559"/>
      <c r="AC503" s="2559"/>
      <c r="AD503" s="2559"/>
      <c r="AE503" s="2559"/>
      <c r="AF503" s="2559"/>
      <c r="AG503" s="2559"/>
      <c r="AH503" s="2559"/>
      <c r="AI503" s="2559"/>
      <c r="AJ503" s="2559"/>
      <c r="AK503" s="256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75" t="s">
        <v>2559</v>
      </c>
      <c r="R504" s="2262"/>
      <c r="S504" s="2262"/>
      <c r="T504" s="2262"/>
      <c r="U504" s="2262"/>
      <c r="V504" s="2262"/>
      <c r="W504" s="2262"/>
      <c r="X504" s="2262"/>
      <c r="Y504" s="2262"/>
      <c r="Z504" s="2262"/>
      <c r="AA504" s="2262"/>
      <c r="AB504" s="2262"/>
      <c r="AC504" s="2262"/>
      <c r="AD504" s="2262"/>
      <c r="AE504" s="2262"/>
      <c r="AF504" s="2262"/>
      <c r="AG504" s="2262"/>
      <c r="AH504" s="2262"/>
      <c r="AI504" s="2262"/>
      <c r="AJ504" s="2262"/>
      <c r="AK504" s="237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75" t="s">
        <v>2560</v>
      </c>
      <c r="R505" s="2262"/>
      <c r="S505" s="2262"/>
      <c r="T505" s="2262"/>
      <c r="U505" s="2262"/>
      <c r="V505" s="2262"/>
      <c r="W505" s="2262"/>
      <c r="X505" s="2262"/>
      <c r="Y505" s="2262"/>
      <c r="Z505" s="2262"/>
      <c r="AA505" s="2262"/>
      <c r="AB505" s="2262"/>
      <c r="AC505" s="2262"/>
      <c r="AD505" s="2262"/>
      <c r="AE505" s="2262"/>
      <c r="AF505" s="2262"/>
      <c r="AG505" s="2262"/>
      <c r="AH505" s="2262"/>
      <c r="AI505" s="2262"/>
      <c r="AJ505" s="2262"/>
      <c r="AK505" s="237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75">
        <v>330</v>
      </c>
      <c r="R506" s="2262"/>
      <c r="S506" s="2262"/>
      <c r="T506" s="2262"/>
      <c r="U506" s="2262"/>
      <c r="V506" s="2262"/>
      <c r="W506" s="2262"/>
      <c r="X506" s="2262"/>
      <c r="Y506" s="2262"/>
      <c r="Z506" s="2262"/>
      <c r="AA506" s="2262"/>
      <c r="AB506" s="2262"/>
      <c r="AC506" s="2262"/>
      <c r="AD506" s="2262"/>
      <c r="AE506" s="2262"/>
      <c r="AF506" s="2262"/>
      <c r="AG506" s="2262"/>
      <c r="AH506" s="2262"/>
      <c r="AI506" s="2262"/>
      <c r="AJ506" s="2262"/>
      <c r="AK506" s="237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62">
        <v>160</v>
      </c>
      <c r="N507" s="2063"/>
      <c r="O507" s="2063"/>
      <c r="P507" s="2064"/>
      <c r="Q507" s="1523" t="s">
        <v>2042</v>
      </c>
      <c r="R507" s="1524"/>
      <c r="S507" s="1524"/>
      <c r="T507" s="1524"/>
      <c r="U507" s="1524"/>
      <c r="V507" s="1524"/>
      <c r="W507" s="1524"/>
      <c r="X507" s="1524"/>
      <c r="Y507" s="1524"/>
      <c r="Z507" s="1524"/>
      <c r="AA507" s="1524"/>
      <c r="AB507" s="1524"/>
      <c r="AC507" s="1524"/>
      <c r="AD507" s="1524"/>
      <c r="AE507" s="1524"/>
      <c r="AF507" s="1524"/>
      <c r="AG507" s="1524"/>
      <c r="AH507" s="2062">
        <v>170</v>
      </c>
      <c r="AI507" s="2063"/>
      <c r="AJ507" s="2063"/>
      <c r="AK507" s="206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2" t="s">
        <v>424</v>
      </c>
      <c r="AD511" s="2493"/>
      <c r="AE511" s="2493"/>
      <c r="AF511" s="2493"/>
      <c r="AG511" s="2493"/>
      <c r="AH511" s="2493"/>
      <c r="AI511" s="2493"/>
      <c r="AJ511" s="2493"/>
      <c r="AK511" s="249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7" t="s">
        <v>425</v>
      </c>
      <c r="AD512" s="2438"/>
      <c r="AE512" s="2438"/>
      <c r="AF512" s="2438"/>
      <c r="AG512" s="82" t="s">
        <v>426</v>
      </c>
      <c r="AH512" s="2438" t="s">
        <v>427</v>
      </c>
      <c r="AI512" s="2438"/>
      <c r="AJ512" s="2438"/>
      <c r="AK512" s="25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7" t="s">
        <v>428</v>
      </c>
      <c r="C513" s="2518"/>
      <c r="D513" s="2518"/>
      <c r="E513" s="2518"/>
      <c r="F513" s="2518"/>
      <c r="G513" s="2518"/>
      <c r="H513" s="2519"/>
      <c r="I513" s="72" t="s">
        <v>429</v>
      </c>
      <c r="J513" s="72"/>
      <c r="K513" s="72"/>
      <c r="L513" s="72"/>
      <c r="M513" s="72"/>
      <c r="N513" s="72"/>
      <c r="O513" s="72"/>
      <c r="P513" s="72"/>
      <c r="Q513" s="72"/>
      <c r="R513" s="72"/>
      <c r="S513" s="72"/>
      <c r="T513" s="72"/>
      <c r="U513" s="72"/>
      <c r="V513" s="72"/>
      <c r="W513" s="72"/>
      <c r="X513" s="25"/>
      <c r="Y513" s="25"/>
      <c r="AC513" s="2431">
        <v>9</v>
      </c>
      <c r="AD513" s="2276"/>
      <c r="AE513" s="2276"/>
      <c r="AF513" s="2276"/>
      <c r="AG513" s="75" t="s">
        <v>426</v>
      </c>
      <c r="AH513" s="2319">
        <v>2019</v>
      </c>
      <c r="AI513" s="2319"/>
      <c r="AJ513" s="2319"/>
      <c r="AK513" s="232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20"/>
      <c r="C514" s="2521"/>
      <c r="D514" s="2521"/>
      <c r="E514" s="2521"/>
      <c r="F514" s="2521"/>
      <c r="G514" s="2521"/>
      <c r="H514" s="2522"/>
      <c r="I514" s="80" t="s">
        <v>430</v>
      </c>
      <c r="J514" s="80"/>
      <c r="K514" s="80"/>
      <c r="L514" s="80"/>
      <c r="M514" s="80"/>
      <c r="N514" s="80"/>
      <c r="O514" s="80"/>
      <c r="P514" s="80"/>
      <c r="Q514" s="80"/>
      <c r="R514" s="80"/>
      <c r="S514" s="80"/>
      <c r="T514" s="80"/>
      <c r="U514" s="80"/>
      <c r="V514" s="80"/>
      <c r="W514" s="80"/>
      <c r="X514" s="80"/>
      <c r="Y514" s="80"/>
      <c r="Z514" s="80"/>
      <c r="AA514" s="80"/>
      <c r="AB514" s="80"/>
      <c r="AC514" s="2431">
        <v>9</v>
      </c>
      <c r="AD514" s="2276"/>
      <c r="AE514" s="2276"/>
      <c r="AF514" s="2276"/>
      <c r="AG514" s="65" t="s">
        <v>426</v>
      </c>
      <c r="AH514" s="2319">
        <v>2019</v>
      </c>
      <c r="AI514" s="2319"/>
      <c r="AJ514" s="2319"/>
      <c r="AK514" s="232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7" t="s">
        <v>431</v>
      </c>
      <c r="C515" s="2518"/>
      <c r="D515" s="2518"/>
      <c r="E515" s="2518"/>
      <c r="F515" s="2518"/>
      <c r="G515" s="2518"/>
      <c r="H515" s="2519"/>
      <c r="I515" s="72" t="s">
        <v>432</v>
      </c>
      <c r="J515" s="72"/>
      <c r="K515" s="72"/>
      <c r="L515" s="72"/>
      <c r="M515" s="72"/>
      <c r="N515" s="72"/>
      <c r="O515" s="72"/>
      <c r="P515" s="72"/>
      <c r="Q515" s="72"/>
      <c r="R515" s="72"/>
      <c r="S515" s="72"/>
      <c r="T515" s="72"/>
      <c r="U515" s="72"/>
      <c r="V515" s="72"/>
      <c r="W515" s="72"/>
      <c r="X515" s="25"/>
      <c r="Y515" s="25"/>
      <c r="AC515" s="2431">
        <v>11</v>
      </c>
      <c r="AD515" s="2276"/>
      <c r="AE515" s="2276"/>
      <c r="AF515" s="2276"/>
      <c r="AG515" s="75" t="s">
        <v>426</v>
      </c>
      <c r="AH515" s="2319">
        <v>2020</v>
      </c>
      <c r="AI515" s="2319"/>
      <c r="AJ515" s="2319"/>
      <c r="AK515" s="232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20"/>
      <c r="C516" s="2521"/>
      <c r="D516" s="2521"/>
      <c r="E516" s="2521"/>
      <c r="F516" s="2521"/>
      <c r="G516" s="2521"/>
      <c r="H516" s="2522"/>
      <c r="I516" s="25" t="s">
        <v>433</v>
      </c>
      <c r="J516" s="25"/>
      <c r="K516" s="25"/>
      <c r="L516" s="25"/>
      <c r="M516" s="25"/>
      <c r="N516" s="25"/>
      <c r="O516" s="25"/>
      <c r="P516" s="25"/>
      <c r="Q516" s="25"/>
      <c r="R516" s="25"/>
      <c r="S516" s="25"/>
      <c r="T516" s="25"/>
      <c r="U516" s="25"/>
      <c r="V516" s="25"/>
      <c r="W516" s="25"/>
      <c r="X516" s="25"/>
      <c r="Y516" s="25"/>
      <c r="AC516" s="2431" t="s">
        <v>628</v>
      </c>
      <c r="AD516" s="2276"/>
      <c r="AE516" s="2276"/>
      <c r="AF516" s="2276"/>
      <c r="AG516" s="75" t="s">
        <v>426</v>
      </c>
      <c r="AH516" s="2319"/>
      <c r="AI516" s="2319"/>
      <c r="AJ516" s="2319"/>
      <c r="AK516" s="232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0"/>
      <c r="C517" s="2521"/>
      <c r="D517" s="2521"/>
      <c r="E517" s="2521"/>
      <c r="F517" s="2521"/>
      <c r="G517" s="2521"/>
      <c r="H517" s="2522"/>
      <c r="I517" s="25" t="s">
        <v>434</v>
      </c>
      <c r="J517" s="25"/>
      <c r="K517" s="25"/>
      <c r="L517" s="25"/>
      <c r="M517" s="25"/>
      <c r="N517" s="25"/>
      <c r="O517" s="25"/>
      <c r="P517" s="25"/>
      <c r="Q517" s="25"/>
      <c r="R517" s="25"/>
      <c r="S517" s="25"/>
      <c r="T517" s="25"/>
      <c r="U517" s="25"/>
      <c r="V517" s="25"/>
      <c r="W517" s="25"/>
      <c r="X517" s="25"/>
      <c r="Y517" s="25"/>
      <c r="AC517" s="2431">
        <v>7</v>
      </c>
      <c r="AD517" s="2276"/>
      <c r="AE517" s="2276"/>
      <c r="AF517" s="2276"/>
      <c r="AG517" s="75" t="s">
        <v>426</v>
      </c>
      <c r="AH517" s="2319">
        <v>2020</v>
      </c>
      <c r="AI517" s="2319"/>
      <c r="AJ517" s="2319"/>
      <c r="AK517" s="232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20"/>
      <c r="C518" s="2521"/>
      <c r="D518" s="2521"/>
      <c r="E518" s="2521"/>
      <c r="F518" s="2521"/>
      <c r="G518" s="2521"/>
      <c r="H518" s="2522"/>
      <c r="I518" s="25" t="s">
        <v>435</v>
      </c>
      <c r="J518" s="25"/>
      <c r="K518" s="25"/>
      <c r="L518" s="25"/>
      <c r="M518" s="25"/>
      <c r="N518" s="25"/>
      <c r="O518" s="25"/>
      <c r="P518" s="25"/>
      <c r="Q518" s="25"/>
      <c r="R518" s="25"/>
      <c r="S518" s="25"/>
      <c r="T518" s="25"/>
      <c r="U518" s="25"/>
      <c r="V518" s="25"/>
      <c r="W518" s="25"/>
      <c r="X518" s="25"/>
      <c r="Y518" s="25"/>
      <c r="AC518" s="2431" t="s">
        <v>628</v>
      </c>
      <c r="AD518" s="2276"/>
      <c r="AE518" s="2276"/>
      <c r="AF518" s="2276"/>
      <c r="AG518" s="75" t="s">
        <v>426</v>
      </c>
      <c r="AH518" s="2319"/>
      <c r="AI518" s="2319"/>
      <c r="AJ518" s="2319"/>
      <c r="AK518" s="232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20"/>
      <c r="C519" s="2521"/>
      <c r="D519" s="2521"/>
      <c r="E519" s="2521"/>
      <c r="F519" s="2521"/>
      <c r="G519" s="2521"/>
      <c r="H519" s="2522"/>
      <c r="I519" s="177" t="s">
        <v>436</v>
      </c>
      <c r="J519" s="25"/>
      <c r="K519" s="25"/>
      <c r="L519" s="25"/>
      <c r="M519" s="25"/>
      <c r="N519" s="25"/>
      <c r="O519" s="25"/>
      <c r="P519" s="25"/>
      <c r="Q519" s="25"/>
      <c r="R519" s="25"/>
      <c r="S519" s="25"/>
      <c r="T519" s="25"/>
      <c r="U519" s="25"/>
      <c r="V519" s="25"/>
      <c r="W519" s="25"/>
      <c r="X519" s="25"/>
      <c r="Y519" s="25"/>
      <c r="AC519" s="2219" t="s">
        <v>628</v>
      </c>
      <c r="AD519" s="2220"/>
      <c r="AE519" s="2220"/>
      <c r="AF519" s="2220"/>
      <c r="AG519" s="75" t="s">
        <v>426</v>
      </c>
      <c r="AH519" s="2319"/>
      <c r="AI519" s="2319"/>
      <c r="AJ519" s="2319"/>
      <c r="AK519" s="232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20"/>
      <c r="C520" s="2521"/>
      <c r="D520" s="2521"/>
      <c r="E520" s="2521"/>
      <c r="F520" s="2521"/>
      <c r="G520" s="2521"/>
      <c r="H520" s="2522"/>
      <c r="I520" s="1526" t="s">
        <v>175</v>
      </c>
      <c r="J520" s="80"/>
      <c r="K520" s="80"/>
      <c r="L520" s="2496" t="s">
        <v>345</v>
      </c>
      <c r="M520" s="2497"/>
      <c r="N520" s="2497"/>
      <c r="O520" s="2497"/>
      <c r="P520" s="2497"/>
      <c r="Q520" s="2497"/>
      <c r="R520" s="2497"/>
      <c r="S520" s="2497"/>
      <c r="T520" s="2497"/>
      <c r="U520" s="2497"/>
      <c r="V520" s="2497"/>
      <c r="W520" s="2497"/>
      <c r="X520" s="2497"/>
      <c r="Y520" s="2497"/>
      <c r="Z520" s="2497"/>
      <c r="AA520" s="2497"/>
      <c r="AB520" s="2498"/>
      <c r="AC520" s="2431" t="s">
        <v>628</v>
      </c>
      <c r="AD520" s="2276"/>
      <c r="AE520" s="2276"/>
      <c r="AF520" s="2276"/>
      <c r="AG520" s="1497" t="s">
        <v>426</v>
      </c>
      <c r="AH520" s="2319"/>
      <c r="AI520" s="2319"/>
      <c r="AJ520" s="2319"/>
      <c r="AK520" s="232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71" t="s">
        <v>708</v>
      </c>
      <c r="AD521" s="2571"/>
      <c r="AE521" s="2571"/>
      <c r="AF521" s="2571"/>
      <c r="AG521" s="1805"/>
      <c r="AH521" s="2564"/>
      <c r="AI521" s="2564"/>
      <c r="AJ521" s="2564"/>
      <c r="AK521" s="256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9"/>
      <c r="AD522" s="2220"/>
      <c r="AE522" s="2220"/>
      <c r="AF522" s="2221"/>
      <c r="AG522" s="1805"/>
      <c r="AH522" s="2564"/>
      <c r="AI522" s="2564"/>
      <c r="AJ522" s="2564"/>
      <c r="AK522" s="256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66">
        <v>0</v>
      </c>
      <c r="AD524" s="2567"/>
      <c r="AE524" s="2567"/>
      <c r="AF524" s="2568"/>
      <c r="AG524" s="1806"/>
      <c r="AH524" s="2569"/>
      <c r="AI524" s="2569"/>
      <c r="AJ524" s="2569"/>
      <c r="AK524" s="257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76" t="s">
        <v>425</v>
      </c>
      <c r="AD525" s="2577"/>
      <c r="AE525" s="2577"/>
      <c r="AF525" s="2577"/>
      <c r="AG525" s="1806" t="s">
        <v>426</v>
      </c>
      <c r="AH525" s="2577" t="s">
        <v>427</v>
      </c>
      <c r="AI525" s="2577"/>
      <c r="AJ525" s="2577"/>
      <c r="AK525" s="257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7" t="s">
        <v>437</v>
      </c>
      <c r="C526" s="2518"/>
      <c r="D526" s="2518"/>
      <c r="E526" s="2518"/>
      <c r="F526" s="2518"/>
      <c r="G526" s="2518"/>
      <c r="H526" s="2519"/>
      <c r="I526" s="72" t="s">
        <v>438</v>
      </c>
      <c r="J526" s="72"/>
      <c r="K526" s="72"/>
      <c r="L526" s="72"/>
      <c r="M526" s="72"/>
      <c r="N526" s="72"/>
      <c r="O526" s="72"/>
      <c r="P526" s="72"/>
      <c r="Q526" s="72"/>
      <c r="R526" s="72"/>
      <c r="S526" s="72"/>
      <c r="T526" s="72"/>
      <c r="U526" s="72"/>
      <c r="V526" s="72"/>
      <c r="W526" s="72"/>
      <c r="X526" s="25"/>
      <c r="Y526" s="25"/>
      <c r="AC526" s="2431">
        <v>1</v>
      </c>
      <c r="AD526" s="2276"/>
      <c r="AE526" s="2276"/>
      <c r="AF526" s="2276"/>
      <c r="AG526" s="75" t="s">
        <v>426</v>
      </c>
      <c r="AH526" s="2319">
        <v>2021</v>
      </c>
      <c r="AI526" s="2319"/>
      <c r="AJ526" s="2319"/>
      <c r="AK526" s="232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20"/>
      <c r="C527" s="2521"/>
      <c r="D527" s="2521"/>
      <c r="E527" s="2521"/>
      <c r="F527" s="2521"/>
      <c r="G527" s="2521"/>
      <c r="H527" s="2522"/>
      <c r="I527" s="25" t="s">
        <v>439</v>
      </c>
      <c r="J527" s="25"/>
      <c r="K527" s="25"/>
      <c r="L527" s="25"/>
      <c r="M527" s="25"/>
      <c r="N527" s="25"/>
      <c r="O527" s="25"/>
      <c r="P527" s="25"/>
      <c r="Q527" s="25"/>
      <c r="R527" s="25"/>
      <c r="S527" s="25"/>
      <c r="T527" s="25"/>
      <c r="U527" s="25"/>
      <c r="V527" s="25"/>
      <c r="W527" s="25"/>
      <c r="X527" s="25"/>
      <c r="Y527" s="25"/>
      <c r="AC527" s="2431">
        <v>1</v>
      </c>
      <c r="AD527" s="2276"/>
      <c r="AE527" s="2276"/>
      <c r="AF527" s="2276"/>
      <c r="AG527" s="75" t="s">
        <v>426</v>
      </c>
      <c r="AH527" s="2319">
        <v>2021</v>
      </c>
      <c r="AI527" s="2319"/>
      <c r="AJ527" s="2319"/>
      <c r="AK527" s="232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20"/>
      <c r="C528" s="2521"/>
      <c r="D528" s="2521"/>
      <c r="E528" s="2521"/>
      <c r="F528" s="2521"/>
      <c r="G528" s="2521"/>
      <c r="H528" s="2522"/>
      <c r="I528" s="80" t="s">
        <v>440</v>
      </c>
      <c r="J528" s="80"/>
      <c r="K528" s="80"/>
      <c r="L528" s="80"/>
      <c r="M528" s="80"/>
      <c r="N528" s="80"/>
      <c r="O528" s="80"/>
      <c r="P528" s="80"/>
      <c r="Q528" s="80"/>
      <c r="R528" s="80"/>
      <c r="S528" s="80"/>
      <c r="T528" s="80"/>
      <c r="U528" s="80"/>
      <c r="V528" s="80"/>
      <c r="W528" s="80"/>
      <c r="X528" s="80"/>
      <c r="Y528" s="80"/>
      <c r="Z528" s="80"/>
      <c r="AA528" s="80"/>
      <c r="AB528" s="80"/>
      <c r="AC528" s="2431">
        <v>10</v>
      </c>
      <c r="AD528" s="2276"/>
      <c r="AE528" s="2276"/>
      <c r="AF528" s="2276"/>
      <c r="AG528" s="65" t="s">
        <v>426</v>
      </c>
      <c r="AH528" s="2319">
        <v>2021</v>
      </c>
      <c r="AI528" s="2319"/>
      <c r="AJ528" s="2319"/>
      <c r="AK528" s="232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7" t="s">
        <v>441</v>
      </c>
      <c r="C529" s="2518"/>
      <c r="D529" s="2518"/>
      <c r="E529" s="2518"/>
      <c r="F529" s="2518"/>
      <c r="G529" s="2518"/>
      <c r="H529" s="2519"/>
      <c r="I529" s="72" t="s">
        <v>438</v>
      </c>
      <c r="J529" s="72"/>
      <c r="K529" s="72"/>
      <c r="L529" s="72"/>
      <c r="M529" s="72"/>
      <c r="N529" s="72"/>
      <c r="O529" s="72"/>
      <c r="P529" s="72"/>
      <c r="Q529" s="72"/>
      <c r="R529" s="72"/>
      <c r="S529" s="72"/>
      <c r="T529" s="72"/>
      <c r="U529" s="72"/>
      <c r="V529" s="72"/>
      <c r="W529" s="72"/>
      <c r="X529" s="72"/>
      <c r="Y529" s="72"/>
      <c r="Z529" s="72"/>
      <c r="AA529" s="72"/>
      <c r="AB529" s="72"/>
      <c r="AC529" s="2219">
        <v>1</v>
      </c>
      <c r="AD529" s="2220"/>
      <c r="AE529" s="2220"/>
      <c r="AF529" s="2220"/>
      <c r="AG529" s="196" t="s">
        <v>426</v>
      </c>
      <c r="AH529" s="2319">
        <v>2021</v>
      </c>
      <c r="AI529" s="2319"/>
      <c r="AJ529" s="2319"/>
      <c r="AK529" s="232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20"/>
      <c r="C530" s="2521"/>
      <c r="D530" s="2521"/>
      <c r="E530" s="2521"/>
      <c r="F530" s="2521"/>
      <c r="G530" s="2521"/>
      <c r="H530" s="2522"/>
      <c r="I530" s="25" t="s">
        <v>439</v>
      </c>
      <c r="J530" s="25"/>
      <c r="K530" s="25"/>
      <c r="L530" s="25"/>
      <c r="M530" s="25"/>
      <c r="N530" s="25"/>
      <c r="O530" s="25"/>
      <c r="P530" s="25"/>
      <c r="Q530" s="25"/>
      <c r="R530" s="25"/>
      <c r="S530" s="25"/>
      <c r="T530" s="25"/>
      <c r="U530" s="25"/>
      <c r="V530" s="25"/>
      <c r="W530" s="25"/>
      <c r="X530" s="25"/>
      <c r="Y530" s="25"/>
      <c r="Z530" s="25"/>
      <c r="AA530" s="25"/>
      <c r="AB530" s="25"/>
      <c r="AC530" s="2431">
        <v>1</v>
      </c>
      <c r="AD530" s="2276"/>
      <c r="AE530" s="2276"/>
      <c r="AF530" s="2276"/>
      <c r="AG530" s="75" t="s">
        <v>426</v>
      </c>
      <c r="AH530" s="2319">
        <v>2021</v>
      </c>
      <c r="AI530" s="2319"/>
      <c r="AJ530" s="2319"/>
      <c r="AK530" s="232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3"/>
      <c r="C531" s="2524"/>
      <c r="D531" s="2524"/>
      <c r="E531" s="2524"/>
      <c r="F531" s="2524"/>
      <c r="G531" s="2524"/>
      <c r="H531" s="2525"/>
      <c r="I531" s="80" t="s">
        <v>440</v>
      </c>
      <c r="J531" s="80"/>
      <c r="K531" s="80"/>
      <c r="L531" s="80"/>
      <c r="M531" s="80"/>
      <c r="N531" s="80"/>
      <c r="O531" s="80"/>
      <c r="P531" s="80"/>
      <c r="Q531" s="80"/>
      <c r="R531" s="80"/>
      <c r="S531" s="80"/>
      <c r="T531" s="80"/>
      <c r="U531" s="80"/>
      <c r="V531" s="80"/>
      <c r="W531" s="80"/>
      <c r="X531" s="80"/>
      <c r="Y531" s="80"/>
      <c r="Z531" s="80"/>
      <c r="AA531" s="80"/>
      <c r="AB531" s="80"/>
      <c r="AC531" s="2431">
        <v>10</v>
      </c>
      <c r="AD531" s="2276"/>
      <c r="AE531" s="2276"/>
      <c r="AF531" s="2276"/>
      <c r="AG531" s="65" t="s">
        <v>426</v>
      </c>
      <c r="AH531" s="2319">
        <v>2021</v>
      </c>
      <c r="AI531" s="2319"/>
      <c r="AJ531" s="2319"/>
      <c r="AK531" s="232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7" t="s">
        <v>442</v>
      </c>
      <c r="C532" s="2518"/>
      <c r="D532" s="2518"/>
      <c r="E532" s="2518"/>
      <c r="F532" s="2518"/>
      <c r="G532" s="2518"/>
      <c r="H532" s="2519"/>
      <c r="I532" s="71" t="s">
        <v>443</v>
      </c>
      <c r="J532" s="72"/>
      <c r="K532" s="72"/>
      <c r="L532" s="72"/>
      <c r="M532" s="72"/>
      <c r="N532" s="72"/>
      <c r="O532" s="2262" t="s">
        <v>2562</v>
      </c>
      <c r="P532" s="2262"/>
      <c r="Q532" s="2262"/>
      <c r="R532" s="2262"/>
      <c r="S532" s="2262"/>
      <c r="T532" s="2262"/>
      <c r="U532" s="2262"/>
      <c r="V532" s="2262"/>
      <c r="W532" s="2262"/>
      <c r="X532" s="2262"/>
      <c r="Y532" s="2262"/>
      <c r="Z532" s="2262"/>
      <c r="AA532" s="2262"/>
      <c r="AB532" s="94"/>
      <c r="AC532" s="2219"/>
      <c r="AD532" s="2220"/>
      <c r="AE532" s="2220"/>
      <c r="AF532" s="2220"/>
      <c r="AG532" s="196" t="s">
        <v>426</v>
      </c>
      <c r="AH532" s="2319"/>
      <c r="AI532" s="2319"/>
      <c r="AJ532" s="2319"/>
      <c r="AK532" s="232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20"/>
      <c r="C533" s="2521"/>
      <c r="D533" s="2521"/>
      <c r="E533" s="2521"/>
      <c r="F533" s="2521"/>
      <c r="G533" s="2521"/>
      <c r="H533" s="2522"/>
      <c r="I533" s="171" t="s">
        <v>444</v>
      </c>
      <c r="J533" s="25"/>
      <c r="K533" s="25"/>
      <c r="L533" s="25"/>
      <c r="M533" s="25"/>
      <c r="N533" s="25"/>
      <c r="O533" s="25"/>
      <c r="P533" s="25"/>
      <c r="Q533" s="25"/>
      <c r="R533" s="25"/>
      <c r="S533" s="25"/>
      <c r="T533" s="25"/>
      <c r="U533" s="25"/>
      <c r="V533" s="25"/>
      <c r="W533" s="25"/>
      <c r="X533" s="25"/>
      <c r="Y533" s="25"/>
      <c r="Z533" s="25"/>
      <c r="AA533" s="25"/>
      <c r="AB533" s="101"/>
      <c r="AC533" s="2431">
        <v>1</v>
      </c>
      <c r="AD533" s="2276"/>
      <c r="AE533" s="2276"/>
      <c r="AF533" s="2276"/>
      <c r="AG533" s="75" t="s">
        <v>426</v>
      </c>
      <c r="AH533" s="2319">
        <v>2021</v>
      </c>
      <c r="AI533" s="2319"/>
      <c r="AJ533" s="2319"/>
      <c r="AK533" s="232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20"/>
      <c r="C534" s="2521"/>
      <c r="D534" s="2521"/>
      <c r="E534" s="2521"/>
      <c r="F534" s="2521"/>
      <c r="G534" s="2521"/>
      <c r="H534" s="2522"/>
      <c r="I534" s="79" t="s">
        <v>445</v>
      </c>
      <c r="J534" s="80"/>
      <c r="K534" s="80"/>
      <c r="L534" s="80"/>
      <c r="M534" s="80"/>
      <c r="N534" s="80"/>
      <c r="O534" s="80"/>
      <c r="P534" s="80"/>
      <c r="Q534" s="80"/>
      <c r="R534" s="80"/>
      <c r="S534" s="80"/>
      <c r="T534" s="80"/>
      <c r="U534" s="80"/>
      <c r="V534" s="80"/>
      <c r="W534" s="80"/>
      <c r="X534" s="80"/>
      <c r="Y534" s="80"/>
      <c r="Z534" s="80"/>
      <c r="AA534" s="80"/>
      <c r="AB534" s="81"/>
      <c r="AC534" s="2431">
        <v>1</v>
      </c>
      <c r="AD534" s="2276"/>
      <c r="AE534" s="2276"/>
      <c r="AF534" s="2276"/>
      <c r="AG534" s="65" t="s">
        <v>426</v>
      </c>
      <c r="AH534" s="2319">
        <v>2021</v>
      </c>
      <c r="AI534" s="2319"/>
      <c r="AJ534" s="2319"/>
      <c r="AK534" s="232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20"/>
      <c r="C535" s="2521"/>
      <c r="D535" s="2521"/>
      <c r="E535" s="2521"/>
      <c r="F535" s="2521"/>
      <c r="G535" s="2521"/>
      <c r="H535" s="2522"/>
      <c r="I535" s="72" t="s">
        <v>446</v>
      </c>
      <c r="J535" s="72"/>
      <c r="K535" s="72"/>
      <c r="L535" s="72"/>
      <c r="M535" s="72"/>
      <c r="N535" s="72"/>
      <c r="O535" s="2030" t="s">
        <v>345</v>
      </c>
      <c r="P535" s="2030"/>
      <c r="Q535" s="2030"/>
      <c r="R535" s="2030"/>
      <c r="S535" s="2030"/>
      <c r="T535" s="2030"/>
      <c r="U535" s="2030"/>
      <c r="V535" s="2030"/>
      <c r="W535" s="2030"/>
      <c r="X535" s="2030"/>
      <c r="Y535" s="2030"/>
      <c r="Z535" s="2030"/>
      <c r="AA535" s="2030"/>
      <c r="AC535" s="2431" t="s">
        <v>628</v>
      </c>
      <c r="AD535" s="2276"/>
      <c r="AE535" s="2276"/>
      <c r="AF535" s="2276"/>
      <c r="AG535" s="75" t="s">
        <v>426</v>
      </c>
      <c r="AH535" s="2319"/>
      <c r="AI535" s="2319"/>
      <c r="AJ535" s="2319"/>
      <c r="AK535" s="232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20"/>
      <c r="C536" s="2521"/>
      <c r="D536" s="2521"/>
      <c r="E536" s="2521"/>
      <c r="F536" s="2521"/>
      <c r="G536" s="2521"/>
      <c r="H536" s="2522"/>
      <c r="I536" s="25" t="s">
        <v>444</v>
      </c>
      <c r="J536" s="25"/>
      <c r="K536" s="25"/>
      <c r="L536" s="25"/>
      <c r="M536" s="25"/>
      <c r="N536" s="25"/>
      <c r="O536" s="25"/>
      <c r="P536" s="25"/>
      <c r="Q536" s="25"/>
      <c r="R536" s="25"/>
      <c r="S536" s="25"/>
      <c r="T536" s="25"/>
      <c r="U536" s="25"/>
      <c r="V536" s="25"/>
      <c r="W536" s="25"/>
      <c r="X536" s="25"/>
      <c r="Y536" s="25"/>
      <c r="AC536" s="2431" t="s">
        <v>628</v>
      </c>
      <c r="AD536" s="2276"/>
      <c r="AE536" s="2276"/>
      <c r="AF536" s="2276"/>
      <c r="AG536" s="75" t="s">
        <v>426</v>
      </c>
      <c r="AH536" s="2319"/>
      <c r="AI536" s="2319"/>
      <c r="AJ536" s="2319"/>
      <c r="AK536" s="232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20"/>
      <c r="C537" s="2521"/>
      <c r="D537" s="2521"/>
      <c r="E537" s="2521"/>
      <c r="F537" s="2521"/>
      <c r="G537" s="2521"/>
      <c r="H537" s="2522"/>
      <c r="I537" s="80" t="s">
        <v>445</v>
      </c>
      <c r="J537" s="80"/>
      <c r="K537" s="80"/>
      <c r="L537" s="80"/>
      <c r="M537" s="80"/>
      <c r="N537" s="80"/>
      <c r="O537" s="80"/>
      <c r="P537" s="80"/>
      <c r="Q537" s="80"/>
      <c r="R537" s="80"/>
      <c r="S537" s="80"/>
      <c r="T537" s="80"/>
      <c r="U537" s="80"/>
      <c r="V537" s="80"/>
      <c r="W537" s="80"/>
      <c r="X537" s="80"/>
      <c r="Y537" s="80"/>
      <c r="Z537" s="80"/>
      <c r="AA537" s="80"/>
      <c r="AB537" s="80"/>
      <c r="AC537" s="2431" t="s">
        <v>628</v>
      </c>
      <c r="AD537" s="2276"/>
      <c r="AE537" s="2276"/>
      <c r="AF537" s="2276"/>
      <c r="AG537" s="65" t="s">
        <v>426</v>
      </c>
      <c r="AH537" s="2319"/>
      <c r="AI537" s="2319"/>
      <c r="AJ537" s="2319"/>
      <c r="AK537" s="232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20"/>
      <c r="C538" s="2521"/>
      <c r="D538" s="2521"/>
      <c r="E538" s="2521"/>
      <c r="F538" s="2521"/>
      <c r="G538" s="2521"/>
      <c r="H538" s="2522"/>
      <c r="I538" s="72" t="s">
        <v>446</v>
      </c>
      <c r="J538" s="72"/>
      <c r="K538" s="72"/>
      <c r="L538" s="72"/>
      <c r="M538" s="72"/>
      <c r="N538" s="72"/>
      <c r="O538" s="2030" t="s">
        <v>345</v>
      </c>
      <c r="P538" s="2030"/>
      <c r="Q538" s="2030"/>
      <c r="R538" s="2030"/>
      <c r="S538" s="2030"/>
      <c r="T538" s="2030"/>
      <c r="U538" s="2030"/>
      <c r="V538" s="2030"/>
      <c r="W538" s="2030"/>
      <c r="X538" s="2030"/>
      <c r="Y538" s="2030"/>
      <c r="Z538" s="2030"/>
      <c r="AA538" s="2030"/>
      <c r="AC538" s="2431" t="s">
        <v>628</v>
      </c>
      <c r="AD538" s="2276"/>
      <c r="AE538" s="2276"/>
      <c r="AF538" s="2276"/>
      <c r="AG538" s="75" t="s">
        <v>426</v>
      </c>
      <c r="AH538" s="2319"/>
      <c r="AI538" s="2319"/>
      <c r="AJ538" s="2319"/>
      <c r="AK538" s="232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20"/>
      <c r="C539" s="2521"/>
      <c r="D539" s="2521"/>
      <c r="E539" s="2521"/>
      <c r="F539" s="2521"/>
      <c r="G539" s="2521"/>
      <c r="H539" s="2522"/>
      <c r="I539" s="25" t="s">
        <v>444</v>
      </c>
      <c r="J539" s="25"/>
      <c r="K539" s="25"/>
      <c r="L539" s="25"/>
      <c r="M539" s="25"/>
      <c r="N539" s="25"/>
      <c r="O539" s="25"/>
      <c r="P539" s="25"/>
      <c r="Q539" s="25"/>
      <c r="R539" s="25"/>
      <c r="S539" s="25"/>
      <c r="T539" s="25"/>
      <c r="U539" s="25"/>
      <c r="V539" s="25"/>
      <c r="W539" s="25"/>
      <c r="X539" s="25"/>
      <c r="Y539" s="25"/>
      <c r="AC539" s="2431" t="s">
        <v>628</v>
      </c>
      <c r="AD539" s="2276"/>
      <c r="AE539" s="2276"/>
      <c r="AF539" s="2276"/>
      <c r="AG539" s="75" t="s">
        <v>426</v>
      </c>
      <c r="AH539" s="2319"/>
      <c r="AI539" s="2319"/>
      <c r="AJ539" s="2319"/>
      <c r="AK539" s="232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20"/>
      <c r="C540" s="2521"/>
      <c r="D540" s="2521"/>
      <c r="E540" s="2521"/>
      <c r="F540" s="2521"/>
      <c r="G540" s="2521"/>
      <c r="H540" s="2522"/>
      <c r="I540" s="80" t="s">
        <v>445</v>
      </c>
      <c r="J540" s="80"/>
      <c r="K540" s="80"/>
      <c r="L540" s="80"/>
      <c r="M540" s="80"/>
      <c r="N540" s="80"/>
      <c r="O540" s="80"/>
      <c r="P540" s="80"/>
      <c r="Q540" s="80"/>
      <c r="R540" s="80"/>
      <c r="S540" s="80"/>
      <c r="T540" s="80"/>
      <c r="U540" s="80"/>
      <c r="V540" s="80"/>
      <c r="W540" s="80"/>
      <c r="X540" s="80"/>
      <c r="Y540" s="80"/>
      <c r="Z540" s="80"/>
      <c r="AA540" s="80"/>
      <c r="AB540" s="80"/>
      <c r="AC540" s="2431" t="s">
        <v>628</v>
      </c>
      <c r="AD540" s="2276"/>
      <c r="AE540" s="2276"/>
      <c r="AF540" s="2276"/>
      <c r="AG540" s="65" t="s">
        <v>426</v>
      </c>
      <c r="AH540" s="2319"/>
      <c r="AI540" s="2319"/>
      <c r="AJ540" s="2319"/>
      <c r="AK540" s="232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20"/>
      <c r="C541" s="2521"/>
      <c r="D541" s="2521"/>
      <c r="E541" s="2521"/>
      <c r="F541" s="2521"/>
      <c r="G541" s="2521"/>
      <c r="H541" s="2522"/>
      <c r="I541" s="72" t="s">
        <v>446</v>
      </c>
      <c r="J541" s="72"/>
      <c r="K541" s="72"/>
      <c r="L541" s="72"/>
      <c r="M541" s="72"/>
      <c r="N541" s="72"/>
      <c r="O541" s="2030" t="s">
        <v>345</v>
      </c>
      <c r="P541" s="2030"/>
      <c r="Q541" s="2030"/>
      <c r="R541" s="2030"/>
      <c r="S541" s="2030"/>
      <c r="T541" s="2030"/>
      <c r="U541" s="2030"/>
      <c r="V541" s="2030"/>
      <c r="W541" s="2030"/>
      <c r="X541" s="2030"/>
      <c r="Y541" s="2030"/>
      <c r="Z541" s="2030"/>
      <c r="AA541" s="2030"/>
      <c r="AC541" s="2431" t="s">
        <v>628</v>
      </c>
      <c r="AD541" s="2276"/>
      <c r="AE541" s="2276"/>
      <c r="AF541" s="2276"/>
      <c r="AG541" s="75" t="s">
        <v>426</v>
      </c>
      <c r="AH541" s="2319"/>
      <c r="AI541" s="2319"/>
      <c r="AJ541" s="2319"/>
      <c r="AK541" s="232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20"/>
      <c r="C542" s="2521"/>
      <c r="D542" s="2521"/>
      <c r="E542" s="2521"/>
      <c r="F542" s="2521"/>
      <c r="G542" s="2521"/>
      <c r="H542" s="2522"/>
      <c r="I542" s="25" t="s">
        <v>444</v>
      </c>
      <c r="J542" s="25"/>
      <c r="K542" s="25"/>
      <c r="L542" s="25"/>
      <c r="M542" s="25"/>
      <c r="N542" s="25"/>
      <c r="O542" s="25"/>
      <c r="P542" s="25"/>
      <c r="Q542" s="25"/>
      <c r="R542" s="25"/>
      <c r="S542" s="25"/>
      <c r="T542" s="25"/>
      <c r="U542" s="25"/>
      <c r="V542" s="25"/>
      <c r="W542" s="25"/>
      <c r="X542" s="25"/>
      <c r="Y542" s="25"/>
      <c r="AC542" s="2431" t="s">
        <v>628</v>
      </c>
      <c r="AD542" s="2276"/>
      <c r="AE542" s="2276"/>
      <c r="AF542" s="2276"/>
      <c r="AG542" s="75" t="s">
        <v>426</v>
      </c>
      <c r="AH542" s="2319"/>
      <c r="AI542" s="2319"/>
      <c r="AJ542" s="2319"/>
      <c r="AK542" s="232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20"/>
      <c r="C543" s="2521"/>
      <c r="D543" s="2521"/>
      <c r="E543" s="2521"/>
      <c r="F543" s="2521"/>
      <c r="G543" s="2521"/>
      <c r="H543" s="2522"/>
      <c r="I543" s="80" t="s">
        <v>445</v>
      </c>
      <c r="J543" s="80"/>
      <c r="K543" s="80"/>
      <c r="L543" s="80"/>
      <c r="M543" s="80"/>
      <c r="N543" s="80"/>
      <c r="O543" s="80"/>
      <c r="P543" s="80"/>
      <c r="Q543" s="80"/>
      <c r="R543" s="80"/>
      <c r="S543" s="80"/>
      <c r="T543" s="80"/>
      <c r="U543" s="80"/>
      <c r="V543" s="80"/>
      <c r="W543" s="80"/>
      <c r="X543" s="80"/>
      <c r="Y543" s="80"/>
      <c r="Z543" s="80"/>
      <c r="AA543" s="80"/>
      <c r="AB543" s="80"/>
      <c r="AC543" s="2431" t="s">
        <v>628</v>
      </c>
      <c r="AD543" s="2276"/>
      <c r="AE543" s="2276"/>
      <c r="AF543" s="2276"/>
      <c r="AG543" s="65" t="s">
        <v>426</v>
      </c>
      <c r="AH543" s="2319"/>
      <c r="AI543" s="2319"/>
      <c r="AJ543" s="2319"/>
      <c r="AK543" s="232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20"/>
      <c r="C544" s="2521"/>
      <c r="D544" s="2521"/>
      <c r="E544" s="2521"/>
      <c r="F544" s="2521"/>
      <c r="G544" s="2521"/>
      <c r="H544" s="2522"/>
      <c r="I544" s="72" t="s">
        <v>446</v>
      </c>
      <c r="J544" s="72"/>
      <c r="K544" s="72"/>
      <c r="L544" s="72"/>
      <c r="M544" s="72"/>
      <c r="N544" s="72"/>
      <c r="O544" s="2030" t="s">
        <v>345</v>
      </c>
      <c r="P544" s="2030"/>
      <c r="Q544" s="2030"/>
      <c r="R544" s="2030"/>
      <c r="S544" s="2030"/>
      <c r="T544" s="2030"/>
      <c r="U544" s="2030"/>
      <c r="V544" s="2030"/>
      <c r="W544" s="2030"/>
      <c r="X544" s="2030"/>
      <c r="Y544" s="2030"/>
      <c r="Z544" s="2030"/>
      <c r="AA544" s="2030"/>
      <c r="AC544" s="2431" t="s">
        <v>628</v>
      </c>
      <c r="AD544" s="2276"/>
      <c r="AE544" s="2276"/>
      <c r="AF544" s="2276"/>
      <c r="AG544" s="75" t="s">
        <v>426</v>
      </c>
      <c r="AH544" s="2319"/>
      <c r="AI544" s="2319"/>
      <c r="AJ544" s="2319"/>
      <c r="AK544" s="232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20"/>
      <c r="C545" s="2521"/>
      <c r="D545" s="2521"/>
      <c r="E545" s="2521"/>
      <c r="F545" s="2521"/>
      <c r="G545" s="2521"/>
      <c r="H545" s="2522"/>
      <c r="I545" s="25" t="s">
        <v>444</v>
      </c>
      <c r="J545" s="25"/>
      <c r="K545" s="25"/>
      <c r="L545" s="25"/>
      <c r="M545" s="25"/>
      <c r="N545" s="25"/>
      <c r="O545" s="25"/>
      <c r="P545" s="25"/>
      <c r="Q545" s="25"/>
      <c r="R545" s="25"/>
      <c r="S545" s="25"/>
      <c r="T545" s="25"/>
      <c r="U545" s="25"/>
      <c r="V545" s="25"/>
      <c r="W545" s="25"/>
      <c r="X545" s="25"/>
      <c r="Y545" s="25"/>
      <c r="AC545" s="2431" t="s">
        <v>628</v>
      </c>
      <c r="AD545" s="2276"/>
      <c r="AE545" s="2276"/>
      <c r="AF545" s="2276"/>
      <c r="AG545" s="65" t="s">
        <v>426</v>
      </c>
      <c r="AH545" s="2319"/>
      <c r="AI545" s="2319"/>
      <c r="AJ545" s="2319"/>
      <c r="AK545" s="232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20"/>
      <c r="C546" s="2521"/>
      <c r="D546" s="2521"/>
      <c r="E546" s="2521"/>
      <c r="F546" s="2521"/>
      <c r="G546" s="2521"/>
      <c r="H546" s="2522"/>
      <c r="I546" s="80" t="s">
        <v>445</v>
      </c>
      <c r="J546" s="80"/>
      <c r="K546" s="80"/>
      <c r="L546" s="80"/>
      <c r="M546" s="80"/>
      <c r="N546" s="80"/>
      <c r="O546" s="80"/>
      <c r="P546" s="80"/>
      <c r="Q546" s="80"/>
      <c r="R546" s="80"/>
      <c r="S546" s="80"/>
      <c r="T546" s="80"/>
      <c r="U546" s="80"/>
      <c r="V546" s="80"/>
      <c r="W546" s="80"/>
      <c r="X546" s="80"/>
      <c r="Y546" s="80"/>
      <c r="Z546" s="80"/>
      <c r="AA546" s="80"/>
      <c r="AB546" s="80"/>
      <c r="AC546" s="2431" t="s">
        <v>628</v>
      </c>
      <c r="AD546" s="2276"/>
      <c r="AE546" s="2276"/>
      <c r="AF546" s="2276"/>
      <c r="AG546" s="75" t="s">
        <v>426</v>
      </c>
      <c r="AH546" s="2319"/>
      <c r="AI546" s="2319"/>
      <c r="AJ546" s="2319"/>
      <c r="AK546" s="232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20"/>
      <c r="C547" s="2521"/>
      <c r="D547" s="2521"/>
      <c r="E547" s="2521"/>
      <c r="F547" s="2521"/>
      <c r="G547" s="2521"/>
      <c r="H547" s="2522"/>
      <c r="I547" s="72" t="s">
        <v>446</v>
      </c>
      <c r="J547" s="72"/>
      <c r="K547" s="72"/>
      <c r="L547" s="72"/>
      <c r="M547" s="72"/>
      <c r="N547" s="72"/>
      <c r="O547" s="2030" t="s">
        <v>345</v>
      </c>
      <c r="P547" s="2030"/>
      <c r="Q547" s="2030"/>
      <c r="R547" s="2030"/>
      <c r="S547" s="2030"/>
      <c r="T547" s="2030"/>
      <c r="U547" s="2030"/>
      <c r="V547" s="2030"/>
      <c r="W547" s="2030"/>
      <c r="X547" s="2030"/>
      <c r="Y547" s="2030"/>
      <c r="Z547" s="2030"/>
      <c r="AA547" s="2030"/>
      <c r="AC547" s="2431" t="s">
        <v>628</v>
      </c>
      <c r="AD547" s="2276"/>
      <c r="AE547" s="2276"/>
      <c r="AF547" s="2276"/>
      <c r="AG547" s="65" t="s">
        <v>426</v>
      </c>
      <c r="AH547" s="2319"/>
      <c r="AI547" s="2319"/>
      <c r="AJ547" s="2319"/>
      <c r="AK547" s="232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20"/>
      <c r="C548" s="2521"/>
      <c r="D548" s="2521"/>
      <c r="E548" s="2521"/>
      <c r="F548" s="2521"/>
      <c r="G548" s="2521"/>
      <c r="H548" s="2522"/>
      <c r="I548" s="25" t="s">
        <v>444</v>
      </c>
      <c r="J548" s="25"/>
      <c r="K548" s="25"/>
      <c r="L548" s="25"/>
      <c r="M548" s="25"/>
      <c r="N548" s="25"/>
      <c r="O548" s="25"/>
      <c r="P548" s="25"/>
      <c r="Q548" s="25"/>
      <c r="R548" s="25"/>
      <c r="S548" s="25"/>
      <c r="T548" s="25"/>
      <c r="U548" s="25"/>
      <c r="V548" s="25"/>
      <c r="W548" s="25"/>
      <c r="X548" s="25"/>
      <c r="Y548" s="25"/>
      <c r="AC548" s="2431" t="s">
        <v>628</v>
      </c>
      <c r="AD548" s="2276"/>
      <c r="AE548" s="2276"/>
      <c r="AF548" s="2276"/>
      <c r="AG548" s="75" t="s">
        <v>426</v>
      </c>
      <c r="AH548" s="2319"/>
      <c r="AI548" s="2319"/>
      <c r="AJ548" s="2319"/>
      <c r="AK548" s="232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20"/>
      <c r="C549" s="2521"/>
      <c r="D549" s="2521"/>
      <c r="E549" s="2521"/>
      <c r="F549" s="2521"/>
      <c r="G549" s="2521"/>
      <c r="H549" s="2522"/>
      <c r="I549" s="80" t="s">
        <v>445</v>
      </c>
      <c r="J549" s="80"/>
      <c r="K549" s="80"/>
      <c r="L549" s="80"/>
      <c r="M549" s="80"/>
      <c r="N549" s="80"/>
      <c r="O549" s="80"/>
      <c r="P549" s="80"/>
      <c r="Q549" s="80"/>
      <c r="R549" s="80"/>
      <c r="S549" s="80"/>
      <c r="T549" s="80"/>
      <c r="U549" s="80"/>
      <c r="V549" s="80"/>
      <c r="W549" s="80"/>
      <c r="X549" s="80"/>
      <c r="Y549" s="80"/>
      <c r="Z549" s="80"/>
      <c r="AA549" s="80"/>
      <c r="AB549" s="80"/>
      <c r="AC549" s="2431" t="s">
        <v>628</v>
      </c>
      <c r="AD549" s="2276"/>
      <c r="AE549" s="2276"/>
      <c r="AF549" s="2276"/>
      <c r="AG549" s="65" t="s">
        <v>426</v>
      </c>
      <c r="AH549" s="2319"/>
      <c r="AI549" s="2319"/>
      <c r="AJ549" s="2319"/>
      <c r="AK549" s="232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20"/>
      <c r="C550" s="2521"/>
      <c r="D550" s="2521"/>
      <c r="E550" s="2521"/>
      <c r="F550" s="2521"/>
      <c r="G550" s="2521"/>
      <c r="H550" s="2522"/>
      <c r="I550" s="72" t="s">
        <v>597</v>
      </c>
      <c r="J550" s="72"/>
      <c r="K550" s="72"/>
      <c r="L550" s="72"/>
      <c r="M550" s="72"/>
      <c r="N550" s="72"/>
      <c r="O550" s="72"/>
      <c r="P550" s="72"/>
      <c r="Q550" s="72"/>
      <c r="R550" s="72"/>
      <c r="S550" s="72"/>
      <c r="T550" s="72"/>
      <c r="U550" s="72"/>
      <c r="V550" s="72"/>
      <c r="W550" s="72"/>
      <c r="X550" s="25"/>
      <c r="Y550" s="25"/>
      <c r="AC550" s="2431">
        <v>3</v>
      </c>
      <c r="AD550" s="2276"/>
      <c r="AE550" s="2276"/>
      <c r="AF550" s="2276"/>
      <c r="AG550" s="65" t="s">
        <v>426</v>
      </c>
      <c r="AH550" s="2319">
        <v>2022</v>
      </c>
      <c r="AI550" s="2319"/>
      <c r="AJ550" s="2319"/>
      <c r="AK550" s="232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20"/>
      <c r="C551" s="2521"/>
      <c r="D551" s="2521"/>
      <c r="E551" s="2521"/>
      <c r="F551" s="2521"/>
      <c r="G551" s="2521"/>
      <c r="H551" s="2522"/>
      <c r="I551" s="25" t="s">
        <v>598</v>
      </c>
      <c r="J551" s="25"/>
      <c r="K551" s="25"/>
      <c r="L551" s="25"/>
      <c r="M551" s="25"/>
      <c r="N551" s="25"/>
      <c r="O551" s="25"/>
      <c r="P551" s="25"/>
      <c r="Q551" s="25"/>
      <c r="R551" s="25"/>
      <c r="S551" s="25"/>
      <c r="T551" s="25"/>
      <c r="U551" s="25"/>
      <c r="V551" s="25"/>
      <c r="W551" s="25"/>
      <c r="X551" s="25"/>
      <c r="Y551" s="25"/>
      <c r="AC551" s="2431">
        <v>10</v>
      </c>
      <c r="AD551" s="2276"/>
      <c r="AE551" s="2276"/>
      <c r="AF551" s="2276"/>
      <c r="AG551" s="75" t="s">
        <v>426</v>
      </c>
      <c r="AH551" s="2319">
        <v>2021</v>
      </c>
      <c r="AI551" s="2319"/>
      <c r="AJ551" s="2319"/>
      <c r="AK551" s="232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20"/>
      <c r="C552" s="2521"/>
      <c r="D552" s="2521"/>
      <c r="E552" s="2521"/>
      <c r="F552" s="2521"/>
      <c r="G552" s="2521"/>
      <c r="H552" s="2522"/>
      <c r="I552" s="25" t="s">
        <v>599</v>
      </c>
      <c r="J552" s="25"/>
      <c r="K552" s="25"/>
      <c r="L552" s="25"/>
      <c r="M552" s="25"/>
      <c r="N552" s="25"/>
      <c r="O552" s="25"/>
      <c r="P552" s="25"/>
      <c r="Q552" s="25"/>
      <c r="R552" s="25"/>
      <c r="S552" s="25"/>
      <c r="T552" s="25"/>
      <c r="U552" s="25"/>
      <c r="V552" s="25"/>
      <c r="W552" s="25"/>
      <c r="X552" s="25"/>
      <c r="Y552" s="25"/>
      <c r="AC552" s="2431">
        <v>8</v>
      </c>
      <c r="AD552" s="2276"/>
      <c r="AE552" s="2276"/>
      <c r="AF552" s="2276"/>
      <c r="AG552" s="65" t="s">
        <v>426</v>
      </c>
      <c r="AH552" s="2319">
        <v>2023</v>
      </c>
      <c r="AI552" s="2319"/>
      <c r="AJ552" s="2319"/>
      <c r="AK552" s="232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20"/>
      <c r="C553" s="2521"/>
      <c r="D553" s="2521"/>
      <c r="E553" s="2521"/>
      <c r="F553" s="2521"/>
      <c r="G553" s="2521"/>
      <c r="H553" s="2522"/>
      <c r="I553" s="25" t="s">
        <v>600</v>
      </c>
      <c r="J553" s="25"/>
      <c r="K553" s="25"/>
      <c r="L553" s="25"/>
      <c r="M553" s="25"/>
      <c r="N553" s="25"/>
      <c r="O553" s="25"/>
      <c r="P553" s="25"/>
      <c r="Q553" s="25"/>
      <c r="R553" s="25"/>
      <c r="S553" s="25"/>
      <c r="T553" s="25"/>
      <c r="U553" s="25"/>
      <c r="V553" s="25"/>
      <c r="W553" s="25"/>
      <c r="X553" s="25"/>
      <c r="Y553" s="25"/>
      <c r="AC553" s="2431">
        <v>12</v>
      </c>
      <c r="AD553" s="2276"/>
      <c r="AE553" s="2276"/>
      <c r="AF553" s="2276"/>
      <c r="AG553" s="65" t="s">
        <v>426</v>
      </c>
      <c r="AH553" s="2319">
        <v>2023</v>
      </c>
      <c r="AI553" s="2319"/>
      <c r="AJ553" s="2319"/>
      <c r="AK553" s="232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3"/>
      <c r="C554" s="2524"/>
      <c r="D554" s="2524"/>
      <c r="E554" s="2524"/>
      <c r="F554" s="2524"/>
      <c r="G554" s="2524"/>
      <c r="H554" s="2525"/>
      <c r="I554" s="80" t="s">
        <v>484</v>
      </c>
      <c r="J554" s="80"/>
      <c r="K554" s="80"/>
      <c r="L554" s="80"/>
      <c r="M554" s="80"/>
      <c r="N554" s="80"/>
      <c r="O554" s="80"/>
      <c r="P554" s="80"/>
      <c r="Q554" s="80"/>
      <c r="R554" s="80"/>
      <c r="S554" s="80"/>
      <c r="T554" s="80"/>
      <c r="U554" s="80"/>
      <c r="V554" s="80"/>
      <c r="W554" s="80"/>
      <c r="X554" s="80"/>
      <c r="Y554" s="80"/>
      <c r="Z554" s="80"/>
      <c r="AA554" s="80"/>
      <c r="AB554" s="80"/>
      <c r="AC554" s="2431">
        <v>12</v>
      </c>
      <c r="AD554" s="2276"/>
      <c r="AE554" s="2276"/>
      <c r="AF554" s="2276"/>
      <c r="AG554" s="65" t="s">
        <v>426</v>
      </c>
      <c r="AH554" s="2319">
        <v>2023</v>
      </c>
      <c r="AI554" s="2319"/>
      <c r="AJ554" s="2319"/>
      <c r="AK554" s="232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8" t="s">
        <v>578</v>
      </c>
      <c r="B556" s="1848"/>
      <c r="C556" s="1848"/>
      <c r="D556" s="1848"/>
      <c r="E556" s="1848"/>
      <c r="F556" s="1848"/>
      <c r="G556" s="1848"/>
      <c r="H556" s="1848"/>
      <c r="I556" s="1848"/>
      <c r="J556" s="1848"/>
      <c r="K556" s="1848"/>
      <c r="L556" s="1848"/>
      <c r="M556" s="1848"/>
      <c r="N556" s="1848"/>
      <c r="O556" s="1848"/>
      <c r="P556" s="1848"/>
      <c r="Q556" s="1848"/>
      <c r="R556" s="1848"/>
      <c r="S556" s="1848"/>
      <c r="T556" s="1848"/>
      <c r="U556" s="1848"/>
      <c r="V556" s="1848"/>
      <c r="W556" s="1848"/>
      <c r="X556" s="1848"/>
      <c r="Y556" s="1848"/>
      <c r="Z556" s="1848"/>
      <c r="AA556" s="1848"/>
      <c r="AB556" s="1848"/>
      <c r="AC556" s="1848"/>
      <c r="AD556" s="1848"/>
      <c r="AE556" s="1848"/>
      <c r="AF556" s="1848"/>
      <c r="AG556" s="1848"/>
      <c r="AH556" s="1848"/>
      <c r="AI556" s="1848"/>
      <c r="AJ556" s="1848"/>
      <c r="AK556" s="1848"/>
      <c r="AL556" s="1848"/>
      <c r="AM556" s="1848"/>
      <c r="AN556" s="1848"/>
      <c r="AO556" s="1848"/>
      <c r="AP556" s="1848"/>
      <c r="AQ556" s="1848"/>
      <c r="AR556" s="1848"/>
      <c r="AS556" s="184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8"/>
      <c r="B557" s="1848"/>
      <c r="C557" s="1848"/>
      <c r="D557" s="1848"/>
      <c r="E557" s="1848"/>
      <c r="F557" s="1848"/>
      <c r="G557" s="1848"/>
      <c r="H557" s="1848"/>
      <c r="I557" s="1848"/>
      <c r="J557" s="1848"/>
      <c r="K557" s="1848"/>
      <c r="L557" s="1848"/>
      <c r="M557" s="1848"/>
      <c r="N557" s="1848"/>
      <c r="O557" s="1848"/>
      <c r="P557" s="1848"/>
      <c r="Q557" s="1848"/>
      <c r="R557" s="1848"/>
      <c r="S557" s="1848"/>
      <c r="T557" s="1848"/>
      <c r="U557" s="1848"/>
      <c r="V557" s="1848"/>
      <c r="W557" s="1848"/>
      <c r="X557" s="1848"/>
      <c r="Y557" s="1848"/>
      <c r="Z557" s="1848"/>
      <c r="AA557" s="1848"/>
      <c r="AB557" s="1848"/>
      <c r="AC557" s="1848"/>
      <c r="AD557" s="1848"/>
      <c r="AE557" s="1848"/>
      <c r="AF557" s="1848"/>
      <c r="AG557" s="1848"/>
      <c r="AH557" s="1848"/>
      <c r="AI557" s="1848"/>
      <c r="AJ557" s="1848"/>
      <c r="AK557" s="1848"/>
      <c r="AL557" s="1848"/>
      <c r="AM557" s="1848"/>
      <c r="AN557" s="1848"/>
      <c r="AO557" s="1848"/>
      <c r="AP557" s="1848"/>
      <c r="AQ557" s="1848"/>
      <c r="AR557" s="1848"/>
      <c r="AS557" s="184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9" t="s">
        <v>486</v>
      </c>
      <c r="C563" s="2066"/>
      <c r="D563" s="2066"/>
      <c r="E563" s="2066"/>
      <c r="F563" s="2066"/>
      <c r="G563" s="2066"/>
      <c r="H563" s="2066"/>
      <c r="I563" s="2066"/>
      <c r="J563" s="2066"/>
      <c r="K563" s="2066"/>
      <c r="L563" s="2066"/>
      <c r="M563" s="2066"/>
      <c r="N563" s="2066"/>
      <c r="O563" s="2066"/>
      <c r="P563" s="2067"/>
      <c r="Q563" s="2449" t="s">
        <v>2445</v>
      </c>
      <c r="R563" s="2450"/>
      <c r="S563" s="2451"/>
      <c r="T563" s="2449" t="s">
        <v>2443</v>
      </c>
      <c r="U563" s="2450"/>
      <c r="V563" s="2451"/>
      <c r="W563" s="2449" t="s">
        <v>487</v>
      </c>
      <c r="X563" s="2450"/>
      <c r="Y563" s="2451"/>
      <c r="Z563" s="2449" t="s">
        <v>2444</v>
      </c>
      <c r="AA563" s="2450"/>
      <c r="AB563" s="2450"/>
      <c r="AC563" s="2450"/>
      <c r="AD563" s="2450"/>
      <c r="AE563" s="2449" t="s">
        <v>2166</v>
      </c>
      <c r="AF563" s="2450"/>
      <c r="AG563" s="2450"/>
      <c r="AH563" s="2451"/>
      <c r="AI563" s="2449" t="s">
        <v>2167</v>
      </c>
      <c r="AJ563" s="2450"/>
      <c r="AK563" s="2450"/>
      <c r="AL563" s="2451"/>
      <c r="AM563" s="2449" t="s">
        <v>488</v>
      </c>
      <c r="AN563" s="2450"/>
      <c r="AO563" s="2450"/>
      <c r="AP563" s="2450"/>
      <c r="AQ563" s="2450"/>
      <c r="AR563" s="2450"/>
      <c r="AS563" s="2451"/>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1" t="s">
        <v>2603</v>
      </c>
      <c r="D564" s="2081"/>
      <c r="E564" s="2081"/>
      <c r="F564" s="2081"/>
      <c r="G564" s="2081"/>
      <c r="H564" s="2081"/>
      <c r="I564" s="2081"/>
      <c r="J564" s="2081"/>
      <c r="K564" s="2081"/>
      <c r="L564" s="2081"/>
      <c r="M564" s="2081"/>
      <c r="N564" s="2081"/>
      <c r="O564" s="2081"/>
      <c r="P564" s="2082"/>
      <c r="Q564" s="2090">
        <v>36</v>
      </c>
      <c r="R564" s="2090"/>
      <c r="S564" s="2091"/>
      <c r="T564" s="2089"/>
      <c r="U564" s="2090"/>
      <c r="V564" s="2091"/>
      <c r="W564" s="2511">
        <v>3.5000000000000003E-2</v>
      </c>
      <c r="X564" s="2512"/>
      <c r="Y564" s="2513"/>
      <c r="Z564" s="2505" t="s">
        <v>2589</v>
      </c>
      <c r="AA564" s="2505"/>
      <c r="AB564" s="2505"/>
      <c r="AC564" s="2505"/>
      <c r="AD564" s="2505"/>
      <c r="AE564" s="2502">
        <v>1</v>
      </c>
      <c r="AF564" s="2503"/>
      <c r="AG564" s="2503"/>
      <c r="AH564" s="2504"/>
      <c r="AI564" s="2499"/>
      <c r="AJ564" s="2500"/>
      <c r="AK564" s="2500"/>
      <c r="AL564" s="2501"/>
      <c r="AM564" s="2036">
        <v>35000000</v>
      </c>
      <c r="AN564" s="2037"/>
      <c r="AO564" s="2037"/>
      <c r="AP564" s="2037"/>
      <c r="AQ564" s="2037"/>
      <c r="AR564" s="2037"/>
      <c r="AS564" s="2038"/>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1" t="s">
        <v>2602</v>
      </c>
      <c r="D565" s="2081"/>
      <c r="E565" s="2081"/>
      <c r="F565" s="2081"/>
      <c r="G565" s="2081"/>
      <c r="H565" s="2081"/>
      <c r="I565" s="2081"/>
      <c r="J565" s="2081"/>
      <c r="K565" s="2081"/>
      <c r="L565" s="2081"/>
      <c r="M565" s="2081"/>
      <c r="N565" s="2081"/>
      <c r="O565" s="2081"/>
      <c r="P565" s="2082"/>
      <c r="Q565" s="2089">
        <v>36</v>
      </c>
      <c r="R565" s="2090"/>
      <c r="S565" s="2091"/>
      <c r="T565" s="2089"/>
      <c r="U565" s="2090"/>
      <c r="V565" s="2091"/>
      <c r="W565" s="2511">
        <v>3.5000000000000003E-2</v>
      </c>
      <c r="X565" s="2512"/>
      <c r="Y565" s="2513"/>
      <c r="Z565" s="2505" t="s">
        <v>2589</v>
      </c>
      <c r="AA565" s="2505"/>
      <c r="AB565" s="2505"/>
      <c r="AC565" s="2505"/>
      <c r="AD565" s="2505"/>
      <c r="AE565" s="2502">
        <v>1</v>
      </c>
      <c r="AF565" s="2503"/>
      <c r="AG565" s="2503"/>
      <c r="AH565" s="2504"/>
      <c r="AI565" s="2499"/>
      <c r="AJ565" s="2500"/>
      <c r="AK565" s="2500"/>
      <c r="AL565" s="2501"/>
      <c r="AM565" s="2036">
        <v>19187591</v>
      </c>
      <c r="AN565" s="2037"/>
      <c r="AO565" s="2037"/>
      <c r="AP565" s="2037"/>
      <c r="AQ565" s="2037"/>
      <c r="AR565" s="2037"/>
      <c r="AS565" s="203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1" t="s">
        <v>2596</v>
      </c>
      <c r="D566" s="2081"/>
      <c r="E566" s="2081"/>
      <c r="F566" s="2081"/>
      <c r="G566" s="2081"/>
      <c r="H566" s="2081"/>
      <c r="I566" s="2081"/>
      <c r="J566" s="2081"/>
      <c r="K566" s="2081"/>
      <c r="L566" s="2081"/>
      <c r="M566" s="2081"/>
      <c r="N566" s="2081"/>
      <c r="O566" s="2081"/>
      <c r="P566" s="2082"/>
      <c r="Q566" s="2089"/>
      <c r="R566" s="2090"/>
      <c r="S566" s="2091"/>
      <c r="T566" s="2089"/>
      <c r="U566" s="2090"/>
      <c r="V566" s="2091"/>
      <c r="W566" s="2511"/>
      <c r="X566" s="2512"/>
      <c r="Y566" s="2513"/>
      <c r="Z566" s="2505" t="s">
        <v>628</v>
      </c>
      <c r="AA566" s="2505"/>
      <c r="AB566" s="2505"/>
      <c r="AC566" s="2505"/>
      <c r="AD566" s="2505"/>
      <c r="AE566" s="2502"/>
      <c r="AF566" s="2503"/>
      <c r="AG566" s="2503"/>
      <c r="AH566" s="2504"/>
      <c r="AI566" s="2499"/>
      <c r="AJ566" s="2500"/>
      <c r="AK566" s="2500"/>
      <c r="AL566" s="2501"/>
      <c r="AM566" s="2036">
        <v>8720783</v>
      </c>
      <c r="AN566" s="2037"/>
      <c r="AO566" s="2037"/>
      <c r="AP566" s="2037"/>
      <c r="AQ566" s="2037"/>
      <c r="AR566" s="2037"/>
      <c r="AS566" s="203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81" t="s">
        <v>2588</v>
      </c>
      <c r="D567" s="2081"/>
      <c r="E567" s="2081"/>
      <c r="F567" s="2081"/>
      <c r="G567" s="2081"/>
      <c r="H567" s="2081"/>
      <c r="I567" s="2081"/>
      <c r="J567" s="2081"/>
      <c r="K567" s="2081"/>
      <c r="L567" s="2081"/>
      <c r="M567" s="2081"/>
      <c r="N567" s="2081"/>
      <c r="O567" s="2081"/>
      <c r="P567" s="2082"/>
      <c r="Q567" s="2089"/>
      <c r="R567" s="2090"/>
      <c r="S567" s="2091"/>
      <c r="T567" s="2089"/>
      <c r="U567" s="2090"/>
      <c r="V567" s="2091"/>
      <c r="W567" s="2511"/>
      <c r="X567" s="2512"/>
      <c r="Y567" s="2513"/>
      <c r="Z567" s="2505" t="s">
        <v>628</v>
      </c>
      <c r="AA567" s="2505"/>
      <c r="AB567" s="2505"/>
      <c r="AC567" s="2505"/>
      <c r="AD567" s="2505"/>
      <c r="AE567" s="2502"/>
      <c r="AF567" s="2503"/>
      <c r="AG567" s="2503"/>
      <c r="AH567" s="2504"/>
      <c r="AI567" s="2499"/>
      <c r="AJ567" s="2500"/>
      <c r="AK567" s="2500"/>
      <c r="AL567" s="2501"/>
      <c r="AM567" s="2036">
        <f>'Sources and Uses Budget'!B105-SUM(AM564:AS566)</f>
        <v>6906424</v>
      </c>
      <c r="AN567" s="2037"/>
      <c r="AO567" s="2037"/>
      <c r="AP567" s="2037"/>
      <c r="AQ567" s="2037"/>
      <c r="AR567" s="2037"/>
      <c r="AS567" s="203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81"/>
      <c r="D568" s="2081"/>
      <c r="E568" s="2081"/>
      <c r="F568" s="2081"/>
      <c r="G568" s="2081"/>
      <c r="H568" s="2081"/>
      <c r="I568" s="2081"/>
      <c r="J568" s="2081"/>
      <c r="K568" s="2081"/>
      <c r="L568" s="2081"/>
      <c r="M568" s="2081"/>
      <c r="N568" s="2081"/>
      <c r="O568" s="2081"/>
      <c r="P568" s="2082"/>
      <c r="Q568" s="2089"/>
      <c r="R568" s="2090"/>
      <c r="S568" s="2091"/>
      <c r="T568" s="2089"/>
      <c r="U568" s="2090"/>
      <c r="V568" s="2091"/>
      <c r="W568" s="2511"/>
      <c r="X568" s="2512"/>
      <c r="Y568" s="2513"/>
      <c r="Z568" s="2505" t="s">
        <v>1388</v>
      </c>
      <c r="AA568" s="2505"/>
      <c r="AB568" s="2505"/>
      <c r="AC568" s="2505"/>
      <c r="AD568" s="2505"/>
      <c r="AE568" s="2502"/>
      <c r="AF568" s="2503"/>
      <c r="AG568" s="2503"/>
      <c r="AH568" s="2504"/>
      <c r="AI568" s="2499"/>
      <c r="AJ568" s="2500"/>
      <c r="AK568" s="2500"/>
      <c r="AL568" s="2501"/>
      <c r="AM568" s="2036"/>
      <c r="AN568" s="2037"/>
      <c r="AO568" s="2037"/>
      <c r="AP568" s="2037"/>
      <c r="AQ568" s="2037"/>
      <c r="AR568" s="2037"/>
      <c r="AS568" s="203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81"/>
      <c r="D569" s="2081"/>
      <c r="E569" s="2081"/>
      <c r="F569" s="2081"/>
      <c r="G569" s="2081"/>
      <c r="H569" s="2081"/>
      <c r="I569" s="2081"/>
      <c r="J569" s="2081"/>
      <c r="K569" s="2081"/>
      <c r="L569" s="2081"/>
      <c r="M569" s="2081"/>
      <c r="N569" s="2081"/>
      <c r="O569" s="2081"/>
      <c r="P569" s="2082"/>
      <c r="Q569" s="2089"/>
      <c r="R569" s="2090"/>
      <c r="S569" s="2091"/>
      <c r="T569" s="2089"/>
      <c r="U569" s="2090"/>
      <c r="V569" s="2091"/>
      <c r="W569" s="2511"/>
      <c r="X569" s="2512"/>
      <c r="Y569" s="2513"/>
      <c r="Z569" s="2505" t="s">
        <v>1388</v>
      </c>
      <c r="AA569" s="2505"/>
      <c r="AB569" s="2505"/>
      <c r="AC569" s="2505"/>
      <c r="AD569" s="2505"/>
      <c r="AE569" s="2502"/>
      <c r="AF569" s="2503"/>
      <c r="AG569" s="2503"/>
      <c r="AH569" s="2504"/>
      <c r="AI569" s="2499"/>
      <c r="AJ569" s="2500"/>
      <c r="AK569" s="2500"/>
      <c r="AL569" s="2501"/>
      <c r="AM569" s="2036"/>
      <c r="AN569" s="2037"/>
      <c r="AO569" s="2037"/>
      <c r="AP569" s="2037"/>
      <c r="AQ569" s="2037"/>
      <c r="AR569" s="2037"/>
      <c r="AS569" s="203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81"/>
      <c r="D570" s="2081"/>
      <c r="E570" s="2081"/>
      <c r="F570" s="2081"/>
      <c r="G570" s="2081"/>
      <c r="H570" s="2081"/>
      <c r="I570" s="2081"/>
      <c r="J570" s="2081"/>
      <c r="K570" s="2081"/>
      <c r="L570" s="2081"/>
      <c r="M570" s="2081"/>
      <c r="N570" s="2081"/>
      <c r="O570" s="2081"/>
      <c r="P570" s="2082"/>
      <c r="Q570" s="2089"/>
      <c r="R570" s="2090"/>
      <c r="S570" s="2091"/>
      <c r="T570" s="2089"/>
      <c r="U570" s="2090"/>
      <c r="V570" s="2091"/>
      <c r="W570" s="2511"/>
      <c r="X570" s="2512"/>
      <c r="Y570" s="2513"/>
      <c r="Z570" s="2505" t="s">
        <v>1388</v>
      </c>
      <c r="AA570" s="2505"/>
      <c r="AB570" s="2505"/>
      <c r="AC570" s="2505"/>
      <c r="AD570" s="2505"/>
      <c r="AE570" s="2502"/>
      <c r="AF570" s="2503"/>
      <c r="AG570" s="2503"/>
      <c r="AH570" s="2504"/>
      <c r="AI570" s="2499"/>
      <c r="AJ570" s="2500"/>
      <c r="AK570" s="2500"/>
      <c r="AL570" s="2501"/>
      <c r="AM570" s="2036"/>
      <c r="AN570" s="2037"/>
      <c r="AO570" s="2037"/>
      <c r="AP570" s="2037"/>
      <c r="AQ570" s="2037"/>
      <c r="AR570" s="2037"/>
      <c r="AS570" s="203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81"/>
      <c r="D571" s="2081"/>
      <c r="E571" s="2081"/>
      <c r="F571" s="2081"/>
      <c r="G571" s="2081"/>
      <c r="H571" s="2081"/>
      <c r="I571" s="2081"/>
      <c r="J571" s="2081"/>
      <c r="K571" s="2081"/>
      <c r="L571" s="2081"/>
      <c r="M571" s="2081"/>
      <c r="N571" s="2081"/>
      <c r="O571" s="2081"/>
      <c r="P571" s="2082"/>
      <c r="Q571" s="2089"/>
      <c r="R571" s="2090"/>
      <c r="S571" s="2091"/>
      <c r="T571" s="2089"/>
      <c r="U571" s="2090"/>
      <c r="V571" s="2091"/>
      <c r="W571" s="2511"/>
      <c r="X571" s="2512"/>
      <c r="Y571" s="2513"/>
      <c r="Z571" s="2505" t="s">
        <v>1388</v>
      </c>
      <c r="AA571" s="2505"/>
      <c r="AB571" s="2505"/>
      <c r="AC571" s="2505"/>
      <c r="AD571" s="2505"/>
      <c r="AE571" s="2502"/>
      <c r="AF571" s="2503"/>
      <c r="AG571" s="2503"/>
      <c r="AH571" s="2504"/>
      <c r="AI571" s="2499"/>
      <c r="AJ571" s="2500"/>
      <c r="AK571" s="2500"/>
      <c r="AL571" s="2501"/>
      <c r="AM571" s="2036"/>
      <c r="AN571" s="2037"/>
      <c r="AO571" s="2037"/>
      <c r="AP571" s="2037"/>
      <c r="AQ571" s="2037"/>
      <c r="AR571" s="2037"/>
      <c r="AS571" s="2038"/>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81"/>
      <c r="D572" s="2081"/>
      <c r="E572" s="2081"/>
      <c r="F572" s="2081"/>
      <c r="G572" s="2081"/>
      <c r="H572" s="2081"/>
      <c r="I572" s="2081"/>
      <c r="J572" s="2081"/>
      <c r="K572" s="2081"/>
      <c r="L572" s="2081"/>
      <c r="M572" s="2081"/>
      <c r="N572" s="2081"/>
      <c r="O572" s="2081"/>
      <c r="P572" s="2082"/>
      <c r="Q572" s="2089"/>
      <c r="R572" s="2090"/>
      <c r="S572" s="2091"/>
      <c r="T572" s="2089"/>
      <c r="U572" s="2090"/>
      <c r="V572" s="2091"/>
      <c r="W572" s="2511"/>
      <c r="X572" s="2512"/>
      <c r="Y572" s="2513"/>
      <c r="Z572" s="2505" t="s">
        <v>1388</v>
      </c>
      <c r="AA572" s="2505"/>
      <c r="AB572" s="2505"/>
      <c r="AC572" s="2505"/>
      <c r="AD572" s="2505"/>
      <c r="AE572" s="2502"/>
      <c r="AF572" s="2503"/>
      <c r="AG572" s="2503"/>
      <c r="AH572" s="2504"/>
      <c r="AI572" s="2499"/>
      <c r="AJ572" s="2500"/>
      <c r="AK572" s="2500"/>
      <c r="AL572" s="2501"/>
      <c r="AM572" s="2036"/>
      <c r="AN572" s="2037"/>
      <c r="AO572" s="2037"/>
      <c r="AP572" s="2037"/>
      <c r="AQ572" s="2037"/>
      <c r="AR572" s="2037"/>
      <c r="AS572" s="2038"/>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81"/>
      <c r="D573" s="2081"/>
      <c r="E573" s="2081"/>
      <c r="F573" s="2081"/>
      <c r="G573" s="2081"/>
      <c r="H573" s="2081"/>
      <c r="I573" s="2081"/>
      <c r="J573" s="2081"/>
      <c r="K573" s="2081"/>
      <c r="L573" s="2081"/>
      <c r="M573" s="2081"/>
      <c r="N573" s="2081"/>
      <c r="O573" s="2081"/>
      <c r="P573" s="2082"/>
      <c r="Q573" s="2089"/>
      <c r="R573" s="2090"/>
      <c r="S573" s="2091"/>
      <c r="T573" s="2089"/>
      <c r="U573" s="2090"/>
      <c r="V573" s="2091"/>
      <c r="W573" s="2511"/>
      <c r="X573" s="2512"/>
      <c r="Y573" s="2513"/>
      <c r="Z573" s="2505" t="s">
        <v>1388</v>
      </c>
      <c r="AA573" s="2505"/>
      <c r="AB573" s="2505"/>
      <c r="AC573" s="2505"/>
      <c r="AD573" s="2505"/>
      <c r="AE573" s="2502"/>
      <c r="AF573" s="2503"/>
      <c r="AG573" s="2503"/>
      <c r="AH573" s="2504"/>
      <c r="AI573" s="2499"/>
      <c r="AJ573" s="2500"/>
      <c r="AK573" s="2500"/>
      <c r="AL573" s="2501"/>
      <c r="AM573" s="2036"/>
      <c r="AN573" s="2037"/>
      <c r="AO573" s="2037"/>
      <c r="AP573" s="2037"/>
      <c r="AQ573" s="2037"/>
      <c r="AR573" s="2037"/>
      <c r="AS573" s="203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81"/>
      <c r="D574" s="2081"/>
      <c r="E574" s="2081"/>
      <c r="F574" s="2081"/>
      <c r="G574" s="2081"/>
      <c r="H574" s="2081"/>
      <c r="I574" s="2081"/>
      <c r="J574" s="2081"/>
      <c r="K574" s="2081"/>
      <c r="L574" s="2081"/>
      <c r="M574" s="2081"/>
      <c r="N574" s="2081"/>
      <c r="O574" s="2081"/>
      <c r="P574" s="2082"/>
      <c r="Q574" s="2089"/>
      <c r="R574" s="2090"/>
      <c r="S574" s="2091"/>
      <c r="T574" s="2089"/>
      <c r="U574" s="2090"/>
      <c r="V574" s="2091"/>
      <c r="W574" s="2511"/>
      <c r="X574" s="2512"/>
      <c r="Y574" s="2513"/>
      <c r="Z574" s="2505" t="s">
        <v>1388</v>
      </c>
      <c r="AA574" s="2505"/>
      <c r="AB574" s="2505"/>
      <c r="AC574" s="2505"/>
      <c r="AD574" s="2505"/>
      <c r="AE574" s="2502"/>
      <c r="AF574" s="2503"/>
      <c r="AG574" s="2503"/>
      <c r="AH574" s="2504"/>
      <c r="AI574" s="2499"/>
      <c r="AJ574" s="2500"/>
      <c r="AK574" s="2500"/>
      <c r="AL574" s="2501"/>
      <c r="AM574" s="2036"/>
      <c r="AN574" s="2037"/>
      <c r="AO574" s="2037"/>
      <c r="AP574" s="2037"/>
      <c r="AQ574" s="2037"/>
      <c r="AR574" s="2037"/>
      <c r="AS574" s="203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81"/>
      <c r="D575" s="2081"/>
      <c r="E575" s="2081"/>
      <c r="F575" s="2081"/>
      <c r="G575" s="2081"/>
      <c r="H575" s="2081"/>
      <c r="I575" s="2081"/>
      <c r="J575" s="2081"/>
      <c r="K575" s="2081"/>
      <c r="L575" s="2081"/>
      <c r="M575" s="2081"/>
      <c r="N575" s="2081"/>
      <c r="O575" s="2081"/>
      <c r="P575" s="2082"/>
      <c r="Q575" s="2089"/>
      <c r="R575" s="2090"/>
      <c r="S575" s="2091"/>
      <c r="T575" s="2089"/>
      <c r="U575" s="2090"/>
      <c r="V575" s="2091"/>
      <c r="W575" s="2511"/>
      <c r="X575" s="2512"/>
      <c r="Y575" s="2513"/>
      <c r="Z575" s="2505" t="s">
        <v>1388</v>
      </c>
      <c r="AA575" s="2505"/>
      <c r="AB575" s="2505"/>
      <c r="AC575" s="2505"/>
      <c r="AD575" s="2505"/>
      <c r="AE575" s="2502"/>
      <c r="AF575" s="2503"/>
      <c r="AG575" s="2503"/>
      <c r="AH575" s="2504"/>
      <c r="AI575" s="2499"/>
      <c r="AJ575" s="2500"/>
      <c r="AK575" s="2500"/>
      <c r="AL575" s="2501"/>
      <c r="AM575" s="2036"/>
      <c r="AN575" s="2037"/>
      <c r="AO575" s="2037"/>
      <c r="AP575" s="2037"/>
      <c r="AQ575" s="2037"/>
      <c r="AR575" s="2037"/>
      <c r="AS575" s="203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52" t="s">
        <v>132</v>
      </c>
      <c r="C576" s="2253"/>
      <c r="D576" s="2253"/>
      <c r="E576" s="2253"/>
      <c r="F576" s="2253"/>
      <c r="G576" s="2253"/>
      <c r="H576" s="2253"/>
      <c r="I576" s="2253"/>
      <c r="J576" s="2253"/>
      <c r="K576" s="2253"/>
      <c r="L576" s="2253"/>
      <c r="M576" s="2253"/>
      <c r="N576" s="2253"/>
      <c r="O576" s="2253"/>
      <c r="P576" s="2253"/>
      <c r="Q576" s="2253"/>
      <c r="R576" s="2253"/>
      <c r="S576" s="2253"/>
      <c r="T576" s="2253"/>
      <c r="U576" s="2386"/>
      <c r="V576" s="2253"/>
      <c r="W576" s="2253"/>
      <c r="X576" s="2253"/>
      <c r="Y576" s="2253"/>
      <c r="Z576" s="2253"/>
      <c r="AA576" s="2253"/>
      <c r="AB576" s="2253"/>
      <c r="AC576" s="2253"/>
      <c r="AD576" s="2253"/>
      <c r="AE576" s="2253"/>
      <c r="AF576" s="2253"/>
      <c r="AG576" s="2253"/>
      <c r="AH576" s="2253"/>
      <c r="AI576" s="2253"/>
      <c r="AJ576" s="2253"/>
      <c r="AK576" s="2253"/>
      <c r="AL576" s="2254"/>
      <c r="AM576" s="2056">
        <f>SUM(AM564:AS575)</f>
        <v>69814798</v>
      </c>
      <c r="AN576" s="2057"/>
      <c r="AO576" s="2057"/>
      <c r="AP576" s="2057"/>
      <c r="AQ576" s="2057"/>
      <c r="AR576" s="2057"/>
      <c r="AS576" s="20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01" t="str">
        <f>C564</f>
        <v>Citi Community Capital - Tax Exempt</v>
      </c>
      <c r="H578" s="2001"/>
      <c r="I578" s="2001"/>
      <c r="J578" s="2001"/>
      <c r="K578" s="2001"/>
      <c r="L578" s="2001"/>
      <c r="M578" s="2001"/>
      <c r="N578" s="2001"/>
      <c r="O578" s="2001"/>
      <c r="P578" s="2001"/>
      <c r="Q578" s="2001"/>
      <c r="R578" s="2001"/>
      <c r="S578" s="14"/>
      <c r="T578" s="87" t="s">
        <v>118</v>
      </c>
      <c r="U578" s="12" t="s">
        <v>498</v>
      </c>
      <c r="Z578" s="2001" t="str">
        <f>C565</f>
        <v>Citi Community Capital - Taxable Tail</v>
      </c>
      <c r="AA578" s="2001"/>
      <c r="AB578" s="2001"/>
      <c r="AC578" s="2001"/>
      <c r="AD578" s="2001"/>
      <c r="AE578" s="2001"/>
      <c r="AF578" s="2001"/>
      <c r="AG578" s="2001"/>
      <c r="AH578" s="2001"/>
      <c r="AI578" s="2001"/>
      <c r="AJ578" s="2001"/>
      <c r="AK578" s="200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0" t="s">
        <v>2606</v>
      </c>
      <c r="H579" s="2030"/>
      <c r="I579" s="2030"/>
      <c r="J579" s="2030"/>
      <c r="K579" s="2030"/>
      <c r="L579" s="2030"/>
      <c r="M579" s="2030"/>
      <c r="N579" s="2030"/>
      <c r="O579" s="2030"/>
      <c r="P579" s="2030"/>
      <c r="Q579" s="2030"/>
      <c r="R579" s="2030"/>
      <c r="S579" s="14"/>
      <c r="T579" s="35"/>
      <c r="U579" s="12" t="s">
        <v>90</v>
      </c>
      <c r="Z579" s="2030" t="s">
        <v>2606</v>
      </c>
      <c r="AA579" s="2030"/>
      <c r="AB579" s="2030"/>
      <c r="AC579" s="2030"/>
      <c r="AD579" s="2030"/>
      <c r="AE579" s="2030"/>
      <c r="AF579" s="2030"/>
      <c r="AG579" s="2030"/>
      <c r="AH579" s="2030"/>
      <c r="AI579" s="2030"/>
      <c r="AJ579" s="2030"/>
      <c r="AK579" s="2030"/>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30" t="s">
        <v>2607</v>
      </c>
      <c r="H580" s="2030"/>
      <c r="I580" s="2030"/>
      <c r="J580" s="2030"/>
      <c r="K580" s="2030"/>
      <c r="L580" s="2030"/>
      <c r="M580" s="2030"/>
      <c r="N580" s="2030"/>
      <c r="O580" s="2030"/>
      <c r="P580" s="2030"/>
      <c r="Q580" s="2030"/>
      <c r="R580" s="2030"/>
      <c r="S580" s="88"/>
      <c r="T580" s="35"/>
      <c r="U580" s="12" t="s">
        <v>617</v>
      </c>
      <c r="Z580" s="2262" t="s">
        <v>2607</v>
      </c>
      <c r="AA580" s="2262"/>
      <c r="AB580" s="2262"/>
      <c r="AC580" s="2262"/>
      <c r="AD580" s="2262"/>
      <c r="AE580" s="2262"/>
      <c r="AF580" s="2262"/>
      <c r="AG580" s="2262"/>
      <c r="AH580" s="2262"/>
      <c r="AI580" s="2262"/>
      <c r="AJ580" s="2262"/>
      <c r="AK580" s="2262"/>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0" t="s">
        <v>2608</v>
      </c>
      <c r="H581" s="2030"/>
      <c r="I581" s="2030"/>
      <c r="J581" s="2030"/>
      <c r="K581" s="2030"/>
      <c r="L581" s="2030"/>
      <c r="M581" s="2030"/>
      <c r="N581" s="2030"/>
      <c r="O581" s="2030"/>
      <c r="P581" s="2030"/>
      <c r="Q581" s="2030"/>
      <c r="R581" s="2030"/>
      <c r="S581" s="14"/>
      <c r="T581" s="35"/>
      <c r="U581" s="12" t="s">
        <v>17</v>
      </c>
      <c r="Z581" s="2262" t="s">
        <v>2608</v>
      </c>
      <c r="AA581" s="2262"/>
      <c r="AB581" s="2262"/>
      <c r="AC581" s="2262"/>
      <c r="AD581" s="2262"/>
      <c r="AE581" s="2262"/>
      <c r="AF581" s="2262"/>
      <c r="AG581" s="2262"/>
      <c r="AH581" s="2262"/>
      <c r="AI581" s="2262"/>
      <c r="AJ581" s="2262"/>
      <c r="AK581" s="226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426" t="s">
        <v>2609</v>
      </c>
      <c r="H582" s="2261"/>
      <c r="I582" s="2261"/>
      <c r="J582" s="2261"/>
      <c r="K582" s="2261"/>
      <c r="L582" s="2261"/>
      <c r="O582" s="137" t="s">
        <v>212</v>
      </c>
      <c r="P582" s="2083"/>
      <c r="Q582" s="2083"/>
      <c r="R582" s="2083"/>
      <c r="S582" s="16"/>
      <c r="T582" s="35"/>
      <c r="U582" s="12" t="s">
        <v>327</v>
      </c>
      <c r="Z582" s="2426" t="s">
        <v>2609</v>
      </c>
      <c r="AA582" s="2261"/>
      <c r="AB582" s="2261"/>
      <c r="AC582" s="2261"/>
      <c r="AD582" s="2261"/>
      <c r="AE582" s="2261"/>
      <c r="AH582" s="137" t="s">
        <v>212</v>
      </c>
      <c r="AI582" s="2083"/>
      <c r="AJ582" s="2083"/>
      <c r="AK582" s="208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0" t="s">
        <v>2604</v>
      </c>
      <c r="I583" s="2030"/>
      <c r="J583" s="2030"/>
      <c r="K583" s="2030"/>
      <c r="L583" s="2030"/>
      <c r="M583" s="2030"/>
      <c r="N583" s="2030"/>
      <c r="O583" s="2030"/>
      <c r="P583" s="2030"/>
      <c r="Q583" s="2030"/>
      <c r="R583" s="2030"/>
      <c r="S583" s="14"/>
      <c r="T583" s="35"/>
      <c r="U583" s="12" t="s">
        <v>18</v>
      </c>
      <c r="AA583" s="2030" t="s">
        <v>2605</v>
      </c>
      <c r="AB583" s="2030"/>
      <c r="AC583" s="2030"/>
      <c r="AD583" s="2030"/>
      <c r="AE583" s="2030"/>
      <c r="AF583" s="2030"/>
      <c r="AG583" s="2030"/>
      <c r="AH583" s="2030"/>
      <c r="AI583" s="2030"/>
      <c r="AJ583" s="2030"/>
      <c r="AK583" s="203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403" t="s">
        <v>2613</v>
      </c>
      <c r="N584" s="2403"/>
      <c r="O584" s="2403"/>
      <c r="P584" s="2403"/>
      <c r="Q584" s="2403"/>
      <c r="R584" s="2403"/>
      <c r="S584" s="14"/>
      <c r="T584" s="35"/>
      <c r="U584" s="510" t="s">
        <v>1389</v>
      </c>
      <c r="V584" s="720"/>
      <c r="W584" s="720"/>
      <c r="X584" s="720"/>
      <c r="Y584" s="720"/>
      <c r="Z584" s="720"/>
      <c r="AA584" s="14"/>
      <c r="AB584" s="14"/>
      <c r="AC584" s="14"/>
      <c r="AD584" s="14"/>
      <c r="AE584" s="14"/>
      <c r="AF584" s="2403" t="str">
        <f>M584</f>
        <v>1 Month LIBOR</v>
      </c>
      <c r="AG584" s="2403"/>
      <c r="AH584" s="2403"/>
      <c r="AI584" s="2403"/>
      <c r="AJ584" s="2403"/>
      <c r="AK584" s="2403"/>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267" t="s">
        <v>580</v>
      </c>
      <c r="O585" s="2267"/>
      <c r="T585" s="35"/>
      <c r="U585" s="12" t="s">
        <v>20</v>
      </c>
      <c r="AG585" s="2267" t="s">
        <v>580</v>
      </c>
      <c r="AH585" s="226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01" t="str">
        <f>C566</f>
        <v>Boston Financial / Tax Credit Equity</v>
      </c>
      <c r="H587" s="2001"/>
      <c r="I587" s="2001"/>
      <c r="J587" s="2001"/>
      <c r="K587" s="2001"/>
      <c r="L587" s="2001"/>
      <c r="M587" s="2001"/>
      <c r="N587" s="2001"/>
      <c r="O587" s="2001"/>
      <c r="P587" s="2001"/>
      <c r="Q587" s="2001"/>
      <c r="R587" s="2001"/>
      <c r="T587" s="87" t="s">
        <v>618</v>
      </c>
      <c r="U587" s="12" t="s">
        <v>498</v>
      </c>
      <c r="Z587" s="2001" t="str">
        <f>C567</f>
        <v>Deferred Fees and Costs</v>
      </c>
      <c r="AA587" s="2001"/>
      <c r="AB587" s="2001"/>
      <c r="AC587" s="2001"/>
      <c r="AD587" s="2001"/>
      <c r="AE587" s="2001"/>
      <c r="AF587" s="2001"/>
      <c r="AG587" s="2001"/>
      <c r="AH587" s="2001"/>
      <c r="AI587" s="2001"/>
      <c r="AJ587" s="2001"/>
      <c r="AK587" s="200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0" t="s">
        <v>2527</v>
      </c>
      <c r="H588" s="2030"/>
      <c r="I588" s="2030"/>
      <c r="J588" s="2030"/>
      <c r="K588" s="2030"/>
      <c r="L588" s="2030"/>
      <c r="M588" s="2030"/>
      <c r="N588" s="2030"/>
      <c r="O588" s="2030"/>
      <c r="P588" s="2030"/>
      <c r="Q588" s="2030"/>
      <c r="R588" s="2030"/>
      <c r="T588" s="35"/>
      <c r="U588" s="12" t="s">
        <v>90</v>
      </c>
      <c r="Z588" s="2030" t="s">
        <v>2486</v>
      </c>
      <c r="AA588" s="2030"/>
      <c r="AB588" s="2030"/>
      <c r="AC588" s="2030"/>
      <c r="AD588" s="2030"/>
      <c r="AE588" s="2030"/>
      <c r="AF588" s="2030"/>
      <c r="AG588" s="2030"/>
      <c r="AH588" s="2030"/>
      <c r="AI588" s="2030"/>
      <c r="AJ588" s="2030"/>
      <c r="AK588" s="203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0" t="s">
        <v>2528</v>
      </c>
      <c r="H589" s="2030"/>
      <c r="I589" s="2030"/>
      <c r="J589" s="2030"/>
      <c r="K589" s="2030"/>
      <c r="L589" s="2030"/>
      <c r="M589" s="2030"/>
      <c r="N589" s="2030"/>
      <c r="O589" s="2030"/>
      <c r="P589" s="2030"/>
      <c r="Q589" s="2030"/>
      <c r="R589" s="2030"/>
      <c r="T589" s="35"/>
      <c r="U589" s="12" t="s">
        <v>617</v>
      </c>
      <c r="Z589" s="2262" t="s">
        <v>2578</v>
      </c>
      <c r="AA589" s="2262"/>
      <c r="AB589" s="2262"/>
      <c r="AC589" s="2262"/>
      <c r="AD589" s="2262"/>
      <c r="AE589" s="2262"/>
      <c r="AF589" s="2262"/>
      <c r="AG589" s="2262"/>
      <c r="AH589" s="2262"/>
      <c r="AI589" s="2262"/>
      <c r="AJ589" s="2262"/>
      <c r="AK589" s="226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0" t="s">
        <v>2529</v>
      </c>
      <c r="H590" s="2030"/>
      <c r="I590" s="2030"/>
      <c r="J590" s="2030"/>
      <c r="K590" s="2030"/>
      <c r="L590" s="2030"/>
      <c r="M590" s="2030"/>
      <c r="N590" s="2030"/>
      <c r="O590" s="2030"/>
      <c r="P590" s="2030"/>
      <c r="Q590" s="2030"/>
      <c r="R590" s="2030"/>
      <c r="T590" s="35"/>
      <c r="U590" s="12" t="s">
        <v>17</v>
      </c>
      <c r="Z590" s="2262" t="s">
        <v>2579</v>
      </c>
      <c r="AA590" s="2262"/>
      <c r="AB590" s="2262"/>
      <c r="AC590" s="2262"/>
      <c r="AD590" s="2262"/>
      <c r="AE590" s="2262"/>
      <c r="AF590" s="2262"/>
      <c r="AG590" s="2262"/>
      <c r="AH590" s="2262"/>
      <c r="AI590" s="2262"/>
      <c r="AJ590" s="2262"/>
      <c r="AK590" s="226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426" t="s">
        <v>2577</v>
      </c>
      <c r="H591" s="2261"/>
      <c r="I591" s="2261"/>
      <c r="J591" s="2261"/>
      <c r="K591" s="2261"/>
      <c r="L591" s="2261"/>
      <c r="O591" s="137" t="s">
        <v>212</v>
      </c>
      <c r="P591" s="2083"/>
      <c r="Q591" s="2083"/>
      <c r="R591" s="2083"/>
      <c r="T591" s="35"/>
      <c r="U591" s="12" t="s">
        <v>327</v>
      </c>
      <c r="Z591" s="2426" t="s">
        <v>2490</v>
      </c>
      <c r="AA591" s="2426"/>
      <c r="AB591" s="2426"/>
      <c r="AC591" s="2426"/>
      <c r="AD591" s="2426"/>
      <c r="AE591" s="2426"/>
      <c r="AH591" s="137" t="s">
        <v>212</v>
      </c>
      <c r="AI591" s="2083"/>
      <c r="AJ591" s="2083"/>
      <c r="AK591" s="208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0" t="s">
        <v>2601</v>
      </c>
      <c r="I592" s="2030"/>
      <c r="J592" s="2030"/>
      <c r="K592" s="2030"/>
      <c r="L592" s="2030"/>
      <c r="M592" s="2030"/>
      <c r="N592" s="2030"/>
      <c r="O592" s="2030"/>
      <c r="P592" s="2030"/>
      <c r="Q592" s="2030"/>
      <c r="R592" s="2030"/>
      <c r="T592" s="35"/>
      <c r="U592" s="12" t="s">
        <v>18</v>
      </c>
      <c r="AA592" s="2030" t="s">
        <v>2142</v>
      </c>
      <c r="AB592" s="2030"/>
      <c r="AC592" s="2030"/>
      <c r="AD592" s="2030"/>
      <c r="AE592" s="2030"/>
      <c r="AF592" s="2030"/>
      <c r="AG592" s="2030"/>
      <c r="AH592" s="2030"/>
      <c r="AI592" s="2030"/>
      <c r="AJ592" s="2030"/>
      <c r="AK592" s="203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267" t="s">
        <v>580</v>
      </c>
      <c r="O593" s="2267"/>
      <c r="T593" s="35"/>
      <c r="U593" s="12" t="s">
        <v>20</v>
      </c>
      <c r="AG593" s="2267" t="s">
        <v>580</v>
      </c>
      <c r="AH593" s="226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01">
        <f>C568</f>
        <v>0</v>
      </c>
      <c r="H595" s="2001"/>
      <c r="I595" s="2001"/>
      <c r="J595" s="2001"/>
      <c r="K595" s="2001"/>
      <c r="L595" s="2001"/>
      <c r="M595" s="2001"/>
      <c r="N595" s="2001"/>
      <c r="O595" s="2001"/>
      <c r="P595" s="2001"/>
      <c r="Q595" s="2001"/>
      <c r="R595" s="2001"/>
      <c r="T595" s="87" t="s">
        <v>621</v>
      </c>
      <c r="U595" s="12" t="s">
        <v>498</v>
      </c>
      <c r="Z595" s="2001">
        <f>C569</f>
        <v>0</v>
      </c>
      <c r="AA595" s="2001"/>
      <c r="AB595" s="2001"/>
      <c r="AC595" s="2001"/>
      <c r="AD595" s="2001"/>
      <c r="AE595" s="2001"/>
      <c r="AF595" s="2001"/>
      <c r="AG595" s="2001"/>
      <c r="AH595" s="2001"/>
      <c r="AI595" s="2001"/>
      <c r="AJ595" s="2001"/>
      <c r="AK595" s="200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0"/>
      <c r="H596" s="2030"/>
      <c r="I596" s="2030"/>
      <c r="J596" s="2030"/>
      <c r="K596" s="2030"/>
      <c r="L596" s="2030"/>
      <c r="M596" s="2030"/>
      <c r="N596" s="2030"/>
      <c r="O596" s="2030"/>
      <c r="P596" s="2030"/>
      <c r="Q596" s="2030"/>
      <c r="R596" s="2030"/>
      <c r="T596" s="35"/>
      <c r="U596" s="12" t="s">
        <v>90</v>
      </c>
      <c r="Z596" s="2030"/>
      <c r="AA596" s="2030"/>
      <c r="AB596" s="2030"/>
      <c r="AC596" s="2030"/>
      <c r="AD596" s="2030"/>
      <c r="AE596" s="2030"/>
      <c r="AF596" s="2030"/>
      <c r="AG596" s="2030"/>
      <c r="AH596" s="2030"/>
      <c r="AI596" s="2030"/>
      <c r="AJ596" s="2030"/>
      <c r="AK596" s="203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30"/>
      <c r="H597" s="2030"/>
      <c r="I597" s="2030"/>
      <c r="J597" s="2030"/>
      <c r="K597" s="2030"/>
      <c r="L597" s="2030"/>
      <c r="M597" s="2030"/>
      <c r="N597" s="2030"/>
      <c r="O597" s="2030"/>
      <c r="P597" s="2030"/>
      <c r="Q597" s="2030"/>
      <c r="R597" s="2030"/>
      <c r="T597" s="35"/>
      <c r="U597" s="12" t="s">
        <v>617</v>
      </c>
      <c r="Z597" s="2262"/>
      <c r="AA597" s="2262"/>
      <c r="AB597" s="2262"/>
      <c r="AC597" s="2262"/>
      <c r="AD597" s="2262"/>
      <c r="AE597" s="2262"/>
      <c r="AF597" s="2262"/>
      <c r="AG597" s="2262"/>
      <c r="AH597" s="2262"/>
      <c r="AI597" s="2262"/>
      <c r="AJ597" s="2262"/>
      <c r="AK597" s="226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0"/>
      <c r="H598" s="2030"/>
      <c r="I598" s="2030"/>
      <c r="J598" s="2030"/>
      <c r="K598" s="2030"/>
      <c r="L598" s="2030"/>
      <c r="M598" s="2030"/>
      <c r="N598" s="2030"/>
      <c r="O598" s="2030"/>
      <c r="P598" s="2030"/>
      <c r="Q598" s="2030"/>
      <c r="R598" s="2030"/>
      <c r="T598" s="35"/>
      <c r="U598" s="12" t="s">
        <v>17</v>
      </c>
      <c r="Z598" s="2262"/>
      <c r="AA598" s="2262"/>
      <c r="AB598" s="2262"/>
      <c r="AC598" s="2262"/>
      <c r="AD598" s="2262"/>
      <c r="AE598" s="2262"/>
      <c r="AF598" s="2262"/>
      <c r="AG598" s="2262"/>
      <c r="AH598" s="2262"/>
      <c r="AI598" s="2262"/>
      <c r="AJ598" s="2262"/>
      <c r="AK598" s="226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61"/>
      <c r="H599" s="2261"/>
      <c r="I599" s="2261"/>
      <c r="J599" s="2261"/>
      <c r="K599" s="2261"/>
      <c r="L599" s="2261"/>
      <c r="O599" s="137" t="s">
        <v>212</v>
      </c>
      <c r="P599" s="2083"/>
      <c r="Q599" s="2083"/>
      <c r="R599" s="2083"/>
      <c r="T599" s="35"/>
      <c r="U599" s="12" t="s">
        <v>327</v>
      </c>
      <c r="Z599" s="2261"/>
      <c r="AA599" s="2261"/>
      <c r="AB599" s="2261"/>
      <c r="AC599" s="2261"/>
      <c r="AD599" s="2261"/>
      <c r="AE599" s="2261"/>
      <c r="AH599" s="137" t="s">
        <v>212</v>
      </c>
      <c r="AI599" s="2083"/>
      <c r="AJ599" s="2083"/>
      <c r="AK599" s="208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0"/>
      <c r="I600" s="2030"/>
      <c r="J600" s="2030"/>
      <c r="K600" s="2030"/>
      <c r="L600" s="2030"/>
      <c r="M600" s="2030"/>
      <c r="N600" s="2030"/>
      <c r="O600" s="2030"/>
      <c r="P600" s="2030"/>
      <c r="Q600" s="2030"/>
      <c r="R600" s="2030"/>
      <c r="T600" s="35"/>
      <c r="U600" s="12" t="s">
        <v>18</v>
      </c>
      <c r="AA600" s="2030"/>
      <c r="AB600" s="2030"/>
      <c r="AC600" s="2030"/>
      <c r="AD600" s="2030"/>
      <c r="AE600" s="2030"/>
      <c r="AF600" s="2030"/>
      <c r="AG600" s="2030"/>
      <c r="AH600" s="2030"/>
      <c r="AI600" s="2030"/>
      <c r="AJ600" s="2030"/>
      <c r="AK600" s="203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267" t="s">
        <v>708</v>
      </c>
      <c r="O601" s="2267"/>
      <c r="T601" s="35"/>
      <c r="U601" s="12" t="s">
        <v>20</v>
      </c>
      <c r="AG601" s="2267" t="s">
        <v>708</v>
      </c>
      <c r="AH601" s="226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01">
        <f>C570</f>
        <v>0</v>
      </c>
      <c r="H603" s="2001"/>
      <c r="I603" s="2001"/>
      <c r="J603" s="2001"/>
      <c r="K603" s="2001"/>
      <c r="L603" s="2001"/>
      <c r="M603" s="2001"/>
      <c r="N603" s="2001"/>
      <c r="O603" s="2001"/>
      <c r="P603" s="2001"/>
      <c r="Q603" s="2001"/>
      <c r="R603" s="2001"/>
      <c r="T603" s="87" t="s">
        <v>490</v>
      </c>
      <c r="U603" s="12" t="s">
        <v>498</v>
      </c>
      <c r="Z603" s="2001">
        <f>C571</f>
        <v>0</v>
      </c>
      <c r="AA603" s="2001"/>
      <c r="AB603" s="2001"/>
      <c r="AC603" s="2001"/>
      <c r="AD603" s="2001"/>
      <c r="AE603" s="2001"/>
      <c r="AF603" s="2001"/>
      <c r="AG603" s="2001"/>
      <c r="AH603" s="2001"/>
      <c r="AI603" s="2001"/>
      <c r="AJ603" s="2001"/>
      <c r="AK603" s="200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0"/>
      <c r="H604" s="2030"/>
      <c r="I604" s="2030"/>
      <c r="J604" s="2030"/>
      <c r="K604" s="2030"/>
      <c r="L604" s="2030"/>
      <c r="M604" s="2030"/>
      <c r="N604" s="2030"/>
      <c r="O604" s="2030"/>
      <c r="P604" s="2030"/>
      <c r="Q604" s="2030"/>
      <c r="R604" s="2030"/>
      <c r="T604" s="35"/>
      <c r="U604" s="12" t="s">
        <v>90</v>
      </c>
      <c r="Z604" s="2030"/>
      <c r="AA604" s="2030"/>
      <c r="AB604" s="2030"/>
      <c r="AC604" s="2030"/>
      <c r="AD604" s="2030"/>
      <c r="AE604" s="2030"/>
      <c r="AF604" s="2030"/>
      <c r="AG604" s="2030"/>
      <c r="AH604" s="2030"/>
      <c r="AI604" s="2030"/>
      <c r="AJ604" s="2030"/>
      <c r="AK604" s="203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0"/>
      <c r="H605" s="2030"/>
      <c r="I605" s="2030"/>
      <c r="J605" s="2030"/>
      <c r="K605" s="2030"/>
      <c r="L605" s="2030"/>
      <c r="M605" s="2030"/>
      <c r="N605" s="2030"/>
      <c r="O605" s="2030"/>
      <c r="P605" s="2030"/>
      <c r="Q605" s="2030"/>
      <c r="R605" s="2030"/>
      <c r="T605" s="35"/>
      <c r="U605" s="12" t="s">
        <v>617</v>
      </c>
      <c r="Z605" s="2262"/>
      <c r="AA605" s="2262"/>
      <c r="AB605" s="2262"/>
      <c r="AC605" s="2262"/>
      <c r="AD605" s="2262"/>
      <c r="AE605" s="2262"/>
      <c r="AF605" s="2262"/>
      <c r="AG605" s="2262"/>
      <c r="AH605" s="2262"/>
      <c r="AI605" s="2262"/>
      <c r="AJ605" s="2262"/>
      <c r="AK605" s="226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0"/>
      <c r="H606" s="2030"/>
      <c r="I606" s="2030"/>
      <c r="J606" s="2030"/>
      <c r="K606" s="2030"/>
      <c r="L606" s="2030"/>
      <c r="M606" s="2030"/>
      <c r="N606" s="2030"/>
      <c r="O606" s="2030"/>
      <c r="P606" s="2030"/>
      <c r="Q606" s="2030"/>
      <c r="R606" s="2030"/>
      <c r="T606" s="35"/>
      <c r="U606" s="12" t="s">
        <v>17</v>
      </c>
      <c r="Z606" s="2262"/>
      <c r="AA606" s="2262"/>
      <c r="AB606" s="2262"/>
      <c r="AC606" s="2262"/>
      <c r="AD606" s="2262"/>
      <c r="AE606" s="2262"/>
      <c r="AF606" s="2262"/>
      <c r="AG606" s="2262"/>
      <c r="AH606" s="2262"/>
      <c r="AI606" s="2262"/>
      <c r="AJ606" s="2262"/>
      <c r="AK606" s="226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61"/>
      <c r="H607" s="2261"/>
      <c r="I607" s="2261"/>
      <c r="J607" s="2261"/>
      <c r="K607" s="2261"/>
      <c r="L607" s="2261"/>
      <c r="M607" s="12"/>
      <c r="N607" s="12"/>
      <c r="O607" s="137" t="s">
        <v>212</v>
      </c>
      <c r="P607" s="2083"/>
      <c r="Q607" s="2083"/>
      <c r="R607" s="2083"/>
      <c r="S607" s="12"/>
      <c r="T607" s="35"/>
      <c r="U607" s="12" t="s">
        <v>327</v>
      </c>
      <c r="V607" s="12"/>
      <c r="W607" s="12"/>
      <c r="X607" s="12"/>
      <c r="Y607" s="12"/>
      <c r="Z607" s="2261"/>
      <c r="AA607" s="2261"/>
      <c r="AB607" s="2261"/>
      <c r="AC607" s="2261"/>
      <c r="AD607" s="2261"/>
      <c r="AE607" s="2261"/>
      <c r="AF607" s="12"/>
      <c r="AG607" s="12"/>
      <c r="AH607" s="137" t="s">
        <v>212</v>
      </c>
      <c r="AI607" s="2083"/>
      <c r="AJ607" s="2083"/>
      <c r="AK607" s="208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0"/>
      <c r="I608" s="2030"/>
      <c r="J608" s="2030"/>
      <c r="K608" s="2030"/>
      <c r="L608" s="2030"/>
      <c r="M608" s="2030"/>
      <c r="N608" s="2030"/>
      <c r="O608" s="2030"/>
      <c r="P608" s="2030"/>
      <c r="Q608" s="2030"/>
      <c r="R608" s="2030"/>
      <c r="S608" s="12"/>
      <c r="T608" s="35"/>
      <c r="U608" s="12" t="s">
        <v>18</v>
      </c>
      <c r="V608" s="12"/>
      <c r="W608" s="12"/>
      <c r="X608" s="12"/>
      <c r="Y608" s="12"/>
      <c r="Z608" s="12"/>
      <c r="AA608" s="2030"/>
      <c r="AB608" s="2030"/>
      <c r="AC608" s="2030"/>
      <c r="AD608" s="2030"/>
      <c r="AE608" s="2030"/>
      <c r="AF608" s="2030"/>
      <c r="AG608" s="2030"/>
      <c r="AH608" s="2030"/>
      <c r="AI608" s="2030"/>
      <c r="AJ608" s="2030"/>
      <c r="AK608" s="203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267" t="s">
        <v>708</v>
      </c>
      <c r="O609" s="2267"/>
      <c r="P609" s="12"/>
      <c r="Q609" s="12"/>
      <c r="R609" s="12"/>
      <c r="S609" s="12"/>
      <c r="T609" s="35"/>
      <c r="U609" s="12" t="s">
        <v>20</v>
      </c>
      <c r="V609" s="12"/>
      <c r="W609" s="12"/>
      <c r="X609" s="12"/>
      <c r="Y609" s="12"/>
      <c r="Z609" s="12"/>
      <c r="AA609" s="12"/>
      <c r="AB609" s="12"/>
      <c r="AC609" s="12"/>
      <c r="AD609" s="12"/>
      <c r="AE609" s="12"/>
      <c r="AF609" s="12"/>
      <c r="AG609" s="2267" t="s">
        <v>708</v>
      </c>
      <c r="AH609" s="226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61"/>
      <c r="BH609" s="2363"/>
      <c r="BI609" s="185" t="s">
        <v>510</v>
      </c>
      <c r="BJ609" s="186"/>
      <c r="BK609" s="2361"/>
      <c r="BL609" s="2363"/>
      <c r="BM609" s="58"/>
      <c r="BN609" s="2102" t="s">
        <v>670</v>
      </c>
      <c r="BO609" s="2103"/>
      <c r="BP609" s="2103"/>
      <c r="BQ609" s="2103"/>
      <c r="BR609" s="2104"/>
      <c r="BS609" s="2101" t="s">
        <v>336</v>
      </c>
      <c r="BT609" s="2101"/>
      <c r="BU609" s="2101"/>
      <c r="BV609" s="2101"/>
      <c r="BW609" s="2101"/>
      <c r="BX609" s="2101" t="s">
        <v>168</v>
      </c>
      <c r="BY609" s="2101"/>
      <c r="BZ609" s="2101"/>
      <c r="CA609" s="2101"/>
      <c r="CB609" s="2101"/>
      <c r="CC609" s="2101" t="s">
        <v>169</v>
      </c>
      <c r="CD609" s="2101"/>
      <c r="CE609" s="2101"/>
      <c r="CF609" s="2101"/>
      <c r="CG609" s="2101"/>
      <c r="CH609" s="2101" t="s">
        <v>495</v>
      </c>
      <c r="CI609" s="2101"/>
      <c r="CJ609" s="2101"/>
      <c r="CK609" s="2101"/>
      <c r="CL609" s="2101"/>
      <c r="CM609" s="2101" t="s">
        <v>31</v>
      </c>
      <c r="CN609" s="2101"/>
      <c r="CO609" s="2101"/>
      <c r="CP609" s="2101"/>
      <c r="CQ609" s="2101"/>
      <c r="CR609" s="1822"/>
      <c r="CS609" s="2101" t="s">
        <v>670</v>
      </c>
      <c r="CT609" s="2101"/>
      <c r="CU609" s="2101"/>
      <c r="CV609" s="2101"/>
      <c r="CW609" s="2101"/>
      <c r="CX609" s="2101" t="s">
        <v>336</v>
      </c>
      <c r="CY609" s="2101"/>
      <c r="CZ609" s="2101"/>
      <c r="DA609" s="2101"/>
      <c r="DB609" s="2101"/>
      <c r="DC609" s="2101" t="s">
        <v>168</v>
      </c>
      <c r="DD609" s="2101"/>
      <c r="DE609" s="2101"/>
      <c r="DF609" s="2101"/>
      <c r="DG609" s="2101"/>
      <c r="DH609" s="2101" t="s">
        <v>169</v>
      </c>
      <c r="DI609" s="2101"/>
      <c r="DJ609" s="2101"/>
      <c r="DK609" s="2101"/>
      <c r="DL609" s="2101"/>
      <c r="DM609" s="2101" t="s">
        <v>495</v>
      </c>
      <c r="DN609" s="2101"/>
      <c r="DO609" s="2101"/>
      <c r="DP609" s="2101"/>
      <c r="DQ609" s="2101"/>
      <c r="DR609" s="2101" t="s">
        <v>31</v>
      </c>
      <c r="DS609" s="2101"/>
      <c r="DT609" s="2101"/>
      <c r="DU609" s="2101"/>
      <c r="DV609" s="2101"/>
      <c r="DX609" s="2101" t="s">
        <v>670</v>
      </c>
      <c r="DY609" s="2101"/>
      <c r="DZ609" s="2101"/>
      <c r="EA609" s="2101"/>
      <c r="EB609" s="2101"/>
      <c r="EC609" s="2101" t="s">
        <v>336</v>
      </c>
      <c r="ED609" s="2101"/>
      <c r="EE609" s="2101"/>
      <c r="EF609" s="2101"/>
      <c r="EG609" s="2101"/>
      <c r="EH609" s="2101" t="s">
        <v>168</v>
      </c>
      <c r="EI609" s="2101"/>
      <c r="EJ609" s="2101"/>
      <c r="EK609" s="2101"/>
      <c r="EL609" s="2101"/>
      <c r="EM609" s="2101" t="s">
        <v>169</v>
      </c>
      <c r="EN609" s="2101"/>
      <c r="EO609" s="2101"/>
      <c r="EP609" s="2101"/>
      <c r="EQ609" s="2101"/>
      <c r="ER609" s="2101" t="s">
        <v>495</v>
      </c>
      <c r="ES609" s="2101"/>
      <c r="ET609" s="2101"/>
      <c r="EU609" s="2101"/>
      <c r="EV609" s="2101"/>
      <c r="EW609" s="2101" t="s">
        <v>31</v>
      </c>
      <c r="EX609" s="2101"/>
      <c r="EY609" s="2101"/>
      <c r="EZ609" s="2101"/>
      <c r="FA609" s="210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46">
        <f t="shared" ref="BE610:BE634" si="0">IF(AND(AH728&lt;=0.5,AH728&gt;=0.36),1,0)</f>
        <v>0</v>
      </c>
      <c r="BF610" s="2048"/>
      <c r="BG610" s="2361">
        <f t="shared" ref="BG610:BG634" si="1">IF(BE610=1,G728,0)</f>
        <v>0</v>
      </c>
      <c r="BH610" s="2363"/>
      <c r="BI610" s="2046">
        <f t="shared" ref="BI610:BI634" si="2">IF(AND(AH728&lt;=0.35,AH728&gt;0),1,0)</f>
        <v>0</v>
      </c>
      <c r="BJ610" s="2048"/>
      <c r="BK610" s="2361">
        <f t="shared" ref="BK610:BK634" si="3">IF(BI610=1,G728,0)</f>
        <v>0</v>
      </c>
      <c r="BL610" s="2363"/>
      <c r="BM610" s="58"/>
      <c r="BN610" s="2024">
        <f t="shared" ref="BN610:BN634" si="4">IF(B728="SRO/Studio",G728,0)</f>
        <v>0</v>
      </c>
      <c r="BO610" s="2025"/>
      <c r="BP610" s="2025"/>
      <c r="BQ610" s="2025"/>
      <c r="BR610" s="2026"/>
      <c r="BS610" s="2045">
        <f t="shared" ref="BS610:BS634" si="5">IF(B728="1 Bedroom",G728,0)</f>
        <v>0</v>
      </c>
      <c r="BT610" s="2045"/>
      <c r="BU610" s="2045"/>
      <c r="BV610" s="2045"/>
      <c r="BW610" s="2045"/>
      <c r="BX610" s="2045">
        <f t="shared" ref="BX610:BX634" si="6">IF(B728="2 Bedrooms",G728,0)</f>
        <v>49</v>
      </c>
      <c r="BY610" s="2045"/>
      <c r="BZ610" s="2045"/>
      <c r="CA610" s="2045"/>
      <c r="CB610" s="2045"/>
      <c r="CC610" s="2045">
        <f t="shared" ref="CC610:CC634" si="7">IF(B728="3 Bedrooms",G728,0)</f>
        <v>0</v>
      </c>
      <c r="CD610" s="2045"/>
      <c r="CE610" s="2045"/>
      <c r="CF610" s="2045"/>
      <c r="CG610" s="2045"/>
      <c r="CH610" s="2045">
        <f t="shared" ref="CH610:CH634" si="8">IF(B728="4 Bedrooms",G728,0)</f>
        <v>0</v>
      </c>
      <c r="CI610" s="2045"/>
      <c r="CJ610" s="2045"/>
      <c r="CK610" s="2045"/>
      <c r="CL610" s="2045"/>
      <c r="CM610" s="2045">
        <f t="shared" ref="CM610:CM634" si="9">IF(B728="5 Bedrooms",G728,0)</f>
        <v>0</v>
      </c>
      <c r="CN610" s="2045"/>
      <c r="CO610" s="2045"/>
      <c r="CP610" s="2045"/>
      <c r="CQ610" s="2045"/>
      <c r="CR610" s="265"/>
      <c r="CS610" s="2088">
        <f t="shared" ref="CS610:CS634" si="10">IF(AND(B728="SRO/Studio",AH728&lt;=0.3),G728,0)</f>
        <v>0</v>
      </c>
      <c r="CT610" s="2088"/>
      <c r="CU610" s="2088"/>
      <c r="CV610" s="2088"/>
      <c r="CW610" s="2088"/>
      <c r="CX610" s="2088">
        <f t="shared" ref="CX610:CX634" si="11">IF(AND(B728="1 Bedroom",AH728&lt;=0.3),G728,0)</f>
        <v>0</v>
      </c>
      <c r="CY610" s="2088"/>
      <c r="CZ610" s="2088"/>
      <c r="DA610" s="2088"/>
      <c r="DB610" s="2088"/>
      <c r="DC610" s="2088">
        <f t="shared" ref="DC610:DC634" si="12">IF(AND(B728="2 Bedrooms",AH728&lt;=0.3),G728,0)</f>
        <v>0</v>
      </c>
      <c r="DD610" s="2088"/>
      <c r="DE610" s="2088"/>
      <c r="DF610" s="2088"/>
      <c r="DG610" s="2088"/>
      <c r="DH610" s="2088">
        <f t="shared" ref="DH610:DH634" si="13">IF(AND(B728="3 Bedrooms",AH728&lt;=0.3),G728,0)</f>
        <v>0</v>
      </c>
      <c r="DI610" s="2088"/>
      <c r="DJ610" s="2088"/>
      <c r="DK610" s="2088"/>
      <c r="DL610" s="2088"/>
      <c r="DM610" s="2088">
        <f t="shared" ref="DM610:DM634" si="14">IF(AND(B728="4 Bedrooms",AH728&lt;=0.3),G728,0)</f>
        <v>0</v>
      </c>
      <c r="DN610" s="2088"/>
      <c r="DO610" s="2088"/>
      <c r="DP610" s="2088"/>
      <c r="DQ610" s="2088"/>
      <c r="DR610" s="2088">
        <f t="shared" ref="DR610:DR634" si="15">IF(AND(B728="5 Bedrooms",AH728&lt;=0.3),G728,0)</f>
        <v>0</v>
      </c>
      <c r="DS610" s="2088"/>
      <c r="DT610" s="2088"/>
      <c r="DU610" s="2088"/>
      <c r="DV610" s="2088"/>
      <c r="DX610" s="2046" t="str">
        <f t="shared" ref="DX610:DX634" si="16">IF(BN610&gt;0,O728," ")</f>
        <v xml:space="preserve"> </v>
      </c>
      <c r="DY610" s="2047"/>
      <c r="DZ610" s="2047"/>
      <c r="EA610" s="2047"/>
      <c r="EB610" s="2048"/>
      <c r="EC610" s="2046" t="str">
        <f t="shared" ref="EC610:EC634" si="17">IF(BS610&gt;0,O728," ")</f>
        <v xml:space="preserve"> </v>
      </c>
      <c r="ED610" s="2047"/>
      <c r="EE610" s="2047"/>
      <c r="EF610" s="2047"/>
      <c r="EG610" s="2048"/>
      <c r="EH610" s="2046">
        <f t="shared" ref="EH610:EH634" si="18">IF(BX610&gt;0,O728," ")</f>
        <v>1538</v>
      </c>
      <c r="EI610" s="2047"/>
      <c r="EJ610" s="2047"/>
      <c r="EK610" s="2047"/>
      <c r="EL610" s="2048"/>
      <c r="EM610" s="2046" t="str">
        <f t="shared" ref="EM610:EM634" si="19">IF(CC610&gt;0,O728," ")</f>
        <v xml:space="preserve"> </v>
      </c>
      <c r="EN610" s="2047"/>
      <c r="EO610" s="2047"/>
      <c r="EP610" s="2047"/>
      <c r="EQ610" s="2048"/>
      <c r="ER610" s="2046" t="str">
        <f t="shared" ref="ER610:ER634" si="20">IF(CH610&gt;0,O728," ")</f>
        <v xml:space="preserve"> </v>
      </c>
      <c r="ES610" s="2047"/>
      <c r="ET610" s="2047"/>
      <c r="EU610" s="2047"/>
      <c r="EV610" s="2048"/>
      <c r="EW610" s="2046" t="str">
        <f t="shared" ref="EW610:EW634" si="21">IF(CM610&gt;0,O728," ")</f>
        <v xml:space="preserve"> </v>
      </c>
      <c r="EX610" s="2047"/>
      <c r="EY610" s="2047"/>
      <c r="EZ610" s="2047"/>
      <c r="FA610" s="2048"/>
    </row>
    <row r="611" spans="1:157" s="7" customFormat="1" ht="12.75">
      <c r="A611" s="87" t="s">
        <v>496</v>
      </c>
      <c r="B611" s="12" t="s">
        <v>498</v>
      </c>
      <c r="C611" s="12"/>
      <c r="D611" s="12"/>
      <c r="E611" s="12"/>
      <c r="F611" s="12"/>
      <c r="G611" s="2001">
        <f>C572</f>
        <v>0</v>
      </c>
      <c r="H611" s="2001"/>
      <c r="I611" s="2001"/>
      <c r="J611" s="2001"/>
      <c r="K611" s="2001"/>
      <c r="L611" s="2001"/>
      <c r="M611" s="2001"/>
      <c r="N611" s="2001"/>
      <c r="O611" s="2001"/>
      <c r="P611" s="2001"/>
      <c r="Q611" s="2001"/>
      <c r="R611" s="2001"/>
      <c r="S611" s="12"/>
      <c r="T611" s="87" t="s">
        <v>683</v>
      </c>
      <c r="U611" s="12" t="s">
        <v>498</v>
      </c>
      <c r="V611" s="12"/>
      <c r="W611" s="12"/>
      <c r="X611" s="12"/>
      <c r="Y611" s="12"/>
      <c r="Z611" s="2001">
        <f>C573</f>
        <v>0</v>
      </c>
      <c r="AA611" s="2001"/>
      <c r="AB611" s="2001"/>
      <c r="AC611" s="2001"/>
      <c r="AD611" s="2001"/>
      <c r="AE611" s="2001"/>
      <c r="AF611" s="2001"/>
      <c r="AG611" s="2001"/>
      <c r="AH611" s="2001"/>
      <c r="AI611" s="2001"/>
      <c r="AJ611" s="2001"/>
      <c r="AK611" s="2001"/>
      <c r="AL611" s="12"/>
      <c r="AM611" s="39"/>
      <c r="AN611" s="39"/>
      <c r="AO611" s="39"/>
      <c r="AP611" s="39"/>
      <c r="AQ611" s="39"/>
      <c r="AR611" s="39"/>
      <c r="AS611" s="39"/>
      <c r="AT611" s="39"/>
      <c r="AU611" s="39"/>
      <c r="AV611" s="39"/>
      <c r="AW611" s="39"/>
      <c r="AX611" s="39"/>
      <c r="AY611" s="39"/>
      <c r="BA611" s="7" t="s">
        <v>168</v>
      </c>
      <c r="BB611" s="58"/>
      <c r="BC611" s="58"/>
      <c r="BD611" s="58"/>
      <c r="BE611" s="2046">
        <f t="shared" si="0"/>
        <v>1</v>
      </c>
      <c r="BF611" s="2048"/>
      <c r="BG611" s="2361">
        <f t="shared" si="1"/>
        <v>7</v>
      </c>
      <c r="BH611" s="2363"/>
      <c r="BI611" s="2046">
        <f t="shared" si="2"/>
        <v>0</v>
      </c>
      <c r="BJ611" s="2048"/>
      <c r="BK611" s="2361">
        <f t="shared" si="3"/>
        <v>0</v>
      </c>
      <c r="BL611" s="2363"/>
      <c r="BM611" s="58"/>
      <c r="BN611" s="2024">
        <f t="shared" si="4"/>
        <v>0</v>
      </c>
      <c r="BO611" s="2025"/>
      <c r="BP611" s="2025"/>
      <c r="BQ611" s="2025"/>
      <c r="BR611" s="2026"/>
      <c r="BS611" s="2045">
        <f t="shared" si="5"/>
        <v>0</v>
      </c>
      <c r="BT611" s="2045"/>
      <c r="BU611" s="2045"/>
      <c r="BV611" s="2045"/>
      <c r="BW611" s="2045"/>
      <c r="BX611" s="2045">
        <f t="shared" si="6"/>
        <v>7</v>
      </c>
      <c r="BY611" s="2045"/>
      <c r="BZ611" s="2045"/>
      <c r="CA611" s="2045"/>
      <c r="CB611" s="2045"/>
      <c r="CC611" s="2045">
        <f t="shared" si="7"/>
        <v>0</v>
      </c>
      <c r="CD611" s="2045"/>
      <c r="CE611" s="2045"/>
      <c r="CF611" s="2045"/>
      <c r="CG611" s="2045"/>
      <c r="CH611" s="2045">
        <f t="shared" si="8"/>
        <v>0</v>
      </c>
      <c r="CI611" s="2045"/>
      <c r="CJ611" s="2045"/>
      <c r="CK611" s="2045"/>
      <c r="CL611" s="2045"/>
      <c r="CM611" s="2045">
        <f t="shared" si="9"/>
        <v>0</v>
      </c>
      <c r="CN611" s="2045"/>
      <c r="CO611" s="2045"/>
      <c r="CP611" s="2045"/>
      <c r="CQ611" s="2045"/>
      <c r="CR611" s="265"/>
      <c r="CS611" s="2088">
        <f t="shared" si="10"/>
        <v>0</v>
      </c>
      <c r="CT611" s="2088"/>
      <c r="CU611" s="2088"/>
      <c r="CV611" s="2088"/>
      <c r="CW611" s="2088"/>
      <c r="CX611" s="2088">
        <f t="shared" si="11"/>
        <v>0</v>
      </c>
      <c r="CY611" s="2088"/>
      <c r="CZ611" s="2088"/>
      <c r="DA611" s="2088"/>
      <c r="DB611" s="2088"/>
      <c r="DC611" s="2088">
        <f t="shared" si="12"/>
        <v>0</v>
      </c>
      <c r="DD611" s="2088"/>
      <c r="DE611" s="2088"/>
      <c r="DF611" s="2088"/>
      <c r="DG611" s="2088"/>
      <c r="DH611" s="2088">
        <f t="shared" si="13"/>
        <v>0</v>
      </c>
      <c r="DI611" s="2088"/>
      <c r="DJ611" s="2088"/>
      <c r="DK611" s="2088"/>
      <c r="DL611" s="2088"/>
      <c r="DM611" s="2088">
        <f t="shared" si="14"/>
        <v>0</v>
      </c>
      <c r="DN611" s="2088"/>
      <c r="DO611" s="2088"/>
      <c r="DP611" s="2088"/>
      <c r="DQ611" s="2088"/>
      <c r="DR611" s="2088">
        <f t="shared" si="15"/>
        <v>0</v>
      </c>
      <c r="DS611" s="2088"/>
      <c r="DT611" s="2088"/>
      <c r="DU611" s="2088"/>
      <c r="DV611" s="2088"/>
      <c r="DX611" s="2046" t="str">
        <f t="shared" si="16"/>
        <v xml:space="preserve"> </v>
      </c>
      <c r="DY611" s="2047"/>
      <c r="DZ611" s="2047"/>
      <c r="EA611" s="2047"/>
      <c r="EB611" s="2048"/>
      <c r="EC611" s="2046" t="str">
        <f t="shared" si="17"/>
        <v xml:space="preserve"> </v>
      </c>
      <c r="ED611" s="2047"/>
      <c r="EE611" s="2047"/>
      <c r="EF611" s="2047"/>
      <c r="EG611" s="2048"/>
      <c r="EH611" s="2046">
        <f t="shared" si="18"/>
        <v>1270</v>
      </c>
      <c r="EI611" s="2047"/>
      <c r="EJ611" s="2047"/>
      <c r="EK611" s="2047"/>
      <c r="EL611" s="2048"/>
      <c r="EM611" s="2046" t="str">
        <f t="shared" si="19"/>
        <v xml:space="preserve"> </v>
      </c>
      <c r="EN611" s="2047"/>
      <c r="EO611" s="2047"/>
      <c r="EP611" s="2047"/>
      <c r="EQ611" s="2048"/>
      <c r="ER611" s="2046" t="str">
        <f t="shared" si="20"/>
        <v xml:space="preserve"> </v>
      </c>
      <c r="ES611" s="2047"/>
      <c r="ET611" s="2047"/>
      <c r="EU611" s="2047"/>
      <c r="EV611" s="2048"/>
      <c r="EW611" s="2046" t="str">
        <f t="shared" si="21"/>
        <v xml:space="preserve"> </v>
      </c>
      <c r="EX611" s="2047"/>
      <c r="EY611" s="2047"/>
      <c r="EZ611" s="2047"/>
      <c r="FA611" s="2048"/>
    </row>
    <row r="612" spans="1:157" ht="12.75">
      <c r="A612" s="35"/>
      <c r="B612" s="12" t="s">
        <v>90</v>
      </c>
      <c r="G612" s="2030"/>
      <c r="H612" s="2030"/>
      <c r="I612" s="2030"/>
      <c r="J612" s="2030"/>
      <c r="K612" s="2030"/>
      <c r="L612" s="2030"/>
      <c r="M612" s="2030"/>
      <c r="N612" s="2030"/>
      <c r="O612" s="2030"/>
      <c r="P612" s="2030"/>
      <c r="Q612" s="2030"/>
      <c r="R612" s="2030"/>
      <c r="T612" s="35"/>
      <c r="U612" s="12" t="s">
        <v>90</v>
      </c>
      <c r="Z612" s="2030"/>
      <c r="AA612" s="2030"/>
      <c r="AB612" s="2030"/>
      <c r="AC612" s="2030"/>
      <c r="AD612" s="2030"/>
      <c r="AE612" s="2030"/>
      <c r="AF612" s="2030"/>
      <c r="AG612" s="2030"/>
      <c r="AH612" s="2030"/>
      <c r="AI612" s="2030"/>
      <c r="AJ612" s="2030"/>
      <c r="AK612" s="2030"/>
      <c r="BA612" s="7" t="s">
        <v>169</v>
      </c>
      <c r="BB612" s="58"/>
      <c r="BC612" s="58"/>
      <c r="BD612" s="58"/>
      <c r="BE612" s="2046">
        <f t="shared" si="0"/>
        <v>0</v>
      </c>
      <c r="BF612" s="2048"/>
      <c r="BG612" s="2361">
        <f t="shared" si="1"/>
        <v>0</v>
      </c>
      <c r="BH612" s="2363"/>
      <c r="BI612" s="2046">
        <f t="shared" si="2"/>
        <v>1</v>
      </c>
      <c r="BJ612" s="2048"/>
      <c r="BK612" s="2361">
        <f t="shared" si="3"/>
        <v>7</v>
      </c>
      <c r="BL612" s="2363"/>
      <c r="BM612" s="58"/>
      <c r="BN612" s="2024">
        <f t="shared" si="4"/>
        <v>0</v>
      </c>
      <c r="BO612" s="2025"/>
      <c r="BP612" s="2025"/>
      <c r="BQ612" s="2025"/>
      <c r="BR612" s="2026"/>
      <c r="BS612" s="2045">
        <f t="shared" si="5"/>
        <v>0</v>
      </c>
      <c r="BT612" s="2045"/>
      <c r="BU612" s="2045"/>
      <c r="BV612" s="2045"/>
      <c r="BW612" s="2045"/>
      <c r="BX612" s="2045">
        <f t="shared" si="6"/>
        <v>7</v>
      </c>
      <c r="BY612" s="2045"/>
      <c r="BZ612" s="2045"/>
      <c r="CA612" s="2045"/>
      <c r="CB612" s="2045"/>
      <c r="CC612" s="2045">
        <f t="shared" si="7"/>
        <v>0</v>
      </c>
      <c r="CD612" s="2045"/>
      <c r="CE612" s="2045"/>
      <c r="CF612" s="2045"/>
      <c r="CG612" s="2045"/>
      <c r="CH612" s="2045">
        <f t="shared" si="8"/>
        <v>0</v>
      </c>
      <c r="CI612" s="2045"/>
      <c r="CJ612" s="2045"/>
      <c r="CK612" s="2045"/>
      <c r="CL612" s="2045"/>
      <c r="CM612" s="2045">
        <f t="shared" si="9"/>
        <v>0</v>
      </c>
      <c r="CN612" s="2045"/>
      <c r="CO612" s="2045"/>
      <c r="CP612" s="2045"/>
      <c r="CQ612" s="2045"/>
      <c r="CR612" s="265"/>
      <c r="CS612" s="2088">
        <f t="shared" si="10"/>
        <v>0</v>
      </c>
      <c r="CT612" s="2088"/>
      <c r="CU612" s="2088"/>
      <c r="CV612" s="2088"/>
      <c r="CW612" s="2088"/>
      <c r="CX612" s="2088">
        <f t="shared" si="11"/>
        <v>0</v>
      </c>
      <c r="CY612" s="2088"/>
      <c r="CZ612" s="2088"/>
      <c r="DA612" s="2088"/>
      <c r="DB612" s="2088"/>
      <c r="DC612" s="2088">
        <f t="shared" si="12"/>
        <v>7</v>
      </c>
      <c r="DD612" s="2088"/>
      <c r="DE612" s="2088"/>
      <c r="DF612" s="2088"/>
      <c r="DG612" s="2088"/>
      <c r="DH612" s="2088">
        <f t="shared" si="13"/>
        <v>0</v>
      </c>
      <c r="DI612" s="2088"/>
      <c r="DJ612" s="2088"/>
      <c r="DK612" s="2088"/>
      <c r="DL612" s="2088"/>
      <c r="DM612" s="2088">
        <f t="shared" si="14"/>
        <v>0</v>
      </c>
      <c r="DN612" s="2088"/>
      <c r="DO612" s="2088"/>
      <c r="DP612" s="2088"/>
      <c r="DQ612" s="2088"/>
      <c r="DR612" s="2088">
        <f t="shared" si="15"/>
        <v>0</v>
      </c>
      <c r="DS612" s="2088"/>
      <c r="DT612" s="2088"/>
      <c r="DU612" s="2088"/>
      <c r="DV612" s="2088"/>
      <c r="DX612" s="2046" t="str">
        <f t="shared" si="16"/>
        <v xml:space="preserve"> </v>
      </c>
      <c r="DY612" s="2047"/>
      <c r="DZ612" s="2047"/>
      <c r="EA612" s="2047"/>
      <c r="EB612" s="2048"/>
      <c r="EC612" s="2046" t="str">
        <f t="shared" si="17"/>
        <v xml:space="preserve"> </v>
      </c>
      <c r="ED612" s="2047"/>
      <c r="EE612" s="2047"/>
      <c r="EF612" s="2047"/>
      <c r="EG612" s="2048"/>
      <c r="EH612" s="2046">
        <f t="shared" si="18"/>
        <v>735</v>
      </c>
      <c r="EI612" s="2047"/>
      <c r="EJ612" s="2047"/>
      <c r="EK612" s="2047"/>
      <c r="EL612" s="2048"/>
      <c r="EM612" s="2046" t="str">
        <f t="shared" si="19"/>
        <v xml:space="preserve"> </v>
      </c>
      <c r="EN612" s="2047"/>
      <c r="EO612" s="2047"/>
      <c r="EP612" s="2047"/>
      <c r="EQ612" s="2048"/>
      <c r="ER612" s="2046" t="str">
        <f t="shared" si="20"/>
        <v xml:space="preserve"> </v>
      </c>
      <c r="ES612" s="2047"/>
      <c r="ET612" s="2047"/>
      <c r="EU612" s="2047"/>
      <c r="EV612" s="2048"/>
      <c r="EW612" s="2046" t="str">
        <f t="shared" si="21"/>
        <v xml:space="preserve"> </v>
      </c>
      <c r="EX612" s="2047"/>
      <c r="EY612" s="2047"/>
      <c r="EZ612" s="2047"/>
      <c r="FA612" s="2048"/>
    </row>
    <row r="613" spans="1:157" ht="12.75">
      <c r="A613" s="35"/>
      <c r="B613" s="12" t="s">
        <v>617</v>
      </c>
      <c r="G613" s="2030"/>
      <c r="H613" s="2030"/>
      <c r="I613" s="2030"/>
      <c r="J613" s="2030"/>
      <c r="K613" s="2030"/>
      <c r="L613" s="2030"/>
      <c r="M613" s="2030"/>
      <c r="N613" s="2030"/>
      <c r="O613" s="2030"/>
      <c r="P613" s="2030"/>
      <c r="Q613" s="2030"/>
      <c r="R613" s="2030"/>
      <c r="T613" s="35"/>
      <c r="U613" s="12" t="s">
        <v>617</v>
      </c>
      <c r="Z613" s="2262"/>
      <c r="AA613" s="2262"/>
      <c r="AB613" s="2262"/>
      <c r="AC613" s="2262"/>
      <c r="AD613" s="2262"/>
      <c r="AE613" s="2262"/>
      <c r="AF613" s="2262"/>
      <c r="AG613" s="2262"/>
      <c r="AH613" s="2262"/>
      <c r="AI613" s="2262"/>
      <c r="AJ613" s="2262"/>
      <c r="AK613" s="2262"/>
      <c r="BA613" s="7" t="s">
        <v>170</v>
      </c>
      <c r="BB613" s="58"/>
      <c r="BC613" s="58"/>
      <c r="BD613" s="58"/>
      <c r="BE613" s="2046">
        <f t="shared" si="0"/>
        <v>0</v>
      </c>
      <c r="BF613" s="2048"/>
      <c r="BG613" s="2361">
        <f t="shared" si="1"/>
        <v>0</v>
      </c>
      <c r="BH613" s="2363"/>
      <c r="BI613" s="2046">
        <f t="shared" si="2"/>
        <v>0</v>
      </c>
      <c r="BJ613" s="2048"/>
      <c r="BK613" s="2361">
        <f t="shared" si="3"/>
        <v>0</v>
      </c>
      <c r="BL613" s="2363"/>
      <c r="BM613" s="58"/>
      <c r="BN613" s="2024">
        <f t="shared" si="4"/>
        <v>0</v>
      </c>
      <c r="BO613" s="2025"/>
      <c r="BP613" s="2025"/>
      <c r="BQ613" s="2025"/>
      <c r="BR613" s="2026"/>
      <c r="BS613" s="2045">
        <f t="shared" si="5"/>
        <v>0</v>
      </c>
      <c r="BT613" s="2045"/>
      <c r="BU613" s="2045"/>
      <c r="BV613" s="2045"/>
      <c r="BW613" s="2045"/>
      <c r="BX613" s="2045">
        <f t="shared" si="6"/>
        <v>0</v>
      </c>
      <c r="BY613" s="2045"/>
      <c r="BZ613" s="2045"/>
      <c r="CA613" s="2045"/>
      <c r="CB613" s="2045"/>
      <c r="CC613" s="2045">
        <f t="shared" si="7"/>
        <v>48</v>
      </c>
      <c r="CD613" s="2045"/>
      <c r="CE613" s="2045"/>
      <c r="CF613" s="2045"/>
      <c r="CG613" s="2045"/>
      <c r="CH613" s="2045">
        <f t="shared" si="8"/>
        <v>0</v>
      </c>
      <c r="CI613" s="2045"/>
      <c r="CJ613" s="2045"/>
      <c r="CK613" s="2045"/>
      <c r="CL613" s="2045"/>
      <c r="CM613" s="2045">
        <f t="shared" si="9"/>
        <v>0</v>
      </c>
      <c r="CN613" s="2045"/>
      <c r="CO613" s="2045"/>
      <c r="CP613" s="2045"/>
      <c r="CQ613" s="2045"/>
      <c r="CR613" s="265"/>
      <c r="CS613" s="2088">
        <f t="shared" si="10"/>
        <v>0</v>
      </c>
      <c r="CT613" s="2088"/>
      <c r="CU613" s="2088"/>
      <c r="CV613" s="2088"/>
      <c r="CW613" s="2088"/>
      <c r="CX613" s="2088">
        <f t="shared" si="11"/>
        <v>0</v>
      </c>
      <c r="CY613" s="2088"/>
      <c r="CZ613" s="2088"/>
      <c r="DA613" s="2088"/>
      <c r="DB613" s="2088"/>
      <c r="DC613" s="2088">
        <f t="shared" si="12"/>
        <v>0</v>
      </c>
      <c r="DD613" s="2088"/>
      <c r="DE613" s="2088"/>
      <c r="DF613" s="2088"/>
      <c r="DG613" s="2088"/>
      <c r="DH613" s="2088">
        <f t="shared" si="13"/>
        <v>0</v>
      </c>
      <c r="DI613" s="2088"/>
      <c r="DJ613" s="2088"/>
      <c r="DK613" s="2088"/>
      <c r="DL613" s="2088"/>
      <c r="DM613" s="2088">
        <f t="shared" si="14"/>
        <v>0</v>
      </c>
      <c r="DN613" s="2088"/>
      <c r="DO613" s="2088"/>
      <c r="DP613" s="2088"/>
      <c r="DQ613" s="2088"/>
      <c r="DR613" s="2088">
        <f t="shared" si="15"/>
        <v>0</v>
      </c>
      <c r="DS613" s="2088"/>
      <c r="DT613" s="2088"/>
      <c r="DU613" s="2088"/>
      <c r="DV613" s="2088"/>
      <c r="DX613" s="2046" t="str">
        <f t="shared" si="16"/>
        <v xml:space="preserve"> </v>
      </c>
      <c r="DY613" s="2047"/>
      <c r="DZ613" s="2047"/>
      <c r="EA613" s="2047"/>
      <c r="EB613" s="2048"/>
      <c r="EC613" s="2046" t="str">
        <f t="shared" si="17"/>
        <v xml:space="preserve"> </v>
      </c>
      <c r="ED613" s="2047"/>
      <c r="EE613" s="2047"/>
      <c r="EF613" s="2047"/>
      <c r="EG613" s="2048"/>
      <c r="EH613" s="2046" t="str">
        <f t="shared" si="18"/>
        <v xml:space="preserve"> </v>
      </c>
      <c r="EI613" s="2047"/>
      <c r="EJ613" s="2047"/>
      <c r="EK613" s="2047"/>
      <c r="EL613" s="2048"/>
      <c r="EM613" s="2046">
        <f t="shared" si="19"/>
        <v>1775</v>
      </c>
      <c r="EN613" s="2047"/>
      <c r="EO613" s="2047"/>
      <c r="EP613" s="2047"/>
      <c r="EQ613" s="2048"/>
      <c r="ER613" s="2046" t="str">
        <f t="shared" si="20"/>
        <v xml:space="preserve"> </v>
      </c>
      <c r="ES613" s="2047"/>
      <c r="ET613" s="2047"/>
      <c r="EU613" s="2047"/>
      <c r="EV613" s="2048"/>
      <c r="EW613" s="2046" t="str">
        <f t="shared" si="21"/>
        <v xml:space="preserve"> </v>
      </c>
      <c r="EX613" s="2047"/>
      <c r="EY613" s="2047"/>
      <c r="EZ613" s="2047"/>
      <c r="FA613" s="2048"/>
    </row>
    <row r="614" spans="1:157" ht="12.75">
      <c r="A614" s="35"/>
      <c r="B614" s="12" t="s">
        <v>17</v>
      </c>
      <c r="G614" s="2030"/>
      <c r="H614" s="2030"/>
      <c r="I614" s="2030"/>
      <c r="J614" s="2030"/>
      <c r="K614" s="2030"/>
      <c r="L614" s="2030"/>
      <c r="M614" s="2030"/>
      <c r="N614" s="2030"/>
      <c r="O614" s="2030"/>
      <c r="P614" s="2030"/>
      <c r="Q614" s="2030"/>
      <c r="R614" s="2030"/>
      <c r="T614" s="35"/>
      <c r="U614" s="12" t="s">
        <v>17</v>
      </c>
      <c r="Z614" s="2262"/>
      <c r="AA614" s="2262"/>
      <c r="AB614" s="2262"/>
      <c r="AC614" s="2262"/>
      <c r="AD614" s="2262"/>
      <c r="AE614" s="2262"/>
      <c r="AF614" s="2262"/>
      <c r="AG614" s="2262"/>
      <c r="AH614" s="2262"/>
      <c r="AI614" s="2262"/>
      <c r="AJ614" s="2262"/>
      <c r="AK614" s="2262"/>
      <c r="BA614" s="7" t="s">
        <v>31</v>
      </c>
      <c r="BB614" s="58"/>
      <c r="BC614" s="58"/>
      <c r="BD614" s="58"/>
      <c r="BE614" s="2046">
        <f t="shared" si="0"/>
        <v>1</v>
      </c>
      <c r="BF614" s="2048"/>
      <c r="BG614" s="2361">
        <f t="shared" si="1"/>
        <v>7</v>
      </c>
      <c r="BH614" s="2363"/>
      <c r="BI614" s="2046">
        <f t="shared" si="2"/>
        <v>0</v>
      </c>
      <c r="BJ614" s="2048"/>
      <c r="BK614" s="2361">
        <f t="shared" si="3"/>
        <v>0</v>
      </c>
      <c r="BL614" s="2363"/>
      <c r="BM614" s="58"/>
      <c r="BN614" s="2024">
        <f t="shared" si="4"/>
        <v>0</v>
      </c>
      <c r="BO614" s="2025"/>
      <c r="BP614" s="2025"/>
      <c r="BQ614" s="2025"/>
      <c r="BR614" s="2026"/>
      <c r="BS614" s="2045">
        <f t="shared" si="5"/>
        <v>0</v>
      </c>
      <c r="BT614" s="2045"/>
      <c r="BU614" s="2045"/>
      <c r="BV614" s="2045"/>
      <c r="BW614" s="2045"/>
      <c r="BX614" s="2045">
        <f t="shared" si="6"/>
        <v>0</v>
      </c>
      <c r="BY614" s="2045"/>
      <c r="BZ614" s="2045"/>
      <c r="CA614" s="2045"/>
      <c r="CB614" s="2045"/>
      <c r="CC614" s="2045">
        <f t="shared" si="7"/>
        <v>7</v>
      </c>
      <c r="CD614" s="2045"/>
      <c r="CE614" s="2045"/>
      <c r="CF614" s="2045"/>
      <c r="CG614" s="2045"/>
      <c r="CH614" s="2045">
        <f t="shared" si="8"/>
        <v>0</v>
      </c>
      <c r="CI614" s="2045"/>
      <c r="CJ614" s="2045"/>
      <c r="CK614" s="2045"/>
      <c r="CL614" s="2045"/>
      <c r="CM614" s="2045">
        <f t="shared" si="9"/>
        <v>0</v>
      </c>
      <c r="CN614" s="2045"/>
      <c r="CO614" s="2045"/>
      <c r="CP614" s="2045"/>
      <c r="CQ614" s="2045"/>
      <c r="CR614" s="265"/>
      <c r="CS614" s="2088">
        <f t="shared" si="10"/>
        <v>0</v>
      </c>
      <c r="CT614" s="2088"/>
      <c r="CU614" s="2088"/>
      <c r="CV614" s="2088"/>
      <c r="CW614" s="2088"/>
      <c r="CX614" s="2088">
        <f t="shared" si="11"/>
        <v>0</v>
      </c>
      <c r="CY614" s="2088"/>
      <c r="CZ614" s="2088"/>
      <c r="DA614" s="2088"/>
      <c r="DB614" s="2088"/>
      <c r="DC614" s="2088">
        <f t="shared" si="12"/>
        <v>0</v>
      </c>
      <c r="DD614" s="2088"/>
      <c r="DE614" s="2088"/>
      <c r="DF614" s="2088"/>
      <c r="DG614" s="2088"/>
      <c r="DH614" s="2088">
        <f t="shared" si="13"/>
        <v>0</v>
      </c>
      <c r="DI614" s="2088"/>
      <c r="DJ614" s="2088"/>
      <c r="DK614" s="2088"/>
      <c r="DL614" s="2088"/>
      <c r="DM614" s="2088">
        <f t="shared" si="14"/>
        <v>0</v>
      </c>
      <c r="DN614" s="2088"/>
      <c r="DO614" s="2088"/>
      <c r="DP614" s="2088"/>
      <c r="DQ614" s="2088"/>
      <c r="DR614" s="2088">
        <f t="shared" si="15"/>
        <v>0</v>
      </c>
      <c r="DS614" s="2088"/>
      <c r="DT614" s="2088"/>
      <c r="DU614" s="2088"/>
      <c r="DV614" s="2088"/>
      <c r="DX614" s="2046" t="str">
        <f t="shared" si="16"/>
        <v xml:space="preserve"> </v>
      </c>
      <c r="DY614" s="2047"/>
      <c r="DZ614" s="2047"/>
      <c r="EA614" s="2047"/>
      <c r="EB614" s="2048"/>
      <c r="EC614" s="2046" t="str">
        <f t="shared" si="17"/>
        <v xml:space="preserve"> </v>
      </c>
      <c r="ED614" s="2047"/>
      <c r="EE614" s="2047"/>
      <c r="EF614" s="2047"/>
      <c r="EG614" s="2048"/>
      <c r="EH614" s="2046" t="str">
        <f t="shared" si="18"/>
        <v xml:space="preserve"> </v>
      </c>
      <c r="EI614" s="2047"/>
      <c r="EJ614" s="2047"/>
      <c r="EK614" s="2047"/>
      <c r="EL614" s="2048"/>
      <c r="EM614" s="2046">
        <f t="shared" si="19"/>
        <v>1465</v>
      </c>
      <c r="EN614" s="2047"/>
      <c r="EO614" s="2047"/>
      <c r="EP614" s="2047"/>
      <c r="EQ614" s="2048"/>
      <c r="ER614" s="2046" t="str">
        <f t="shared" si="20"/>
        <v xml:space="preserve"> </v>
      </c>
      <c r="ES614" s="2047"/>
      <c r="ET614" s="2047"/>
      <c r="EU614" s="2047"/>
      <c r="EV614" s="2048"/>
      <c r="EW614" s="2046" t="str">
        <f t="shared" si="21"/>
        <v xml:space="preserve"> </v>
      </c>
      <c r="EX614" s="2047"/>
      <c r="EY614" s="2047"/>
      <c r="EZ614" s="2047"/>
      <c r="FA614" s="2048"/>
    </row>
    <row r="615" spans="1:157" ht="12.75">
      <c r="A615" s="35"/>
      <c r="B615" s="12" t="s">
        <v>327</v>
      </c>
      <c r="G615" s="2261"/>
      <c r="H615" s="2261"/>
      <c r="I615" s="2261"/>
      <c r="J615" s="2261"/>
      <c r="K615" s="2261"/>
      <c r="L615" s="2261"/>
      <c r="O615" s="137" t="s">
        <v>212</v>
      </c>
      <c r="P615" s="2083"/>
      <c r="Q615" s="2083"/>
      <c r="R615" s="2083"/>
      <c r="T615" s="35"/>
      <c r="U615" s="12" t="s">
        <v>327</v>
      </c>
      <c r="Z615" s="2261"/>
      <c r="AA615" s="2261"/>
      <c r="AB615" s="2261"/>
      <c r="AC615" s="2261"/>
      <c r="AD615" s="2261"/>
      <c r="AE615" s="2261"/>
      <c r="AH615" s="137" t="s">
        <v>212</v>
      </c>
      <c r="AI615" s="2083"/>
      <c r="AJ615" s="2083"/>
      <c r="AK615" s="2083"/>
      <c r="AZ615" s="58"/>
      <c r="BA615" s="58"/>
      <c r="BB615" s="58"/>
      <c r="BC615" s="58"/>
      <c r="BD615" s="58"/>
      <c r="BE615" s="2046">
        <f t="shared" si="0"/>
        <v>0</v>
      </c>
      <c r="BF615" s="2048"/>
      <c r="BG615" s="2361">
        <f t="shared" si="1"/>
        <v>0</v>
      </c>
      <c r="BH615" s="2363"/>
      <c r="BI615" s="2046">
        <f t="shared" si="2"/>
        <v>1</v>
      </c>
      <c r="BJ615" s="2048"/>
      <c r="BK615" s="2361">
        <f t="shared" si="3"/>
        <v>7</v>
      </c>
      <c r="BL615" s="2363"/>
      <c r="BM615" s="58"/>
      <c r="BN615" s="2024">
        <f t="shared" si="4"/>
        <v>0</v>
      </c>
      <c r="BO615" s="2025"/>
      <c r="BP615" s="2025"/>
      <c r="BQ615" s="2025"/>
      <c r="BR615" s="2026"/>
      <c r="BS615" s="2045">
        <f t="shared" si="5"/>
        <v>0</v>
      </c>
      <c r="BT615" s="2045"/>
      <c r="BU615" s="2045"/>
      <c r="BV615" s="2045"/>
      <c r="BW615" s="2045"/>
      <c r="BX615" s="2045">
        <f t="shared" si="6"/>
        <v>0</v>
      </c>
      <c r="BY615" s="2045"/>
      <c r="BZ615" s="2045"/>
      <c r="CA615" s="2045"/>
      <c r="CB615" s="2045"/>
      <c r="CC615" s="2045">
        <f t="shared" si="7"/>
        <v>7</v>
      </c>
      <c r="CD615" s="2045"/>
      <c r="CE615" s="2045"/>
      <c r="CF615" s="2045"/>
      <c r="CG615" s="2045"/>
      <c r="CH615" s="2045">
        <f t="shared" si="8"/>
        <v>0</v>
      </c>
      <c r="CI615" s="2045"/>
      <c r="CJ615" s="2045"/>
      <c r="CK615" s="2045"/>
      <c r="CL615" s="2045"/>
      <c r="CM615" s="2045">
        <f t="shared" si="9"/>
        <v>0</v>
      </c>
      <c r="CN615" s="2045"/>
      <c r="CO615" s="2045"/>
      <c r="CP615" s="2045"/>
      <c r="CQ615" s="2045"/>
      <c r="CR615" s="265"/>
      <c r="CS615" s="2088">
        <f t="shared" si="10"/>
        <v>0</v>
      </c>
      <c r="CT615" s="2088"/>
      <c r="CU615" s="2088"/>
      <c r="CV615" s="2088"/>
      <c r="CW615" s="2088"/>
      <c r="CX615" s="2088">
        <f t="shared" si="11"/>
        <v>0</v>
      </c>
      <c r="CY615" s="2088"/>
      <c r="CZ615" s="2088"/>
      <c r="DA615" s="2088"/>
      <c r="DB615" s="2088"/>
      <c r="DC615" s="2088">
        <f t="shared" si="12"/>
        <v>0</v>
      </c>
      <c r="DD615" s="2088"/>
      <c r="DE615" s="2088"/>
      <c r="DF615" s="2088"/>
      <c r="DG615" s="2088"/>
      <c r="DH615" s="2088">
        <f t="shared" si="13"/>
        <v>7</v>
      </c>
      <c r="DI615" s="2088"/>
      <c r="DJ615" s="2088"/>
      <c r="DK615" s="2088"/>
      <c r="DL615" s="2088"/>
      <c r="DM615" s="2088">
        <f t="shared" si="14"/>
        <v>0</v>
      </c>
      <c r="DN615" s="2088"/>
      <c r="DO615" s="2088"/>
      <c r="DP615" s="2088"/>
      <c r="DQ615" s="2088"/>
      <c r="DR615" s="2088">
        <f t="shared" si="15"/>
        <v>0</v>
      </c>
      <c r="DS615" s="2088"/>
      <c r="DT615" s="2088"/>
      <c r="DU615" s="2088"/>
      <c r="DV615" s="2088"/>
      <c r="DX615" s="2046" t="str">
        <f t="shared" si="16"/>
        <v xml:space="preserve"> </v>
      </c>
      <c r="DY615" s="2047"/>
      <c r="DZ615" s="2047"/>
      <c r="EA615" s="2047"/>
      <c r="EB615" s="2048"/>
      <c r="EC615" s="2046" t="str">
        <f t="shared" si="17"/>
        <v xml:space="preserve"> </v>
      </c>
      <c r="ED615" s="2047"/>
      <c r="EE615" s="2047"/>
      <c r="EF615" s="2047"/>
      <c r="EG615" s="2048"/>
      <c r="EH615" s="2046" t="str">
        <f t="shared" si="18"/>
        <v xml:space="preserve"> </v>
      </c>
      <c r="EI615" s="2047"/>
      <c r="EJ615" s="2047"/>
      <c r="EK615" s="2047"/>
      <c r="EL615" s="2048"/>
      <c r="EM615" s="2046">
        <f t="shared" si="19"/>
        <v>846</v>
      </c>
      <c r="EN615" s="2047"/>
      <c r="EO615" s="2047"/>
      <c r="EP615" s="2047"/>
      <c r="EQ615" s="2048"/>
      <c r="ER615" s="2046" t="str">
        <f t="shared" si="20"/>
        <v xml:space="preserve"> </v>
      </c>
      <c r="ES615" s="2047"/>
      <c r="ET615" s="2047"/>
      <c r="EU615" s="2047"/>
      <c r="EV615" s="2048"/>
      <c r="EW615" s="2046" t="str">
        <f t="shared" si="21"/>
        <v xml:space="preserve"> </v>
      </c>
      <c r="EX615" s="2047"/>
      <c r="EY615" s="2047"/>
      <c r="EZ615" s="2047"/>
      <c r="FA615" s="2048"/>
    </row>
    <row r="616" spans="1:157" ht="12.75">
      <c r="A616" s="35"/>
      <c r="B616" s="12" t="s">
        <v>18</v>
      </c>
      <c r="H616" s="2030"/>
      <c r="I616" s="2030"/>
      <c r="J616" s="2030"/>
      <c r="K616" s="2030"/>
      <c r="L616" s="2030"/>
      <c r="M616" s="2030"/>
      <c r="N616" s="2030"/>
      <c r="O616" s="2030"/>
      <c r="P616" s="2030"/>
      <c r="Q616" s="2030"/>
      <c r="R616" s="2030"/>
      <c r="T616" s="35"/>
      <c r="U616" s="12" t="s">
        <v>18</v>
      </c>
      <c r="AA616" s="2030"/>
      <c r="AB616" s="2030"/>
      <c r="AC616" s="2030"/>
      <c r="AD616" s="2030"/>
      <c r="AE616" s="2030"/>
      <c r="AF616" s="2030"/>
      <c r="AG616" s="2030"/>
      <c r="AH616" s="2030"/>
      <c r="AI616" s="2030"/>
      <c r="AJ616" s="2030"/>
      <c r="AK616" s="2030"/>
      <c r="AZ616" s="58"/>
      <c r="BA616" s="58"/>
      <c r="BB616" s="58"/>
      <c r="BC616" s="58"/>
      <c r="BD616" s="58"/>
      <c r="BE616" s="2046">
        <f t="shared" si="0"/>
        <v>0</v>
      </c>
      <c r="BF616" s="2048"/>
      <c r="BG616" s="2361">
        <f t="shared" si="1"/>
        <v>0</v>
      </c>
      <c r="BH616" s="2363"/>
      <c r="BI616" s="2046">
        <f t="shared" si="2"/>
        <v>0</v>
      </c>
      <c r="BJ616" s="2048"/>
      <c r="BK616" s="2361">
        <f t="shared" si="3"/>
        <v>0</v>
      </c>
      <c r="BL616" s="2363"/>
      <c r="BM616" s="58"/>
      <c r="BN616" s="2024">
        <f t="shared" si="4"/>
        <v>0</v>
      </c>
      <c r="BO616" s="2025"/>
      <c r="BP616" s="2025"/>
      <c r="BQ616" s="2025"/>
      <c r="BR616" s="2026"/>
      <c r="BS616" s="2045">
        <f t="shared" si="5"/>
        <v>0</v>
      </c>
      <c r="BT616" s="2045"/>
      <c r="BU616" s="2045"/>
      <c r="BV616" s="2045"/>
      <c r="BW616" s="2045"/>
      <c r="BX616" s="2045">
        <f t="shared" si="6"/>
        <v>0</v>
      </c>
      <c r="BY616" s="2045"/>
      <c r="BZ616" s="2045"/>
      <c r="CA616" s="2045"/>
      <c r="CB616" s="2045"/>
      <c r="CC616" s="2045">
        <f t="shared" si="7"/>
        <v>0</v>
      </c>
      <c r="CD616" s="2045"/>
      <c r="CE616" s="2045"/>
      <c r="CF616" s="2045"/>
      <c r="CG616" s="2045"/>
      <c r="CH616" s="2045">
        <f t="shared" si="8"/>
        <v>14</v>
      </c>
      <c r="CI616" s="2045"/>
      <c r="CJ616" s="2045"/>
      <c r="CK616" s="2045"/>
      <c r="CL616" s="2045"/>
      <c r="CM616" s="2045">
        <f t="shared" si="9"/>
        <v>0</v>
      </c>
      <c r="CN616" s="2045"/>
      <c r="CO616" s="2045"/>
      <c r="CP616" s="2045"/>
      <c r="CQ616" s="2045"/>
      <c r="CR616" s="265"/>
      <c r="CS616" s="2088">
        <f t="shared" si="10"/>
        <v>0</v>
      </c>
      <c r="CT616" s="2088"/>
      <c r="CU616" s="2088"/>
      <c r="CV616" s="2088"/>
      <c r="CW616" s="2088"/>
      <c r="CX616" s="2088">
        <f t="shared" si="11"/>
        <v>0</v>
      </c>
      <c r="CY616" s="2088"/>
      <c r="CZ616" s="2088"/>
      <c r="DA616" s="2088"/>
      <c r="DB616" s="2088"/>
      <c r="DC616" s="2088">
        <f t="shared" si="12"/>
        <v>0</v>
      </c>
      <c r="DD616" s="2088"/>
      <c r="DE616" s="2088"/>
      <c r="DF616" s="2088"/>
      <c r="DG616" s="2088"/>
      <c r="DH616" s="2088">
        <f t="shared" si="13"/>
        <v>0</v>
      </c>
      <c r="DI616" s="2088"/>
      <c r="DJ616" s="2088"/>
      <c r="DK616" s="2088"/>
      <c r="DL616" s="2088"/>
      <c r="DM616" s="2088">
        <f t="shared" si="14"/>
        <v>0</v>
      </c>
      <c r="DN616" s="2088"/>
      <c r="DO616" s="2088"/>
      <c r="DP616" s="2088"/>
      <c r="DQ616" s="2088"/>
      <c r="DR616" s="2088">
        <f t="shared" si="15"/>
        <v>0</v>
      </c>
      <c r="DS616" s="2088"/>
      <c r="DT616" s="2088"/>
      <c r="DU616" s="2088"/>
      <c r="DV616" s="2088"/>
      <c r="DX616" s="2046" t="str">
        <f t="shared" si="16"/>
        <v xml:space="preserve"> </v>
      </c>
      <c r="DY616" s="2047"/>
      <c r="DZ616" s="2047"/>
      <c r="EA616" s="2047"/>
      <c r="EB616" s="2048"/>
      <c r="EC616" s="2046" t="str">
        <f t="shared" si="17"/>
        <v xml:space="preserve"> </v>
      </c>
      <c r="ED616" s="2047"/>
      <c r="EE616" s="2047"/>
      <c r="EF616" s="2047"/>
      <c r="EG616" s="2048"/>
      <c r="EH616" s="2046" t="str">
        <f t="shared" si="18"/>
        <v xml:space="preserve"> </v>
      </c>
      <c r="EI616" s="2047"/>
      <c r="EJ616" s="2047"/>
      <c r="EK616" s="2047"/>
      <c r="EL616" s="2048"/>
      <c r="EM616" s="2046" t="str">
        <f t="shared" si="19"/>
        <v xml:space="preserve"> </v>
      </c>
      <c r="EN616" s="2047"/>
      <c r="EO616" s="2047"/>
      <c r="EP616" s="2047"/>
      <c r="EQ616" s="2048"/>
      <c r="ER616" s="2046">
        <f t="shared" si="20"/>
        <v>1978</v>
      </c>
      <c r="ES616" s="2047"/>
      <c r="ET616" s="2047"/>
      <c r="EU616" s="2047"/>
      <c r="EV616" s="2048"/>
      <c r="EW616" s="2046" t="str">
        <f t="shared" si="21"/>
        <v xml:space="preserve"> </v>
      </c>
      <c r="EX616" s="2047"/>
      <c r="EY616" s="2047"/>
      <c r="EZ616" s="2047"/>
      <c r="FA616" s="2048"/>
    </row>
    <row r="617" spans="1:157" ht="12.75">
      <c r="A617" s="35"/>
      <c r="B617" s="12" t="s">
        <v>20</v>
      </c>
      <c r="N617" s="2267" t="s">
        <v>708</v>
      </c>
      <c r="O617" s="2267"/>
      <c r="T617" s="35"/>
      <c r="U617" s="12" t="s">
        <v>20</v>
      </c>
      <c r="AG617" s="2267" t="s">
        <v>708</v>
      </c>
      <c r="AH617" s="2267"/>
      <c r="AZ617" s="58"/>
      <c r="BA617" s="58"/>
      <c r="BB617" s="58"/>
      <c r="BC617" s="58"/>
      <c r="BD617" s="58"/>
      <c r="BE617" s="2046">
        <f t="shared" si="0"/>
        <v>1</v>
      </c>
      <c r="BF617" s="2048"/>
      <c r="BG617" s="2361">
        <f t="shared" si="1"/>
        <v>2</v>
      </c>
      <c r="BH617" s="2363"/>
      <c r="BI617" s="2046">
        <f t="shared" si="2"/>
        <v>0</v>
      </c>
      <c r="BJ617" s="2048"/>
      <c r="BK617" s="2361">
        <f t="shared" si="3"/>
        <v>0</v>
      </c>
      <c r="BL617" s="2363"/>
      <c r="BM617" s="58"/>
      <c r="BN617" s="2024">
        <f t="shared" si="4"/>
        <v>0</v>
      </c>
      <c r="BO617" s="2025"/>
      <c r="BP617" s="2025"/>
      <c r="BQ617" s="2025"/>
      <c r="BR617" s="2026"/>
      <c r="BS617" s="2045">
        <f t="shared" si="5"/>
        <v>0</v>
      </c>
      <c r="BT617" s="2045"/>
      <c r="BU617" s="2045"/>
      <c r="BV617" s="2045"/>
      <c r="BW617" s="2045"/>
      <c r="BX617" s="2045">
        <f t="shared" si="6"/>
        <v>0</v>
      </c>
      <c r="BY617" s="2045"/>
      <c r="BZ617" s="2045"/>
      <c r="CA617" s="2045"/>
      <c r="CB617" s="2045"/>
      <c r="CC617" s="2045">
        <f t="shared" si="7"/>
        <v>0</v>
      </c>
      <c r="CD617" s="2045"/>
      <c r="CE617" s="2045"/>
      <c r="CF617" s="2045"/>
      <c r="CG617" s="2045"/>
      <c r="CH617" s="2045">
        <f t="shared" si="8"/>
        <v>2</v>
      </c>
      <c r="CI617" s="2045"/>
      <c r="CJ617" s="2045"/>
      <c r="CK617" s="2045"/>
      <c r="CL617" s="2045"/>
      <c r="CM617" s="2045">
        <f t="shared" si="9"/>
        <v>0</v>
      </c>
      <c r="CN617" s="2045"/>
      <c r="CO617" s="2045"/>
      <c r="CP617" s="2045"/>
      <c r="CQ617" s="2045"/>
      <c r="CR617" s="265"/>
      <c r="CS617" s="2088">
        <f t="shared" si="10"/>
        <v>0</v>
      </c>
      <c r="CT617" s="2088"/>
      <c r="CU617" s="2088"/>
      <c r="CV617" s="2088"/>
      <c r="CW617" s="2088"/>
      <c r="CX617" s="2088">
        <f t="shared" si="11"/>
        <v>0</v>
      </c>
      <c r="CY617" s="2088"/>
      <c r="CZ617" s="2088"/>
      <c r="DA617" s="2088"/>
      <c r="DB617" s="2088"/>
      <c r="DC617" s="2088">
        <f t="shared" si="12"/>
        <v>0</v>
      </c>
      <c r="DD617" s="2088"/>
      <c r="DE617" s="2088"/>
      <c r="DF617" s="2088"/>
      <c r="DG617" s="2088"/>
      <c r="DH617" s="2088">
        <f t="shared" si="13"/>
        <v>0</v>
      </c>
      <c r="DI617" s="2088"/>
      <c r="DJ617" s="2088"/>
      <c r="DK617" s="2088"/>
      <c r="DL617" s="2088"/>
      <c r="DM617" s="2088">
        <f t="shared" si="14"/>
        <v>0</v>
      </c>
      <c r="DN617" s="2088"/>
      <c r="DO617" s="2088"/>
      <c r="DP617" s="2088"/>
      <c r="DQ617" s="2088"/>
      <c r="DR617" s="2088">
        <f t="shared" si="15"/>
        <v>0</v>
      </c>
      <c r="DS617" s="2088"/>
      <c r="DT617" s="2088"/>
      <c r="DU617" s="2088"/>
      <c r="DV617" s="2088"/>
      <c r="DX617" s="2046" t="str">
        <f t="shared" si="16"/>
        <v xml:space="preserve"> </v>
      </c>
      <c r="DY617" s="2047"/>
      <c r="DZ617" s="2047"/>
      <c r="EA617" s="2047"/>
      <c r="EB617" s="2048"/>
      <c r="EC617" s="2046" t="str">
        <f t="shared" si="17"/>
        <v xml:space="preserve"> </v>
      </c>
      <c r="ED617" s="2047"/>
      <c r="EE617" s="2047"/>
      <c r="EF617" s="2047"/>
      <c r="EG617" s="2048"/>
      <c r="EH617" s="2046" t="str">
        <f t="shared" si="18"/>
        <v xml:space="preserve"> </v>
      </c>
      <c r="EI617" s="2047"/>
      <c r="EJ617" s="2047"/>
      <c r="EK617" s="2047"/>
      <c r="EL617" s="2048"/>
      <c r="EM617" s="2046" t="str">
        <f t="shared" si="19"/>
        <v xml:space="preserve"> </v>
      </c>
      <c r="EN617" s="2047"/>
      <c r="EO617" s="2047"/>
      <c r="EP617" s="2047"/>
      <c r="EQ617" s="2048"/>
      <c r="ER617" s="2046">
        <f t="shared" si="20"/>
        <v>1633</v>
      </c>
      <c r="ES617" s="2047"/>
      <c r="ET617" s="2047"/>
      <c r="EU617" s="2047"/>
      <c r="EV617" s="2048"/>
      <c r="EW617" s="2046" t="str">
        <f t="shared" si="21"/>
        <v xml:space="preserve"> </v>
      </c>
      <c r="EX617" s="2047"/>
      <c r="EY617" s="2047"/>
      <c r="EZ617" s="2047"/>
      <c r="FA617" s="204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6">
        <f t="shared" si="0"/>
        <v>0</v>
      </c>
      <c r="BF618" s="2048"/>
      <c r="BG618" s="2361">
        <f t="shared" si="1"/>
        <v>0</v>
      </c>
      <c r="BH618" s="2363"/>
      <c r="BI618" s="2046">
        <f t="shared" si="2"/>
        <v>1</v>
      </c>
      <c r="BJ618" s="2048"/>
      <c r="BK618" s="2361">
        <f t="shared" si="3"/>
        <v>2</v>
      </c>
      <c r="BL618" s="2363"/>
      <c r="BM618" s="58"/>
      <c r="BN618" s="2024">
        <f t="shared" si="4"/>
        <v>0</v>
      </c>
      <c r="BO618" s="2025"/>
      <c r="BP618" s="2025"/>
      <c r="BQ618" s="2025"/>
      <c r="BR618" s="2026"/>
      <c r="BS618" s="2045">
        <f t="shared" si="5"/>
        <v>0</v>
      </c>
      <c r="BT618" s="2045"/>
      <c r="BU618" s="2045"/>
      <c r="BV618" s="2045"/>
      <c r="BW618" s="2045"/>
      <c r="BX618" s="2045">
        <f t="shared" si="6"/>
        <v>0</v>
      </c>
      <c r="BY618" s="2045"/>
      <c r="BZ618" s="2045"/>
      <c r="CA618" s="2045"/>
      <c r="CB618" s="2045"/>
      <c r="CC618" s="2045">
        <f t="shared" si="7"/>
        <v>0</v>
      </c>
      <c r="CD618" s="2045"/>
      <c r="CE618" s="2045"/>
      <c r="CF618" s="2045"/>
      <c r="CG618" s="2045"/>
      <c r="CH618" s="2045">
        <f t="shared" si="8"/>
        <v>2</v>
      </c>
      <c r="CI618" s="2045"/>
      <c r="CJ618" s="2045"/>
      <c r="CK618" s="2045"/>
      <c r="CL618" s="2045"/>
      <c r="CM618" s="2045">
        <f t="shared" si="9"/>
        <v>0</v>
      </c>
      <c r="CN618" s="2045"/>
      <c r="CO618" s="2045"/>
      <c r="CP618" s="2045"/>
      <c r="CQ618" s="2045"/>
      <c r="CR618" s="265"/>
      <c r="CS618" s="2088">
        <f t="shared" si="10"/>
        <v>0</v>
      </c>
      <c r="CT618" s="2088"/>
      <c r="CU618" s="2088"/>
      <c r="CV618" s="2088"/>
      <c r="CW618" s="2088"/>
      <c r="CX618" s="2088">
        <f t="shared" si="11"/>
        <v>0</v>
      </c>
      <c r="CY618" s="2088"/>
      <c r="CZ618" s="2088"/>
      <c r="DA618" s="2088"/>
      <c r="DB618" s="2088"/>
      <c r="DC618" s="2088">
        <f t="shared" si="12"/>
        <v>0</v>
      </c>
      <c r="DD618" s="2088"/>
      <c r="DE618" s="2088"/>
      <c r="DF618" s="2088"/>
      <c r="DG618" s="2088"/>
      <c r="DH618" s="2088">
        <f t="shared" si="13"/>
        <v>0</v>
      </c>
      <c r="DI618" s="2088"/>
      <c r="DJ618" s="2088"/>
      <c r="DK618" s="2088"/>
      <c r="DL618" s="2088"/>
      <c r="DM618" s="2088">
        <f t="shared" si="14"/>
        <v>2</v>
      </c>
      <c r="DN618" s="2088"/>
      <c r="DO618" s="2088"/>
      <c r="DP618" s="2088"/>
      <c r="DQ618" s="2088"/>
      <c r="DR618" s="2088">
        <f t="shared" si="15"/>
        <v>0</v>
      </c>
      <c r="DS618" s="2088"/>
      <c r="DT618" s="2088"/>
      <c r="DU618" s="2088"/>
      <c r="DV618" s="2088"/>
      <c r="DX618" s="2046" t="str">
        <f t="shared" si="16"/>
        <v xml:space="preserve"> </v>
      </c>
      <c r="DY618" s="2047"/>
      <c r="DZ618" s="2047"/>
      <c r="EA618" s="2047"/>
      <c r="EB618" s="2048"/>
      <c r="EC618" s="2046" t="str">
        <f t="shared" si="17"/>
        <v xml:space="preserve"> </v>
      </c>
      <c r="ED618" s="2047"/>
      <c r="EE618" s="2047"/>
      <c r="EF618" s="2047"/>
      <c r="EG618" s="2048"/>
      <c r="EH618" s="2046" t="str">
        <f t="shared" si="18"/>
        <v xml:space="preserve"> </v>
      </c>
      <c r="EI618" s="2047"/>
      <c r="EJ618" s="2047"/>
      <c r="EK618" s="2047"/>
      <c r="EL618" s="2048"/>
      <c r="EM618" s="2046" t="str">
        <f t="shared" si="19"/>
        <v xml:space="preserve"> </v>
      </c>
      <c r="EN618" s="2047"/>
      <c r="EO618" s="2047"/>
      <c r="EP618" s="2047"/>
      <c r="EQ618" s="2048"/>
      <c r="ER618" s="2046">
        <f t="shared" si="20"/>
        <v>942</v>
      </c>
      <c r="ES618" s="2047"/>
      <c r="ET618" s="2047"/>
      <c r="EU618" s="2047"/>
      <c r="EV618" s="2048"/>
      <c r="EW618" s="2046" t="str">
        <f t="shared" si="21"/>
        <v xml:space="preserve"> </v>
      </c>
      <c r="EX618" s="2047"/>
      <c r="EY618" s="2047"/>
      <c r="EZ618" s="2047"/>
      <c r="FA618" s="2048"/>
    </row>
    <row r="619" spans="1:157" s="7" customFormat="1" ht="12.75">
      <c r="A619" s="87" t="s">
        <v>374</v>
      </c>
      <c r="B619" s="12" t="s">
        <v>498</v>
      </c>
      <c r="C619" s="12"/>
      <c r="D619" s="12"/>
      <c r="E619" s="12"/>
      <c r="F619" s="12"/>
      <c r="G619" s="2001">
        <f>C574</f>
        <v>0</v>
      </c>
      <c r="H619" s="2001"/>
      <c r="I619" s="2001"/>
      <c r="J619" s="2001"/>
      <c r="K619" s="2001"/>
      <c r="L619" s="2001"/>
      <c r="M619" s="2001"/>
      <c r="N619" s="2001"/>
      <c r="O619" s="2001"/>
      <c r="P619" s="2001"/>
      <c r="Q619" s="2001"/>
      <c r="R619" s="2001"/>
      <c r="S619" s="12"/>
      <c r="T619" s="87" t="s">
        <v>375</v>
      </c>
      <c r="U619" s="12" t="s">
        <v>498</v>
      </c>
      <c r="V619" s="12"/>
      <c r="W619" s="12"/>
      <c r="X619" s="12"/>
      <c r="Y619" s="12"/>
      <c r="Z619" s="2001">
        <f>C575</f>
        <v>0</v>
      </c>
      <c r="AA619" s="2001"/>
      <c r="AB619" s="2001"/>
      <c r="AC619" s="2001"/>
      <c r="AD619" s="2001"/>
      <c r="AE619" s="2001"/>
      <c r="AF619" s="2001"/>
      <c r="AG619" s="2001"/>
      <c r="AH619" s="2001"/>
      <c r="AI619" s="2001"/>
      <c r="AJ619" s="2001"/>
      <c r="AK619" s="2001"/>
      <c r="AL619" s="12"/>
      <c r="AM619" s="39"/>
      <c r="AN619" s="39"/>
      <c r="AO619" s="39"/>
      <c r="AP619" s="39"/>
      <c r="AQ619" s="39"/>
      <c r="AR619" s="39"/>
      <c r="AS619" s="39"/>
      <c r="AT619" s="39"/>
      <c r="AU619" s="39"/>
      <c r="AV619" s="39"/>
      <c r="AW619" s="39"/>
      <c r="AX619" s="39"/>
      <c r="AY619" s="39"/>
      <c r="AZ619" s="58"/>
      <c r="BA619" s="58"/>
      <c r="BB619" s="58"/>
      <c r="BC619" s="58"/>
      <c r="BD619" s="58"/>
      <c r="BE619" s="2046">
        <f t="shared" si="0"/>
        <v>0</v>
      </c>
      <c r="BF619" s="2048"/>
      <c r="BG619" s="2361">
        <f t="shared" si="1"/>
        <v>0</v>
      </c>
      <c r="BH619" s="2363"/>
      <c r="BI619" s="2046">
        <f t="shared" si="2"/>
        <v>0</v>
      </c>
      <c r="BJ619" s="2048"/>
      <c r="BK619" s="2361">
        <f t="shared" si="3"/>
        <v>0</v>
      </c>
      <c r="BL619" s="2363"/>
      <c r="BM619" s="58"/>
      <c r="BN619" s="2024">
        <f t="shared" si="4"/>
        <v>0</v>
      </c>
      <c r="BO619" s="2025"/>
      <c r="BP619" s="2025"/>
      <c r="BQ619" s="2025"/>
      <c r="BR619" s="2026"/>
      <c r="BS619" s="2045">
        <f t="shared" si="5"/>
        <v>0</v>
      </c>
      <c r="BT619" s="2045"/>
      <c r="BU619" s="2045"/>
      <c r="BV619" s="2045"/>
      <c r="BW619" s="2045"/>
      <c r="BX619" s="2045">
        <f t="shared" si="6"/>
        <v>7</v>
      </c>
      <c r="BY619" s="2045"/>
      <c r="BZ619" s="2045"/>
      <c r="CA619" s="2045"/>
      <c r="CB619" s="2045"/>
      <c r="CC619" s="2045">
        <f t="shared" si="7"/>
        <v>0</v>
      </c>
      <c r="CD619" s="2045"/>
      <c r="CE619" s="2045"/>
      <c r="CF619" s="2045"/>
      <c r="CG619" s="2045"/>
      <c r="CH619" s="2045">
        <f t="shared" si="8"/>
        <v>0</v>
      </c>
      <c r="CI619" s="2045"/>
      <c r="CJ619" s="2045"/>
      <c r="CK619" s="2045"/>
      <c r="CL619" s="2045"/>
      <c r="CM619" s="2045">
        <f t="shared" si="9"/>
        <v>0</v>
      </c>
      <c r="CN619" s="2045"/>
      <c r="CO619" s="2045"/>
      <c r="CP619" s="2045"/>
      <c r="CQ619" s="2045"/>
      <c r="CR619" s="265"/>
      <c r="CS619" s="2088">
        <f t="shared" si="10"/>
        <v>0</v>
      </c>
      <c r="CT619" s="2088"/>
      <c r="CU619" s="2088"/>
      <c r="CV619" s="2088"/>
      <c r="CW619" s="2088"/>
      <c r="CX619" s="2088">
        <f t="shared" si="11"/>
        <v>0</v>
      </c>
      <c r="CY619" s="2088"/>
      <c r="CZ619" s="2088"/>
      <c r="DA619" s="2088"/>
      <c r="DB619" s="2088"/>
      <c r="DC619" s="2088">
        <f t="shared" si="12"/>
        <v>0</v>
      </c>
      <c r="DD619" s="2088"/>
      <c r="DE619" s="2088"/>
      <c r="DF619" s="2088"/>
      <c r="DG619" s="2088"/>
      <c r="DH619" s="2088">
        <f t="shared" si="13"/>
        <v>0</v>
      </c>
      <c r="DI619" s="2088"/>
      <c r="DJ619" s="2088"/>
      <c r="DK619" s="2088"/>
      <c r="DL619" s="2088"/>
      <c r="DM619" s="2088">
        <f t="shared" si="14"/>
        <v>0</v>
      </c>
      <c r="DN619" s="2088"/>
      <c r="DO619" s="2088"/>
      <c r="DP619" s="2088"/>
      <c r="DQ619" s="2088"/>
      <c r="DR619" s="2088">
        <f t="shared" si="15"/>
        <v>0</v>
      </c>
      <c r="DS619" s="2088"/>
      <c r="DT619" s="2088"/>
      <c r="DU619" s="2088"/>
      <c r="DV619" s="2088"/>
      <c r="DX619" s="2046" t="str">
        <f t="shared" si="16"/>
        <v xml:space="preserve"> </v>
      </c>
      <c r="DY619" s="2047"/>
      <c r="DZ619" s="2047"/>
      <c r="EA619" s="2047"/>
      <c r="EB619" s="2048"/>
      <c r="EC619" s="2046" t="str">
        <f t="shared" si="17"/>
        <v xml:space="preserve"> </v>
      </c>
      <c r="ED619" s="2047"/>
      <c r="EE619" s="2047"/>
      <c r="EF619" s="2047"/>
      <c r="EG619" s="2048"/>
      <c r="EH619" s="2046">
        <f t="shared" si="18"/>
        <v>1805.6666666666667</v>
      </c>
      <c r="EI619" s="2047"/>
      <c r="EJ619" s="2047"/>
      <c r="EK619" s="2047"/>
      <c r="EL619" s="2048"/>
      <c r="EM619" s="2046" t="str">
        <f t="shared" si="19"/>
        <v xml:space="preserve"> </v>
      </c>
      <c r="EN619" s="2047"/>
      <c r="EO619" s="2047"/>
      <c r="EP619" s="2047"/>
      <c r="EQ619" s="2048"/>
      <c r="ER619" s="2046" t="str">
        <f t="shared" si="20"/>
        <v xml:space="preserve"> </v>
      </c>
      <c r="ES619" s="2047"/>
      <c r="ET619" s="2047"/>
      <c r="EU619" s="2047"/>
      <c r="EV619" s="2048"/>
      <c r="EW619" s="2046" t="str">
        <f t="shared" si="21"/>
        <v xml:space="preserve"> </v>
      </c>
      <c r="EX619" s="2047"/>
      <c r="EY619" s="2047"/>
      <c r="EZ619" s="2047"/>
      <c r="FA619" s="2048"/>
    </row>
    <row r="620" spans="1:157" s="7" customFormat="1" ht="12.75">
      <c r="A620" s="12"/>
      <c r="B620" s="12" t="s">
        <v>90</v>
      </c>
      <c r="C620" s="12"/>
      <c r="D620" s="12"/>
      <c r="E620" s="12"/>
      <c r="F620" s="12"/>
      <c r="G620" s="2030"/>
      <c r="H620" s="2030"/>
      <c r="I620" s="2030"/>
      <c r="J620" s="2030"/>
      <c r="K620" s="2030"/>
      <c r="L620" s="2030"/>
      <c r="M620" s="2030"/>
      <c r="N620" s="2030"/>
      <c r="O620" s="2030"/>
      <c r="P620" s="2030"/>
      <c r="Q620" s="2030"/>
      <c r="R620" s="2030"/>
      <c r="S620" s="12"/>
      <c r="T620" s="12"/>
      <c r="U620" s="12" t="s">
        <v>90</v>
      </c>
      <c r="V620" s="12"/>
      <c r="W620" s="12"/>
      <c r="X620" s="12"/>
      <c r="Y620" s="12"/>
      <c r="Z620" s="2030"/>
      <c r="AA620" s="2030"/>
      <c r="AB620" s="2030"/>
      <c r="AC620" s="2030"/>
      <c r="AD620" s="2030"/>
      <c r="AE620" s="2030"/>
      <c r="AF620" s="2030"/>
      <c r="AG620" s="2030"/>
      <c r="AH620" s="2030"/>
      <c r="AI620" s="2030"/>
      <c r="AJ620" s="2030"/>
      <c r="AK620" s="2030"/>
      <c r="AL620" s="12"/>
      <c r="AM620" s="39"/>
      <c r="AN620" s="39"/>
      <c r="AO620" s="39"/>
      <c r="AP620" s="39"/>
      <c r="AQ620" s="39"/>
      <c r="AR620" s="39"/>
      <c r="AS620" s="39"/>
      <c r="AT620" s="39"/>
      <c r="AU620" s="39"/>
      <c r="AV620" s="39"/>
      <c r="AW620" s="39"/>
      <c r="AX620" s="39"/>
      <c r="AY620" s="39"/>
      <c r="AZ620" s="58"/>
      <c r="BA620" s="58"/>
      <c r="BB620" s="58"/>
      <c r="BC620" s="58"/>
      <c r="BD620" s="58"/>
      <c r="BE620" s="2046">
        <f t="shared" si="0"/>
        <v>0</v>
      </c>
      <c r="BF620" s="2048"/>
      <c r="BG620" s="2361">
        <f t="shared" si="1"/>
        <v>0</v>
      </c>
      <c r="BH620" s="2363"/>
      <c r="BI620" s="2046">
        <f t="shared" si="2"/>
        <v>0</v>
      </c>
      <c r="BJ620" s="2048"/>
      <c r="BK620" s="2361">
        <f t="shared" si="3"/>
        <v>0</v>
      </c>
      <c r="BL620" s="2363"/>
      <c r="BM620" s="58"/>
      <c r="BN620" s="2024">
        <f t="shared" si="4"/>
        <v>0</v>
      </c>
      <c r="BO620" s="2025"/>
      <c r="BP620" s="2025"/>
      <c r="BQ620" s="2025"/>
      <c r="BR620" s="2026"/>
      <c r="BS620" s="2045">
        <f t="shared" si="5"/>
        <v>0</v>
      </c>
      <c r="BT620" s="2045"/>
      <c r="BU620" s="2045"/>
      <c r="BV620" s="2045"/>
      <c r="BW620" s="2045"/>
      <c r="BX620" s="2045">
        <f t="shared" si="6"/>
        <v>0</v>
      </c>
      <c r="BY620" s="2045"/>
      <c r="BZ620" s="2045"/>
      <c r="CA620" s="2045"/>
      <c r="CB620" s="2045"/>
      <c r="CC620" s="2045">
        <f t="shared" si="7"/>
        <v>7</v>
      </c>
      <c r="CD620" s="2045"/>
      <c r="CE620" s="2045"/>
      <c r="CF620" s="2045"/>
      <c r="CG620" s="2045"/>
      <c r="CH620" s="2045">
        <f t="shared" si="8"/>
        <v>0</v>
      </c>
      <c r="CI620" s="2045"/>
      <c r="CJ620" s="2045"/>
      <c r="CK620" s="2045"/>
      <c r="CL620" s="2045"/>
      <c r="CM620" s="2045">
        <f t="shared" si="9"/>
        <v>0</v>
      </c>
      <c r="CN620" s="2045"/>
      <c r="CO620" s="2045"/>
      <c r="CP620" s="2045"/>
      <c r="CQ620" s="2045"/>
      <c r="CR620" s="265"/>
      <c r="CS620" s="2088">
        <f t="shared" si="10"/>
        <v>0</v>
      </c>
      <c r="CT620" s="2088"/>
      <c r="CU620" s="2088"/>
      <c r="CV620" s="2088"/>
      <c r="CW620" s="2088"/>
      <c r="CX620" s="2088">
        <f t="shared" si="11"/>
        <v>0</v>
      </c>
      <c r="CY620" s="2088"/>
      <c r="CZ620" s="2088"/>
      <c r="DA620" s="2088"/>
      <c r="DB620" s="2088"/>
      <c r="DC620" s="2088">
        <f t="shared" si="12"/>
        <v>0</v>
      </c>
      <c r="DD620" s="2088"/>
      <c r="DE620" s="2088"/>
      <c r="DF620" s="2088"/>
      <c r="DG620" s="2088"/>
      <c r="DH620" s="2088">
        <f t="shared" si="13"/>
        <v>0</v>
      </c>
      <c r="DI620" s="2088"/>
      <c r="DJ620" s="2088"/>
      <c r="DK620" s="2088"/>
      <c r="DL620" s="2088"/>
      <c r="DM620" s="2088">
        <f t="shared" si="14"/>
        <v>0</v>
      </c>
      <c r="DN620" s="2088"/>
      <c r="DO620" s="2088"/>
      <c r="DP620" s="2088"/>
      <c r="DQ620" s="2088"/>
      <c r="DR620" s="2088">
        <f t="shared" si="15"/>
        <v>0</v>
      </c>
      <c r="DS620" s="2088"/>
      <c r="DT620" s="2088"/>
      <c r="DU620" s="2088"/>
      <c r="DV620" s="2088"/>
      <c r="DX620" s="2046" t="str">
        <f t="shared" si="16"/>
        <v xml:space="preserve"> </v>
      </c>
      <c r="DY620" s="2047"/>
      <c r="DZ620" s="2047"/>
      <c r="EA620" s="2047"/>
      <c r="EB620" s="2048"/>
      <c r="EC620" s="2046" t="str">
        <f t="shared" si="17"/>
        <v xml:space="preserve"> </v>
      </c>
      <c r="ED620" s="2047"/>
      <c r="EE620" s="2047"/>
      <c r="EF620" s="2047"/>
      <c r="EG620" s="2048"/>
      <c r="EH620" s="2046" t="str">
        <f t="shared" si="18"/>
        <v xml:space="preserve"> </v>
      </c>
      <c r="EI620" s="2047"/>
      <c r="EJ620" s="2047"/>
      <c r="EK620" s="2047"/>
      <c r="EL620" s="2048"/>
      <c r="EM620" s="2046">
        <f t="shared" si="19"/>
        <v>2083.5</v>
      </c>
      <c r="EN620" s="2047"/>
      <c r="EO620" s="2047"/>
      <c r="EP620" s="2047"/>
      <c r="EQ620" s="2048"/>
      <c r="ER620" s="2046" t="str">
        <f t="shared" si="20"/>
        <v xml:space="preserve"> </v>
      </c>
      <c r="ES620" s="2047"/>
      <c r="ET620" s="2047"/>
      <c r="EU620" s="2047"/>
      <c r="EV620" s="2048"/>
      <c r="EW620" s="2046" t="str">
        <f t="shared" si="21"/>
        <v xml:space="preserve"> </v>
      </c>
      <c r="EX620" s="2047"/>
      <c r="EY620" s="2047"/>
      <c r="EZ620" s="2047"/>
      <c r="FA620" s="2048"/>
    </row>
    <row r="621" spans="1:157" ht="12.75">
      <c r="B621" s="12" t="s">
        <v>617</v>
      </c>
      <c r="G621" s="2030"/>
      <c r="H621" s="2030"/>
      <c r="I621" s="2030"/>
      <c r="J621" s="2030"/>
      <c r="K621" s="2030"/>
      <c r="L621" s="2030"/>
      <c r="M621" s="2030"/>
      <c r="N621" s="2030"/>
      <c r="O621" s="2030"/>
      <c r="P621" s="2030"/>
      <c r="Q621" s="2030"/>
      <c r="R621" s="2030"/>
      <c r="U621" s="12" t="s">
        <v>617</v>
      </c>
      <c r="Z621" s="2262"/>
      <c r="AA621" s="2262"/>
      <c r="AB621" s="2262"/>
      <c r="AC621" s="2262"/>
      <c r="AD621" s="2262"/>
      <c r="AE621" s="2262"/>
      <c r="AF621" s="2262"/>
      <c r="AG621" s="2262"/>
      <c r="AH621" s="2262"/>
      <c r="AI621" s="2262"/>
      <c r="AJ621" s="2262"/>
      <c r="AK621" s="2262"/>
      <c r="AZ621" s="58"/>
      <c r="BA621" s="58"/>
      <c r="BB621" s="58"/>
      <c r="BC621" s="58"/>
      <c r="BD621" s="58"/>
      <c r="BE621" s="2046">
        <f t="shared" si="0"/>
        <v>0</v>
      </c>
      <c r="BF621" s="2048"/>
      <c r="BG621" s="2361">
        <f t="shared" si="1"/>
        <v>0</v>
      </c>
      <c r="BH621" s="2363"/>
      <c r="BI621" s="2046">
        <f t="shared" si="2"/>
        <v>0</v>
      </c>
      <c r="BJ621" s="2048"/>
      <c r="BK621" s="2361">
        <f t="shared" si="3"/>
        <v>0</v>
      </c>
      <c r="BL621" s="2363"/>
      <c r="BM621" s="58"/>
      <c r="BN621" s="2024">
        <f t="shared" si="4"/>
        <v>0</v>
      </c>
      <c r="BO621" s="2025"/>
      <c r="BP621" s="2025"/>
      <c r="BQ621" s="2025"/>
      <c r="BR621" s="2026"/>
      <c r="BS621" s="2045">
        <f t="shared" si="5"/>
        <v>0</v>
      </c>
      <c r="BT621" s="2045"/>
      <c r="BU621" s="2045"/>
      <c r="BV621" s="2045"/>
      <c r="BW621" s="2045"/>
      <c r="BX621" s="2045">
        <f t="shared" si="6"/>
        <v>0</v>
      </c>
      <c r="BY621" s="2045"/>
      <c r="BZ621" s="2045"/>
      <c r="CA621" s="2045"/>
      <c r="CB621" s="2045"/>
      <c r="CC621" s="2045">
        <f t="shared" si="7"/>
        <v>0</v>
      </c>
      <c r="CD621" s="2045"/>
      <c r="CE621" s="2045"/>
      <c r="CF621" s="2045"/>
      <c r="CG621" s="2045"/>
      <c r="CH621" s="2045">
        <f t="shared" si="8"/>
        <v>2</v>
      </c>
      <c r="CI621" s="2045"/>
      <c r="CJ621" s="2045"/>
      <c r="CK621" s="2045"/>
      <c r="CL621" s="2045"/>
      <c r="CM621" s="2045">
        <f t="shared" si="9"/>
        <v>0</v>
      </c>
      <c r="CN621" s="2045"/>
      <c r="CO621" s="2045"/>
      <c r="CP621" s="2045"/>
      <c r="CQ621" s="2045"/>
      <c r="CR621" s="265"/>
      <c r="CS621" s="2088">
        <f t="shared" si="10"/>
        <v>0</v>
      </c>
      <c r="CT621" s="2088"/>
      <c r="CU621" s="2088"/>
      <c r="CV621" s="2088"/>
      <c r="CW621" s="2088"/>
      <c r="CX621" s="2088">
        <f t="shared" si="11"/>
        <v>0</v>
      </c>
      <c r="CY621" s="2088"/>
      <c r="CZ621" s="2088"/>
      <c r="DA621" s="2088"/>
      <c r="DB621" s="2088"/>
      <c r="DC621" s="2088">
        <f t="shared" si="12"/>
        <v>0</v>
      </c>
      <c r="DD621" s="2088"/>
      <c r="DE621" s="2088"/>
      <c r="DF621" s="2088"/>
      <c r="DG621" s="2088"/>
      <c r="DH621" s="2088">
        <f t="shared" si="13"/>
        <v>0</v>
      </c>
      <c r="DI621" s="2088"/>
      <c r="DJ621" s="2088"/>
      <c r="DK621" s="2088"/>
      <c r="DL621" s="2088"/>
      <c r="DM621" s="2088">
        <f t="shared" si="14"/>
        <v>0</v>
      </c>
      <c r="DN621" s="2088"/>
      <c r="DO621" s="2088"/>
      <c r="DP621" s="2088"/>
      <c r="DQ621" s="2088"/>
      <c r="DR621" s="2088">
        <f t="shared" si="15"/>
        <v>0</v>
      </c>
      <c r="DS621" s="2088"/>
      <c r="DT621" s="2088"/>
      <c r="DU621" s="2088"/>
      <c r="DV621" s="2088"/>
      <c r="DX621" s="2046" t="str">
        <f t="shared" si="16"/>
        <v xml:space="preserve"> </v>
      </c>
      <c r="DY621" s="2047"/>
      <c r="DZ621" s="2047"/>
      <c r="EA621" s="2047"/>
      <c r="EB621" s="2048"/>
      <c r="EC621" s="2046" t="str">
        <f t="shared" si="17"/>
        <v xml:space="preserve"> </v>
      </c>
      <c r="ED621" s="2047"/>
      <c r="EE621" s="2047"/>
      <c r="EF621" s="2047"/>
      <c r="EG621" s="2048"/>
      <c r="EH621" s="2046" t="str">
        <f t="shared" si="18"/>
        <v xml:space="preserve"> </v>
      </c>
      <c r="EI621" s="2047"/>
      <c r="EJ621" s="2047"/>
      <c r="EK621" s="2047"/>
      <c r="EL621" s="2048"/>
      <c r="EM621" s="2046" t="str">
        <f t="shared" si="19"/>
        <v xml:space="preserve"> </v>
      </c>
      <c r="EN621" s="2047"/>
      <c r="EO621" s="2047"/>
      <c r="EP621" s="2047"/>
      <c r="EQ621" s="2048"/>
      <c r="ER621" s="2046">
        <f t="shared" si="20"/>
        <v>2323.1666666666665</v>
      </c>
      <c r="ES621" s="2047"/>
      <c r="ET621" s="2047"/>
      <c r="EU621" s="2047"/>
      <c r="EV621" s="2048"/>
      <c r="EW621" s="2046" t="str">
        <f t="shared" si="21"/>
        <v xml:space="preserve"> </v>
      </c>
      <c r="EX621" s="2047"/>
      <c r="EY621" s="2047"/>
      <c r="EZ621" s="2047"/>
      <c r="FA621" s="2048"/>
    </row>
    <row r="622" spans="1:157" ht="12.75">
      <c r="B622" s="12" t="s">
        <v>17</v>
      </c>
      <c r="G622" s="2030"/>
      <c r="H622" s="2030"/>
      <c r="I622" s="2030"/>
      <c r="J622" s="2030"/>
      <c r="K622" s="2030"/>
      <c r="L622" s="2030"/>
      <c r="M622" s="2030"/>
      <c r="N622" s="2030"/>
      <c r="O622" s="2030"/>
      <c r="P622" s="2030"/>
      <c r="Q622" s="2030"/>
      <c r="R622" s="2030"/>
      <c r="U622" s="12" t="s">
        <v>17</v>
      </c>
      <c r="Z622" s="2262"/>
      <c r="AA622" s="2262"/>
      <c r="AB622" s="2262"/>
      <c r="AC622" s="2262"/>
      <c r="AD622" s="2262"/>
      <c r="AE622" s="2262"/>
      <c r="AF622" s="2262"/>
      <c r="AG622" s="2262"/>
      <c r="AH622" s="2262"/>
      <c r="AI622" s="2262"/>
      <c r="AJ622" s="2262"/>
      <c r="AK622" s="2262"/>
      <c r="AZ622" s="58"/>
      <c r="BA622" s="58"/>
      <c r="BB622" s="58"/>
      <c r="BC622" s="58"/>
      <c r="BD622" s="58"/>
      <c r="BE622" s="2046">
        <f t="shared" si="0"/>
        <v>0</v>
      </c>
      <c r="BF622" s="2048"/>
      <c r="BG622" s="2361">
        <f t="shared" si="1"/>
        <v>0</v>
      </c>
      <c r="BH622" s="2363"/>
      <c r="BI622" s="2046">
        <f t="shared" si="2"/>
        <v>0</v>
      </c>
      <c r="BJ622" s="2048"/>
      <c r="BK622" s="2361">
        <f t="shared" si="3"/>
        <v>0</v>
      </c>
      <c r="BL622" s="2363"/>
      <c r="BM622" s="58"/>
      <c r="BN622" s="2024">
        <f t="shared" si="4"/>
        <v>0</v>
      </c>
      <c r="BO622" s="2025"/>
      <c r="BP622" s="2025"/>
      <c r="BQ622" s="2025"/>
      <c r="BR622" s="2026"/>
      <c r="BS622" s="2045">
        <f t="shared" si="5"/>
        <v>0</v>
      </c>
      <c r="BT622" s="2045"/>
      <c r="BU622" s="2045"/>
      <c r="BV622" s="2045"/>
      <c r="BW622" s="2045"/>
      <c r="BX622" s="2045">
        <f t="shared" si="6"/>
        <v>0</v>
      </c>
      <c r="BY622" s="2045"/>
      <c r="BZ622" s="2045"/>
      <c r="CA622" s="2045"/>
      <c r="CB622" s="2045"/>
      <c r="CC622" s="2045">
        <f t="shared" si="7"/>
        <v>0</v>
      </c>
      <c r="CD622" s="2045"/>
      <c r="CE622" s="2045"/>
      <c r="CF622" s="2045"/>
      <c r="CG622" s="2045"/>
      <c r="CH622" s="2045">
        <f t="shared" si="8"/>
        <v>0</v>
      </c>
      <c r="CI622" s="2045"/>
      <c r="CJ622" s="2045"/>
      <c r="CK622" s="2045"/>
      <c r="CL622" s="2045"/>
      <c r="CM622" s="2045">
        <f t="shared" si="9"/>
        <v>0</v>
      </c>
      <c r="CN622" s="2045"/>
      <c r="CO622" s="2045"/>
      <c r="CP622" s="2045"/>
      <c r="CQ622" s="2045"/>
      <c r="CR622" s="265"/>
      <c r="CS622" s="2088">
        <f t="shared" si="10"/>
        <v>0</v>
      </c>
      <c r="CT622" s="2088"/>
      <c r="CU622" s="2088"/>
      <c r="CV622" s="2088"/>
      <c r="CW622" s="2088"/>
      <c r="CX622" s="2088">
        <f t="shared" si="11"/>
        <v>0</v>
      </c>
      <c r="CY622" s="2088"/>
      <c r="CZ622" s="2088"/>
      <c r="DA622" s="2088"/>
      <c r="DB622" s="2088"/>
      <c r="DC622" s="2088">
        <f t="shared" si="12"/>
        <v>0</v>
      </c>
      <c r="DD622" s="2088"/>
      <c r="DE622" s="2088"/>
      <c r="DF622" s="2088"/>
      <c r="DG622" s="2088"/>
      <c r="DH622" s="2088">
        <f t="shared" si="13"/>
        <v>0</v>
      </c>
      <c r="DI622" s="2088"/>
      <c r="DJ622" s="2088"/>
      <c r="DK622" s="2088"/>
      <c r="DL622" s="2088"/>
      <c r="DM622" s="2088">
        <f t="shared" si="14"/>
        <v>0</v>
      </c>
      <c r="DN622" s="2088"/>
      <c r="DO622" s="2088"/>
      <c r="DP622" s="2088"/>
      <c r="DQ622" s="2088"/>
      <c r="DR622" s="2088">
        <f t="shared" si="15"/>
        <v>0</v>
      </c>
      <c r="DS622" s="2088"/>
      <c r="DT622" s="2088"/>
      <c r="DU622" s="2088"/>
      <c r="DV622" s="2088"/>
      <c r="DX622" s="2046" t="str">
        <f t="shared" si="16"/>
        <v xml:space="preserve"> </v>
      </c>
      <c r="DY622" s="2047"/>
      <c r="DZ622" s="2047"/>
      <c r="EA622" s="2047"/>
      <c r="EB622" s="2048"/>
      <c r="EC622" s="2046" t="str">
        <f t="shared" si="17"/>
        <v xml:space="preserve"> </v>
      </c>
      <c r="ED622" s="2047"/>
      <c r="EE622" s="2047"/>
      <c r="EF622" s="2047"/>
      <c r="EG622" s="2048"/>
      <c r="EH622" s="2046" t="str">
        <f t="shared" si="18"/>
        <v xml:space="preserve"> </v>
      </c>
      <c r="EI622" s="2047"/>
      <c r="EJ622" s="2047"/>
      <c r="EK622" s="2047"/>
      <c r="EL622" s="2048"/>
      <c r="EM622" s="2046" t="str">
        <f t="shared" si="19"/>
        <v xml:space="preserve"> </v>
      </c>
      <c r="EN622" s="2047"/>
      <c r="EO622" s="2047"/>
      <c r="EP622" s="2047"/>
      <c r="EQ622" s="2048"/>
      <c r="ER622" s="2046" t="str">
        <f t="shared" si="20"/>
        <v xml:space="preserve"> </v>
      </c>
      <c r="ES622" s="2047"/>
      <c r="ET622" s="2047"/>
      <c r="EU622" s="2047"/>
      <c r="EV622" s="2048"/>
      <c r="EW622" s="2046" t="str">
        <f t="shared" si="21"/>
        <v xml:space="preserve"> </v>
      </c>
      <c r="EX622" s="2047"/>
      <c r="EY622" s="2047"/>
      <c r="EZ622" s="2047"/>
      <c r="FA622" s="2048"/>
    </row>
    <row r="623" spans="1:157" ht="12.75">
      <c r="B623" s="12" t="s">
        <v>327</v>
      </c>
      <c r="G623" s="2261"/>
      <c r="H623" s="2261"/>
      <c r="I623" s="2261"/>
      <c r="J623" s="2261"/>
      <c r="K623" s="2261"/>
      <c r="L623" s="2261"/>
      <c r="O623" s="137" t="s">
        <v>212</v>
      </c>
      <c r="P623" s="2083"/>
      <c r="Q623" s="2083"/>
      <c r="R623" s="2083"/>
      <c r="U623" s="12" t="s">
        <v>327</v>
      </c>
      <c r="Z623" s="2261"/>
      <c r="AA623" s="2261"/>
      <c r="AB623" s="2261"/>
      <c r="AC623" s="2261"/>
      <c r="AD623" s="2261"/>
      <c r="AE623" s="2261"/>
      <c r="AH623" s="137" t="s">
        <v>212</v>
      </c>
      <c r="AI623" s="2083"/>
      <c r="AJ623" s="2083"/>
      <c r="AK623" s="2083"/>
      <c r="AZ623" s="58"/>
      <c r="BA623" s="58"/>
      <c r="BB623" s="58"/>
      <c r="BC623" s="58"/>
      <c r="BD623" s="58"/>
      <c r="BE623" s="2046">
        <f t="shared" si="0"/>
        <v>0</v>
      </c>
      <c r="BF623" s="2048"/>
      <c r="BG623" s="2361">
        <f t="shared" si="1"/>
        <v>0</v>
      </c>
      <c r="BH623" s="2363"/>
      <c r="BI623" s="2046">
        <f t="shared" si="2"/>
        <v>0</v>
      </c>
      <c r="BJ623" s="2048"/>
      <c r="BK623" s="2361">
        <f t="shared" si="3"/>
        <v>0</v>
      </c>
      <c r="BL623" s="2363"/>
      <c r="BM623" s="58"/>
      <c r="BN623" s="2024">
        <f t="shared" si="4"/>
        <v>0</v>
      </c>
      <c r="BO623" s="2025"/>
      <c r="BP623" s="2025"/>
      <c r="BQ623" s="2025"/>
      <c r="BR623" s="2026"/>
      <c r="BS623" s="2045">
        <f t="shared" si="5"/>
        <v>0</v>
      </c>
      <c r="BT623" s="2045"/>
      <c r="BU623" s="2045"/>
      <c r="BV623" s="2045"/>
      <c r="BW623" s="2045"/>
      <c r="BX623" s="2045">
        <f t="shared" si="6"/>
        <v>0</v>
      </c>
      <c r="BY623" s="2045"/>
      <c r="BZ623" s="2045"/>
      <c r="CA623" s="2045"/>
      <c r="CB623" s="2045"/>
      <c r="CC623" s="2045">
        <f t="shared" si="7"/>
        <v>0</v>
      </c>
      <c r="CD623" s="2045"/>
      <c r="CE623" s="2045"/>
      <c r="CF623" s="2045"/>
      <c r="CG623" s="2045"/>
      <c r="CH623" s="2045">
        <f t="shared" si="8"/>
        <v>0</v>
      </c>
      <c r="CI623" s="2045"/>
      <c r="CJ623" s="2045"/>
      <c r="CK623" s="2045"/>
      <c r="CL623" s="2045"/>
      <c r="CM623" s="2045">
        <f t="shared" si="9"/>
        <v>0</v>
      </c>
      <c r="CN623" s="2045"/>
      <c r="CO623" s="2045"/>
      <c r="CP623" s="2045"/>
      <c r="CQ623" s="2045"/>
      <c r="CR623" s="265"/>
      <c r="CS623" s="2088">
        <f t="shared" si="10"/>
        <v>0</v>
      </c>
      <c r="CT623" s="2088"/>
      <c r="CU623" s="2088"/>
      <c r="CV623" s="2088"/>
      <c r="CW623" s="2088"/>
      <c r="CX623" s="2088">
        <f t="shared" si="11"/>
        <v>0</v>
      </c>
      <c r="CY623" s="2088"/>
      <c r="CZ623" s="2088"/>
      <c r="DA623" s="2088"/>
      <c r="DB623" s="2088"/>
      <c r="DC623" s="2088">
        <f t="shared" si="12"/>
        <v>0</v>
      </c>
      <c r="DD623" s="2088"/>
      <c r="DE623" s="2088"/>
      <c r="DF623" s="2088"/>
      <c r="DG623" s="2088"/>
      <c r="DH623" s="2088">
        <f t="shared" si="13"/>
        <v>0</v>
      </c>
      <c r="DI623" s="2088"/>
      <c r="DJ623" s="2088"/>
      <c r="DK623" s="2088"/>
      <c r="DL623" s="2088"/>
      <c r="DM623" s="2088">
        <f t="shared" si="14"/>
        <v>0</v>
      </c>
      <c r="DN623" s="2088"/>
      <c r="DO623" s="2088"/>
      <c r="DP623" s="2088"/>
      <c r="DQ623" s="2088"/>
      <c r="DR623" s="2088">
        <f t="shared" si="15"/>
        <v>0</v>
      </c>
      <c r="DS623" s="2088"/>
      <c r="DT623" s="2088"/>
      <c r="DU623" s="2088"/>
      <c r="DV623" s="2088"/>
      <c r="DX623" s="2046" t="str">
        <f t="shared" si="16"/>
        <v xml:space="preserve"> </v>
      </c>
      <c r="DY623" s="2047"/>
      <c r="DZ623" s="2047"/>
      <c r="EA623" s="2047"/>
      <c r="EB623" s="2048"/>
      <c r="EC623" s="2046" t="str">
        <f t="shared" si="17"/>
        <v xml:space="preserve"> </v>
      </c>
      <c r="ED623" s="2047"/>
      <c r="EE623" s="2047"/>
      <c r="EF623" s="2047"/>
      <c r="EG623" s="2048"/>
      <c r="EH623" s="2046" t="str">
        <f t="shared" si="18"/>
        <v xml:space="preserve"> </v>
      </c>
      <c r="EI623" s="2047"/>
      <c r="EJ623" s="2047"/>
      <c r="EK623" s="2047"/>
      <c r="EL623" s="2048"/>
      <c r="EM623" s="2046" t="str">
        <f t="shared" si="19"/>
        <v xml:space="preserve"> </v>
      </c>
      <c r="EN623" s="2047"/>
      <c r="EO623" s="2047"/>
      <c r="EP623" s="2047"/>
      <c r="EQ623" s="2048"/>
      <c r="ER623" s="2046" t="str">
        <f t="shared" si="20"/>
        <v xml:space="preserve"> </v>
      </c>
      <c r="ES623" s="2047"/>
      <c r="ET623" s="2047"/>
      <c r="EU623" s="2047"/>
      <c r="EV623" s="2048"/>
      <c r="EW623" s="2046" t="str">
        <f t="shared" si="21"/>
        <v xml:space="preserve"> </v>
      </c>
      <c r="EX623" s="2047"/>
      <c r="EY623" s="2047"/>
      <c r="EZ623" s="2047"/>
      <c r="FA623" s="2048"/>
    </row>
    <row r="624" spans="1:157" ht="12.75">
      <c r="B624" s="12" t="s">
        <v>18</v>
      </c>
      <c r="H624" s="2030"/>
      <c r="I624" s="2030"/>
      <c r="J624" s="2030"/>
      <c r="K624" s="2030"/>
      <c r="L624" s="2030"/>
      <c r="M624" s="2030"/>
      <c r="N624" s="2030"/>
      <c r="O624" s="2030"/>
      <c r="P624" s="2030"/>
      <c r="Q624" s="2030"/>
      <c r="R624" s="2030"/>
      <c r="U624" s="12" t="s">
        <v>18</v>
      </c>
      <c r="AA624" s="2030"/>
      <c r="AB624" s="2030"/>
      <c r="AC624" s="2030"/>
      <c r="AD624" s="2030"/>
      <c r="AE624" s="2030"/>
      <c r="AF624" s="2030"/>
      <c r="AG624" s="2030"/>
      <c r="AH624" s="2030"/>
      <c r="AI624" s="2030"/>
      <c r="AJ624" s="2030"/>
      <c r="AK624" s="2030"/>
      <c r="AZ624" s="58"/>
      <c r="BA624" s="58"/>
      <c r="BB624" s="58"/>
      <c r="BC624" s="58"/>
      <c r="BD624" s="58"/>
      <c r="BE624" s="2046">
        <f t="shared" si="0"/>
        <v>0</v>
      </c>
      <c r="BF624" s="2048"/>
      <c r="BG624" s="2361">
        <f t="shared" si="1"/>
        <v>0</v>
      </c>
      <c r="BH624" s="2363"/>
      <c r="BI624" s="2046">
        <f t="shared" si="2"/>
        <v>0</v>
      </c>
      <c r="BJ624" s="2048"/>
      <c r="BK624" s="2361">
        <f t="shared" si="3"/>
        <v>0</v>
      </c>
      <c r="BL624" s="2363"/>
      <c r="BM624" s="58"/>
      <c r="BN624" s="2024">
        <f t="shared" si="4"/>
        <v>0</v>
      </c>
      <c r="BO624" s="2025"/>
      <c r="BP624" s="2025"/>
      <c r="BQ624" s="2025"/>
      <c r="BR624" s="2026"/>
      <c r="BS624" s="2045">
        <f t="shared" si="5"/>
        <v>0</v>
      </c>
      <c r="BT624" s="2045"/>
      <c r="BU624" s="2045"/>
      <c r="BV624" s="2045"/>
      <c r="BW624" s="2045"/>
      <c r="BX624" s="2045">
        <f t="shared" si="6"/>
        <v>0</v>
      </c>
      <c r="BY624" s="2045"/>
      <c r="BZ624" s="2045"/>
      <c r="CA624" s="2045"/>
      <c r="CB624" s="2045"/>
      <c r="CC624" s="2045">
        <f t="shared" si="7"/>
        <v>0</v>
      </c>
      <c r="CD624" s="2045"/>
      <c r="CE624" s="2045"/>
      <c r="CF624" s="2045"/>
      <c r="CG624" s="2045"/>
      <c r="CH624" s="2045">
        <f t="shared" si="8"/>
        <v>0</v>
      </c>
      <c r="CI624" s="2045"/>
      <c r="CJ624" s="2045"/>
      <c r="CK624" s="2045"/>
      <c r="CL624" s="2045"/>
      <c r="CM624" s="2045">
        <f t="shared" si="9"/>
        <v>0</v>
      </c>
      <c r="CN624" s="2045"/>
      <c r="CO624" s="2045"/>
      <c r="CP624" s="2045"/>
      <c r="CQ624" s="2045"/>
      <c r="CR624" s="265"/>
      <c r="CS624" s="2088">
        <f t="shared" si="10"/>
        <v>0</v>
      </c>
      <c r="CT624" s="2088"/>
      <c r="CU624" s="2088"/>
      <c r="CV624" s="2088"/>
      <c r="CW624" s="2088"/>
      <c r="CX624" s="2088">
        <f t="shared" si="11"/>
        <v>0</v>
      </c>
      <c r="CY624" s="2088"/>
      <c r="CZ624" s="2088"/>
      <c r="DA624" s="2088"/>
      <c r="DB624" s="2088"/>
      <c r="DC624" s="2088">
        <f t="shared" si="12"/>
        <v>0</v>
      </c>
      <c r="DD624" s="2088"/>
      <c r="DE624" s="2088"/>
      <c r="DF624" s="2088"/>
      <c r="DG624" s="2088"/>
      <c r="DH624" s="2088">
        <f t="shared" si="13"/>
        <v>0</v>
      </c>
      <c r="DI624" s="2088"/>
      <c r="DJ624" s="2088"/>
      <c r="DK624" s="2088"/>
      <c r="DL624" s="2088"/>
      <c r="DM624" s="2088">
        <f t="shared" si="14"/>
        <v>0</v>
      </c>
      <c r="DN624" s="2088"/>
      <c r="DO624" s="2088"/>
      <c r="DP624" s="2088"/>
      <c r="DQ624" s="2088"/>
      <c r="DR624" s="2088">
        <f t="shared" si="15"/>
        <v>0</v>
      </c>
      <c r="DS624" s="2088"/>
      <c r="DT624" s="2088"/>
      <c r="DU624" s="2088"/>
      <c r="DV624" s="2088"/>
      <c r="DX624" s="2046" t="str">
        <f t="shared" si="16"/>
        <v xml:space="preserve"> </v>
      </c>
      <c r="DY624" s="2047"/>
      <c r="DZ624" s="2047"/>
      <c r="EA624" s="2047"/>
      <c r="EB624" s="2048"/>
      <c r="EC624" s="2046" t="str">
        <f t="shared" si="17"/>
        <v xml:space="preserve"> </v>
      </c>
      <c r="ED624" s="2047"/>
      <c r="EE624" s="2047"/>
      <c r="EF624" s="2047"/>
      <c r="EG624" s="2048"/>
      <c r="EH624" s="2046" t="str">
        <f t="shared" si="18"/>
        <v xml:space="preserve"> </v>
      </c>
      <c r="EI624" s="2047"/>
      <c r="EJ624" s="2047"/>
      <c r="EK624" s="2047"/>
      <c r="EL624" s="2048"/>
      <c r="EM624" s="2046" t="str">
        <f t="shared" si="19"/>
        <v xml:space="preserve"> </v>
      </c>
      <c r="EN624" s="2047"/>
      <c r="EO624" s="2047"/>
      <c r="EP624" s="2047"/>
      <c r="EQ624" s="2048"/>
      <c r="ER624" s="2046" t="str">
        <f t="shared" si="20"/>
        <v xml:space="preserve"> </v>
      </c>
      <c r="ES624" s="2047"/>
      <c r="ET624" s="2047"/>
      <c r="EU624" s="2047"/>
      <c r="EV624" s="2048"/>
      <c r="EW624" s="2046" t="str">
        <f t="shared" si="21"/>
        <v xml:space="preserve"> </v>
      </c>
      <c r="EX624" s="2047"/>
      <c r="EY624" s="2047"/>
      <c r="EZ624" s="2047"/>
      <c r="FA624" s="2048"/>
    </row>
    <row r="625" spans="1:157" ht="12.75">
      <c r="B625" s="12" t="s">
        <v>20</v>
      </c>
      <c r="N625" s="2267" t="s">
        <v>708</v>
      </c>
      <c r="O625" s="2267"/>
      <c r="U625" s="12" t="s">
        <v>20</v>
      </c>
      <c r="AG625" s="2267" t="s">
        <v>708</v>
      </c>
      <c r="AH625" s="2267"/>
      <c r="AZ625" s="58"/>
      <c r="BA625" s="58"/>
      <c r="BB625" s="58"/>
      <c r="BC625" s="58"/>
      <c r="BD625" s="58"/>
      <c r="BE625" s="2046">
        <f t="shared" si="0"/>
        <v>0</v>
      </c>
      <c r="BF625" s="2048"/>
      <c r="BG625" s="2361">
        <f t="shared" si="1"/>
        <v>0</v>
      </c>
      <c r="BH625" s="2363"/>
      <c r="BI625" s="2046">
        <f t="shared" si="2"/>
        <v>0</v>
      </c>
      <c r="BJ625" s="2048"/>
      <c r="BK625" s="2361">
        <f t="shared" si="3"/>
        <v>0</v>
      </c>
      <c r="BL625" s="2363"/>
      <c r="BM625" s="58"/>
      <c r="BN625" s="2024">
        <f t="shared" si="4"/>
        <v>0</v>
      </c>
      <c r="BO625" s="2025"/>
      <c r="BP625" s="2025"/>
      <c r="BQ625" s="2025"/>
      <c r="BR625" s="2026"/>
      <c r="BS625" s="2045">
        <f t="shared" si="5"/>
        <v>0</v>
      </c>
      <c r="BT625" s="2045"/>
      <c r="BU625" s="2045"/>
      <c r="BV625" s="2045"/>
      <c r="BW625" s="2045"/>
      <c r="BX625" s="2045">
        <f t="shared" si="6"/>
        <v>0</v>
      </c>
      <c r="BY625" s="2045"/>
      <c r="BZ625" s="2045"/>
      <c r="CA625" s="2045"/>
      <c r="CB625" s="2045"/>
      <c r="CC625" s="2045">
        <f t="shared" si="7"/>
        <v>0</v>
      </c>
      <c r="CD625" s="2045"/>
      <c r="CE625" s="2045"/>
      <c r="CF625" s="2045"/>
      <c r="CG625" s="2045"/>
      <c r="CH625" s="2045">
        <f t="shared" si="8"/>
        <v>0</v>
      </c>
      <c r="CI625" s="2045"/>
      <c r="CJ625" s="2045"/>
      <c r="CK625" s="2045"/>
      <c r="CL625" s="2045"/>
      <c r="CM625" s="2045">
        <f t="shared" si="9"/>
        <v>0</v>
      </c>
      <c r="CN625" s="2045"/>
      <c r="CO625" s="2045"/>
      <c r="CP625" s="2045"/>
      <c r="CQ625" s="2045"/>
      <c r="CR625" s="265"/>
      <c r="CS625" s="2088">
        <f t="shared" si="10"/>
        <v>0</v>
      </c>
      <c r="CT625" s="2088"/>
      <c r="CU625" s="2088"/>
      <c r="CV625" s="2088"/>
      <c r="CW625" s="2088"/>
      <c r="CX625" s="2088">
        <f t="shared" si="11"/>
        <v>0</v>
      </c>
      <c r="CY625" s="2088"/>
      <c r="CZ625" s="2088"/>
      <c r="DA625" s="2088"/>
      <c r="DB625" s="2088"/>
      <c r="DC625" s="2088">
        <f t="shared" si="12"/>
        <v>0</v>
      </c>
      <c r="DD625" s="2088"/>
      <c r="DE625" s="2088"/>
      <c r="DF625" s="2088"/>
      <c r="DG625" s="2088"/>
      <c r="DH625" s="2088">
        <f t="shared" si="13"/>
        <v>0</v>
      </c>
      <c r="DI625" s="2088"/>
      <c r="DJ625" s="2088"/>
      <c r="DK625" s="2088"/>
      <c r="DL625" s="2088"/>
      <c r="DM625" s="2088">
        <f t="shared" si="14"/>
        <v>0</v>
      </c>
      <c r="DN625" s="2088"/>
      <c r="DO625" s="2088"/>
      <c r="DP625" s="2088"/>
      <c r="DQ625" s="2088"/>
      <c r="DR625" s="2088">
        <f t="shared" si="15"/>
        <v>0</v>
      </c>
      <c r="DS625" s="2088"/>
      <c r="DT625" s="2088"/>
      <c r="DU625" s="2088"/>
      <c r="DV625" s="2088"/>
      <c r="DX625" s="2046" t="str">
        <f t="shared" si="16"/>
        <v xml:space="preserve"> </v>
      </c>
      <c r="DY625" s="2047"/>
      <c r="DZ625" s="2047"/>
      <c r="EA625" s="2047"/>
      <c r="EB625" s="2048"/>
      <c r="EC625" s="2046" t="str">
        <f t="shared" si="17"/>
        <v xml:space="preserve"> </v>
      </c>
      <c r="ED625" s="2047"/>
      <c r="EE625" s="2047"/>
      <c r="EF625" s="2047"/>
      <c r="EG625" s="2048"/>
      <c r="EH625" s="2046" t="str">
        <f t="shared" si="18"/>
        <v xml:space="preserve"> </v>
      </c>
      <c r="EI625" s="2047"/>
      <c r="EJ625" s="2047"/>
      <c r="EK625" s="2047"/>
      <c r="EL625" s="2048"/>
      <c r="EM625" s="2046" t="str">
        <f t="shared" si="19"/>
        <v xml:space="preserve"> </v>
      </c>
      <c r="EN625" s="2047"/>
      <c r="EO625" s="2047"/>
      <c r="EP625" s="2047"/>
      <c r="EQ625" s="2048"/>
      <c r="ER625" s="2046" t="str">
        <f t="shared" si="20"/>
        <v xml:space="preserve"> </v>
      </c>
      <c r="ES625" s="2047"/>
      <c r="ET625" s="2047"/>
      <c r="EU625" s="2047"/>
      <c r="EV625" s="2048"/>
      <c r="EW625" s="2046" t="str">
        <f t="shared" si="21"/>
        <v xml:space="preserve"> </v>
      </c>
      <c r="EX625" s="2047"/>
      <c r="EY625" s="2047"/>
      <c r="EZ625" s="2047"/>
      <c r="FA625" s="2048"/>
    </row>
    <row r="626" spans="1:157" ht="12.75">
      <c r="AZ626" s="58"/>
      <c r="BA626" s="58"/>
      <c r="BB626" s="58"/>
      <c r="BC626" s="58"/>
      <c r="BD626" s="58"/>
      <c r="BE626" s="2046">
        <f t="shared" si="0"/>
        <v>0</v>
      </c>
      <c r="BF626" s="2048"/>
      <c r="BG626" s="2361">
        <f t="shared" si="1"/>
        <v>0</v>
      </c>
      <c r="BH626" s="2363"/>
      <c r="BI626" s="2046">
        <f t="shared" si="2"/>
        <v>0</v>
      </c>
      <c r="BJ626" s="2048"/>
      <c r="BK626" s="2361">
        <f t="shared" si="3"/>
        <v>0</v>
      </c>
      <c r="BL626" s="2363"/>
      <c r="BM626" s="58"/>
      <c r="BN626" s="2024">
        <f t="shared" si="4"/>
        <v>0</v>
      </c>
      <c r="BO626" s="2025"/>
      <c r="BP626" s="2025"/>
      <c r="BQ626" s="2025"/>
      <c r="BR626" s="2026"/>
      <c r="BS626" s="2045">
        <f t="shared" si="5"/>
        <v>0</v>
      </c>
      <c r="BT626" s="2045"/>
      <c r="BU626" s="2045"/>
      <c r="BV626" s="2045"/>
      <c r="BW626" s="2045"/>
      <c r="BX626" s="2045">
        <f t="shared" si="6"/>
        <v>0</v>
      </c>
      <c r="BY626" s="2045"/>
      <c r="BZ626" s="2045"/>
      <c r="CA626" s="2045"/>
      <c r="CB626" s="2045"/>
      <c r="CC626" s="2045">
        <f t="shared" si="7"/>
        <v>0</v>
      </c>
      <c r="CD626" s="2045"/>
      <c r="CE626" s="2045"/>
      <c r="CF626" s="2045"/>
      <c r="CG626" s="2045"/>
      <c r="CH626" s="2045">
        <f t="shared" si="8"/>
        <v>0</v>
      </c>
      <c r="CI626" s="2045"/>
      <c r="CJ626" s="2045"/>
      <c r="CK626" s="2045"/>
      <c r="CL626" s="2045"/>
      <c r="CM626" s="2045">
        <f t="shared" si="9"/>
        <v>0</v>
      </c>
      <c r="CN626" s="2045"/>
      <c r="CO626" s="2045"/>
      <c r="CP626" s="2045"/>
      <c r="CQ626" s="2045"/>
      <c r="CR626" s="265"/>
      <c r="CS626" s="2088">
        <f t="shared" si="10"/>
        <v>0</v>
      </c>
      <c r="CT626" s="2088"/>
      <c r="CU626" s="2088"/>
      <c r="CV626" s="2088"/>
      <c r="CW626" s="2088"/>
      <c r="CX626" s="2088">
        <f t="shared" si="11"/>
        <v>0</v>
      </c>
      <c r="CY626" s="2088"/>
      <c r="CZ626" s="2088"/>
      <c r="DA626" s="2088"/>
      <c r="DB626" s="2088"/>
      <c r="DC626" s="2088">
        <f t="shared" si="12"/>
        <v>0</v>
      </c>
      <c r="DD626" s="2088"/>
      <c r="DE626" s="2088"/>
      <c r="DF626" s="2088"/>
      <c r="DG626" s="2088"/>
      <c r="DH626" s="2088">
        <f t="shared" si="13"/>
        <v>0</v>
      </c>
      <c r="DI626" s="2088"/>
      <c r="DJ626" s="2088"/>
      <c r="DK626" s="2088"/>
      <c r="DL626" s="2088"/>
      <c r="DM626" s="2088">
        <f t="shared" si="14"/>
        <v>0</v>
      </c>
      <c r="DN626" s="2088"/>
      <c r="DO626" s="2088"/>
      <c r="DP626" s="2088"/>
      <c r="DQ626" s="2088"/>
      <c r="DR626" s="2088">
        <f t="shared" si="15"/>
        <v>0</v>
      </c>
      <c r="DS626" s="2088"/>
      <c r="DT626" s="2088"/>
      <c r="DU626" s="2088"/>
      <c r="DV626" s="2088"/>
      <c r="DX626" s="2046" t="str">
        <f t="shared" si="16"/>
        <v xml:space="preserve"> </v>
      </c>
      <c r="DY626" s="2047"/>
      <c r="DZ626" s="2047"/>
      <c r="EA626" s="2047"/>
      <c r="EB626" s="2048"/>
      <c r="EC626" s="2046" t="str">
        <f t="shared" si="17"/>
        <v xml:space="preserve"> </v>
      </c>
      <c r="ED626" s="2047"/>
      <c r="EE626" s="2047"/>
      <c r="EF626" s="2047"/>
      <c r="EG626" s="2048"/>
      <c r="EH626" s="2046" t="str">
        <f t="shared" si="18"/>
        <v xml:space="preserve"> </v>
      </c>
      <c r="EI626" s="2047"/>
      <c r="EJ626" s="2047"/>
      <c r="EK626" s="2047"/>
      <c r="EL626" s="2048"/>
      <c r="EM626" s="2046" t="str">
        <f t="shared" si="19"/>
        <v xml:space="preserve"> </v>
      </c>
      <c r="EN626" s="2047"/>
      <c r="EO626" s="2047"/>
      <c r="EP626" s="2047"/>
      <c r="EQ626" s="2048"/>
      <c r="ER626" s="2046" t="str">
        <f t="shared" si="20"/>
        <v xml:space="preserve"> </v>
      </c>
      <c r="ES626" s="2047"/>
      <c r="ET626" s="2047"/>
      <c r="EU626" s="2047"/>
      <c r="EV626" s="2048"/>
      <c r="EW626" s="2046" t="str">
        <f t="shared" si="21"/>
        <v xml:space="preserve"> </v>
      </c>
      <c r="EX626" s="2047"/>
      <c r="EY626" s="2047"/>
      <c r="EZ626" s="2047"/>
      <c r="FA626" s="2048"/>
    </row>
    <row r="627" spans="1:157" ht="12.75" customHeight="1">
      <c r="A627" s="1848" t="s">
        <v>579</v>
      </c>
      <c r="B627" s="1848"/>
      <c r="C627" s="1848"/>
      <c r="D627" s="1848"/>
      <c r="E627" s="1848"/>
      <c r="F627" s="1848"/>
      <c r="G627" s="1848"/>
      <c r="H627" s="1848"/>
      <c r="I627" s="1848"/>
      <c r="J627" s="1848"/>
      <c r="K627" s="1848"/>
      <c r="L627" s="1848"/>
      <c r="M627" s="1848"/>
      <c r="N627" s="1848"/>
      <c r="O627" s="1848"/>
      <c r="P627" s="1848"/>
      <c r="Q627" s="1848"/>
      <c r="R627" s="1848"/>
      <c r="S627" s="1848"/>
      <c r="T627" s="1848"/>
      <c r="U627" s="1848"/>
      <c r="V627" s="1848"/>
      <c r="W627" s="1848"/>
      <c r="X627" s="1848"/>
      <c r="Y627" s="1848"/>
      <c r="Z627" s="1848"/>
      <c r="AA627" s="1848"/>
      <c r="AB627" s="1848"/>
      <c r="AC627" s="1848"/>
      <c r="AD627" s="1848"/>
      <c r="AE627" s="1848"/>
      <c r="AF627" s="1848"/>
      <c r="AG627" s="1848"/>
      <c r="AH627" s="1848"/>
      <c r="AI627" s="1848"/>
      <c r="AJ627" s="1848"/>
      <c r="AK627" s="1848"/>
      <c r="AL627" s="1848"/>
      <c r="AM627" s="1848"/>
      <c r="AN627" s="1848"/>
      <c r="AO627" s="1848"/>
      <c r="AP627" s="1848"/>
      <c r="AQ627" s="1848"/>
      <c r="AR627" s="1848"/>
      <c r="AS627" s="1848"/>
      <c r="AT627" s="1574"/>
      <c r="AU627" s="1574"/>
      <c r="AV627" s="1574"/>
      <c r="AW627" s="1574"/>
      <c r="AX627" s="1574"/>
      <c r="AY627" s="1574"/>
      <c r="AZ627" s="58"/>
      <c r="BA627" s="58"/>
      <c r="BB627" s="58"/>
      <c r="BC627" s="58"/>
      <c r="BD627" s="58"/>
      <c r="BE627" s="2046">
        <f t="shared" si="0"/>
        <v>0</v>
      </c>
      <c r="BF627" s="2048"/>
      <c r="BG627" s="2361">
        <f t="shared" si="1"/>
        <v>0</v>
      </c>
      <c r="BH627" s="2363"/>
      <c r="BI627" s="2046">
        <f t="shared" si="2"/>
        <v>0</v>
      </c>
      <c r="BJ627" s="2048"/>
      <c r="BK627" s="2361">
        <f t="shared" si="3"/>
        <v>0</v>
      </c>
      <c r="BL627" s="2363"/>
      <c r="BM627" s="58"/>
      <c r="BN627" s="2024">
        <f t="shared" si="4"/>
        <v>0</v>
      </c>
      <c r="BO627" s="2025"/>
      <c r="BP627" s="2025"/>
      <c r="BQ627" s="2025"/>
      <c r="BR627" s="2026"/>
      <c r="BS627" s="2045">
        <f t="shared" si="5"/>
        <v>0</v>
      </c>
      <c r="BT627" s="2045"/>
      <c r="BU627" s="2045"/>
      <c r="BV627" s="2045"/>
      <c r="BW627" s="2045"/>
      <c r="BX627" s="2045">
        <f t="shared" si="6"/>
        <v>0</v>
      </c>
      <c r="BY627" s="2045"/>
      <c r="BZ627" s="2045"/>
      <c r="CA627" s="2045"/>
      <c r="CB627" s="2045"/>
      <c r="CC627" s="2045">
        <f t="shared" si="7"/>
        <v>0</v>
      </c>
      <c r="CD627" s="2045"/>
      <c r="CE627" s="2045"/>
      <c r="CF627" s="2045"/>
      <c r="CG627" s="2045"/>
      <c r="CH627" s="2045">
        <f t="shared" si="8"/>
        <v>0</v>
      </c>
      <c r="CI627" s="2045"/>
      <c r="CJ627" s="2045"/>
      <c r="CK627" s="2045"/>
      <c r="CL627" s="2045"/>
      <c r="CM627" s="2045">
        <f t="shared" si="9"/>
        <v>0</v>
      </c>
      <c r="CN627" s="2045"/>
      <c r="CO627" s="2045"/>
      <c r="CP627" s="2045"/>
      <c r="CQ627" s="2045"/>
      <c r="CR627" s="265"/>
      <c r="CS627" s="2088">
        <f t="shared" si="10"/>
        <v>0</v>
      </c>
      <c r="CT627" s="2088"/>
      <c r="CU627" s="2088"/>
      <c r="CV627" s="2088"/>
      <c r="CW627" s="2088"/>
      <c r="CX627" s="2088">
        <f t="shared" si="11"/>
        <v>0</v>
      </c>
      <c r="CY627" s="2088"/>
      <c r="CZ627" s="2088"/>
      <c r="DA627" s="2088"/>
      <c r="DB627" s="2088"/>
      <c r="DC627" s="2088">
        <f t="shared" si="12"/>
        <v>0</v>
      </c>
      <c r="DD627" s="2088"/>
      <c r="DE627" s="2088"/>
      <c r="DF627" s="2088"/>
      <c r="DG627" s="2088"/>
      <c r="DH627" s="2088">
        <f t="shared" si="13"/>
        <v>0</v>
      </c>
      <c r="DI627" s="2088"/>
      <c r="DJ627" s="2088"/>
      <c r="DK627" s="2088"/>
      <c r="DL627" s="2088"/>
      <c r="DM627" s="2088">
        <f t="shared" si="14"/>
        <v>0</v>
      </c>
      <c r="DN627" s="2088"/>
      <c r="DO627" s="2088"/>
      <c r="DP627" s="2088"/>
      <c r="DQ627" s="2088"/>
      <c r="DR627" s="2088">
        <f t="shared" si="15"/>
        <v>0</v>
      </c>
      <c r="DS627" s="2088"/>
      <c r="DT627" s="2088"/>
      <c r="DU627" s="2088"/>
      <c r="DV627" s="2088"/>
      <c r="DX627" s="2046" t="str">
        <f t="shared" si="16"/>
        <v xml:space="preserve"> </v>
      </c>
      <c r="DY627" s="2047"/>
      <c r="DZ627" s="2047"/>
      <c r="EA627" s="2047"/>
      <c r="EB627" s="2048"/>
      <c r="EC627" s="2046" t="str">
        <f t="shared" si="17"/>
        <v xml:space="preserve"> </v>
      </c>
      <c r="ED627" s="2047"/>
      <c r="EE627" s="2047"/>
      <c r="EF627" s="2047"/>
      <c r="EG627" s="2048"/>
      <c r="EH627" s="2046" t="str">
        <f t="shared" si="18"/>
        <v xml:space="preserve"> </v>
      </c>
      <c r="EI627" s="2047"/>
      <c r="EJ627" s="2047"/>
      <c r="EK627" s="2047"/>
      <c r="EL627" s="2048"/>
      <c r="EM627" s="2046" t="str">
        <f t="shared" si="19"/>
        <v xml:space="preserve"> </v>
      </c>
      <c r="EN627" s="2047"/>
      <c r="EO627" s="2047"/>
      <c r="EP627" s="2047"/>
      <c r="EQ627" s="2048"/>
      <c r="ER627" s="2046" t="str">
        <f t="shared" si="20"/>
        <v xml:space="preserve"> </v>
      </c>
      <c r="ES627" s="2047"/>
      <c r="ET627" s="2047"/>
      <c r="EU627" s="2047"/>
      <c r="EV627" s="2048"/>
      <c r="EW627" s="2046" t="str">
        <f t="shared" si="21"/>
        <v xml:space="preserve"> </v>
      </c>
      <c r="EX627" s="2047"/>
      <c r="EY627" s="2047"/>
      <c r="EZ627" s="2047"/>
      <c r="FA627" s="2048"/>
    </row>
    <row r="628" spans="1:157" ht="12.75">
      <c r="A628" s="1848"/>
      <c r="B628" s="1848"/>
      <c r="C628" s="1848"/>
      <c r="D628" s="1848"/>
      <c r="E628" s="1848"/>
      <c r="F628" s="1848"/>
      <c r="G628" s="1848"/>
      <c r="H628" s="1848"/>
      <c r="I628" s="1848"/>
      <c r="J628" s="1848"/>
      <c r="K628" s="1848"/>
      <c r="L628" s="1848"/>
      <c r="M628" s="1848"/>
      <c r="N628" s="1848"/>
      <c r="O628" s="1848"/>
      <c r="P628" s="1848"/>
      <c r="Q628" s="1848"/>
      <c r="R628" s="1848"/>
      <c r="S628" s="1848"/>
      <c r="T628" s="1848"/>
      <c r="U628" s="1848"/>
      <c r="V628" s="1848"/>
      <c r="W628" s="1848"/>
      <c r="X628" s="1848"/>
      <c r="Y628" s="1848"/>
      <c r="Z628" s="1848"/>
      <c r="AA628" s="1848"/>
      <c r="AB628" s="1848"/>
      <c r="AC628" s="1848"/>
      <c r="AD628" s="1848"/>
      <c r="AE628" s="1848"/>
      <c r="AF628" s="1848"/>
      <c r="AG628" s="1848"/>
      <c r="AH628" s="1848"/>
      <c r="AI628" s="1848"/>
      <c r="AJ628" s="1848"/>
      <c r="AK628" s="1848"/>
      <c r="AL628" s="1848"/>
      <c r="AM628" s="1848"/>
      <c r="AN628" s="1848"/>
      <c r="AO628" s="1848"/>
      <c r="AP628" s="1848"/>
      <c r="AQ628" s="1848"/>
      <c r="AR628" s="1848"/>
      <c r="AS628" s="1848"/>
      <c r="AT628" s="1574"/>
      <c r="AU628" s="1574"/>
      <c r="AV628" s="1574"/>
      <c r="AW628" s="1574"/>
      <c r="AX628" s="1574"/>
      <c r="AY628" s="1574"/>
      <c r="AZ628" s="58"/>
      <c r="BA628" s="58"/>
      <c r="BB628" s="58"/>
      <c r="BC628" s="58"/>
      <c r="BD628" s="58"/>
      <c r="BE628" s="2046">
        <f t="shared" si="0"/>
        <v>0</v>
      </c>
      <c r="BF628" s="2048"/>
      <c r="BG628" s="2361">
        <f t="shared" si="1"/>
        <v>0</v>
      </c>
      <c r="BH628" s="2363"/>
      <c r="BI628" s="2046">
        <f t="shared" si="2"/>
        <v>0</v>
      </c>
      <c r="BJ628" s="2048"/>
      <c r="BK628" s="2361">
        <f t="shared" si="3"/>
        <v>0</v>
      </c>
      <c r="BL628" s="2363"/>
      <c r="BM628" s="58"/>
      <c r="BN628" s="2024">
        <f t="shared" si="4"/>
        <v>0</v>
      </c>
      <c r="BO628" s="2025"/>
      <c r="BP628" s="2025"/>
      <c r="BQ628" s="2025"/>
      <c r="BR628" s="2026"/>
      <c r="BS628" s="2045">
        <f t="shared" si="5"/>
        <v>0</v>
      </c>
      <c r="BT628" s="2045"/>
      <c r="BU628" s="2045"/>
      <c r="BV628" s="2045"/>
      <c r="BW628" s="2045"/>
      <c r="BX628" s="2045">
        <f t="shared" si="6"/>
        <v>0</v>
      </c>
      <c r="BY628" s="2045"/>
      <c r="BZ628" s="2045"/>
      <c r="CA628" s="2045"/>
      <c r="CB628" s="2045"/>
      <c r="CC628" s="2045">
        <f t="shared" si="7"/>
        <v>0</v>
      </c>
      <c r="CD628" s="2045"/>
      <c r="CE628" s="2045"/>
      <c r="CF628" s="2045"/>
      <c r="CG628" s="2045"/>
      <c r="CH628" s="2045">
        <f t="shared" si="8"/>
        <v>0</v>
      </c>
      <c r="CI628" s="2045"/>
      <c r="CJ628" s="2045"/>
      <c r="CK628" s="2045"/>
      <c r="CL628" s="2045"/>
      <c r="CM628" s="2045">
        <f t="shared" si="9"/>
        <v>0</v>
      </c>
      <c r="CN628" s="2045"/>
      <c r="CO628" s="2045"/>
      <c r="CP628" s="2045"/>
      <c r="CQ628" s="2045"/>
      <c r="CR628" s="265"/>
      <c r="CS628" s="2088">
        <f t="shared" si="10"/>
        <v>0</v>
      </c>
      <c r="CT628" s="2088"/>
      <c r="CU628" s="2088"/>
      <c r="CV628" s="2088"/>
      <c r="CW628" s="2088"/>
      <c r="CX628" s="2088">
        <f t="shared" si="11"/>
        <v>0</v>
      </c>
      <c r="CY628" s="2088"/>
      <c r="CZ628" s="2088"/>
      <c r="DA628" s="2088"/>
      <c r="DB628" s="2088"/>
      <c r="DC628" s="2088">
        <f t="shared" si="12"/>
        <v>0</v>
      </c>
      <c r="DD628" s="2088"/>
      <c r="DE628" s="2088"/>
      <c r="DF628" s="2088"/>
      <c r="DG628" s="2088"/>
      <c r="DH628" s="2088">
        <f t="shared" si="13"/>
        <v>0</v>
      </c>
      <c r="DI628" s="2088"/>
      <c r="DJ628" s="2088"/>
      <c r="DK628" s="2088"/>
      <c r="DL628" s="2088"/>
      <c r="DM628" s="2088">
        <f t="shared" si="14"/>
        <v>0</v>
      </c>
      <c r="DN628" s="2088"/>
      <c r="DO628" s="2088"/>
      <c r="DP628" s="2088"/>
      <c r="DQ628" s="2088"/>
      <c r="DR628" s="2088">
        <f t="shared" si="15"/>
        <v>0</v>
      </c>
      <c r="DS628" s="2088"/>
      <c r="DT628" s="2088"/>
      <c r="DU628" s="2088"/>
      <c r="DV628" s="2088"/>
      <c r="DX628" s="2046" t="str">
        <f t="shared" si="16"/>
        <v xml:space="preserve"> </v>
      </c>
      <c r="DY628" s="2047"/>
      <c r="DZ628" s="2047"/>
      <c r="EA628" s="2047"/>
      <c r="EB628" s="2048"/>
      <c r="EC628" s="2046" t="str">
        <f t="shared" si="17"/>
        <v xml:space="preserve"> </v>
      </c>
      <c r="ED628" s="2047"/>
      <c r="EE628" s="2047"/>
      <c r="EF628" s="2047"/>
      <c r="EG628" s="2048"/>
      <c r="EH628" s="2046" t="str">
        <f t="shared" si="18"/>
        <v xml:space="preserve"> </v>
      </c>
      <c r="EI628" s="2047"/>
      <c r="EJ628" s="2047"/>
      <c r="EK628" s="2047"/>
      <c r="EL628" s="2048"/>
      <c r="EM628" s="2046" t="str">
        <f t="shared" si="19"/>
        <v xml:space="preserve"> </v>
      </c>
      <c r="EN628" s="2047"/>
      <c r="EO628" s="2047"/>
      <c r="EP628" s="2047"/>
      <c r="EQ628" s="2048"/>
      <c r="ER628" s="2046" t="str">
        <f t="shared" si="20"/>
        <v xml:space="preserve"> </v>
      </c>
      <c r="ES628" s="2047"/>
      <c r="ET628" s="2047"/>
      <c r="EU628" s="2047"/>
      <c r="EV628" s="2048"/>
      <c r="EW628" s="2046" t="str">
        <f t="shared" si="21"/>
        <v xml:space="preserve"> </v>
      </c>
      <c r="EX628" s="2047"/>
      <c r="EY628" s="2047"/>
      <c r="EZ628" s="2047"/>
      <c r="FA628" s="2048"/>
    </row>
    <row r="629" spans="1:157" ht="12.75">
      <c r="A629" s="25"/>
      <c r="B629" s="25"/>
      <c r="C629" s="25"/>
      <c r="D629" s="25"/>
      <c r="E629" s="25"/>
      <c r="F629" s="25"/>
      <c r="G629" s="3"/>
      <c r="H629" s="25"/>
      <c r="AZ629" s="58"/>
      <c r="BA629" s="58"/>
      <c r="BB629" s="58"/>
      <c r="BC629" s="58"/>
      <c r="BD629" s="58"/>
      <c r="BE629" s="2046">
        <f t="shared" si="0"/>
        <v>0</v>
      </c>
      <c r="BF629" s="2048"/>
      <c r="BG629" s="2361">
        <f t="shared" si="1"/>
        <v>0</v>
      </c>
      <c r="BH629" s="2363"/>
      <c r="BI629" s="2046">
        <f t="shared" si="2"/>
        <v>0</v>
      </c>
      <c r="BJ629" s="2048"/>
      <c r="BK629" s="2361">
        <f t="shared" si="3"/>
        <v>0</v>
      </c>
      <c r="BL629" s="2363"/>
      <c r="BM629" s="58"/>
      <c r="BN629" s="2024">
        <f t="shared" si="4"/>
        <v>0</v>
      </c>
      <c r="BO629" s="2025"/>
      <c r="BP629" s="2025"/>
      <c r="BQ629" s="2025"/>
      <c r="BR629" s="2026"/>
      <c r="BS629" s="2045">
        <f t="shared" si="5"/>
        <v>0</v>
      </c>
      <c r="BT629" s="2045"/>
      <c r="BU629" s="2045"/>
      <c r="BV629" s="2045"/>
      <c r="BW629" s="2045"/>
      <c r="BX629" s="2045">
        <f t="shared" si="6"/>
        <v>0</v>
      </c>
      <c r="BY629" s="2045"/>
      <c r="BZ629" s="2045"/>
      <c r="CA629" s="2045"/>
      <c r="CB629" s="2045"/>
      <c r="CC629" s="2045">
        <f t="shared" si="7"/>
        <v>0</v>
      </c>
      <c r="CD629" s="2045"/>
      <c r="CE629" s="2045"/>
      <c r="CF629" s="2045"/>
      <c r="CG629" s="2045"/>
      <c r="CH629" s="2045">
        <f t="shared" si="8"/>
        <v>0</v>
      </c>
      <c r="CI629" s="2045"/>
      <c r="CJ629" s="2045"/>
      <c r="CK629" s="2045"/>
      <c r="CL629" s="2045"/>
      <c r="CM629" s="2045">
        <f t="shared" si="9"/>
        <v>0</v>
      </c>
      <c r="CN629" s="2045"/>
      <c r="CO629" s="2045"/>
      <c r="CP629" s="2045"/>
      <c r="CQ629" s="2045"/>
      <c r="CR629" s="265"/>
      <c r="CS629" s="2088">
        <f t="shared" si="10"/>
        <v>0</v>
      </c>
      <c r="CT629" s="2088"/>
      <c r="CU629" s="2088"/>
      <c r="CV629" s="2088"/>
      <c r="CW629" s="2088"/>
      <c r="CX629" s="2088">
        <f t="shared" si="11"/>
        <v>0</v>
      </c>
      <c r="CY629" s="2088"/>
      <c r="CZ629" s="2088"/>
      <c r="DA629" s="2088"/>
      <c r="DB629" s="2088"/>
      <c r="DC629" s="2088">
        <f t="shared" si="12"/>
        <v>0</v>
      </c>
      <c r="DD629" s="2088"/>
      <c r="DE629" s="2088"/>
      <c r="DF629" s="2088"/>
      <c r="DG629" s="2088"/>
      <c r="DH629" s="2088">
        <f t="shared" si="13"/>
        <v>0</v>
      </c>
      <c r="DI629" s="2088"/>
      <c r="DJ629" s="2088"/>
      <c r="DK629" s="2088"/>
      <c r="DL629" s="2088"/>
      <c r="DM629" s="2088">
        <f t="shared" si="14"/>
        <v>0</v>
      </c>
      <c r="DN629" s="2088"/>
      <c r="DO629" s="2088"/>
      <c r="DP629" s="2088"/>
      <c r="DQ629" s="2088"/>
      <c r="DR629" s="2088">
        <f t="shared" si="15"/>
        <v>0</v>
      </c>
      <c r="DS629" s="2088"/>
      <c r="DT629" s="2088"/>
      <c r="DU629" s="2088"/>
      <c r="DV629" s="2088"/>
      <c r="DX629" s="2046" t="str">
        <f t="shared" si="16"/>
        <v xml:space="preserve"> </v>
      </c>
      <c r="DY629" s="2047"/>
      <c r="DZ629" s="2047"/>
      <c r="EA629" s="2047"/>
      <c r="EB629" s="2048"/>
      <c r="EC629" s="2046" t="str">
        <f t="shared" si="17"/>
        <v xml:space="preserve"> </v>
      </c>
      <c r="ED629" s="2047"/>
      <c r="EE629" s="2047"/>
      <c r="EF629" s="2047"/>
      <c r="EG629" s="2048"/>
      <c r="EH629" s="2046" t="str">
        <f t="shared" si="18"/>
        <v xml:space="preserve"> </v>
      </c>
      <c r="EI629" s="2047"/>
      <c r="EJ629" s="2047"/>
      <c r="EK629" s="2047"/>
      <c r="EL629" s="2048"/>
      <c r="EM629" s="2046" t="str">
        <f t="shared" si="19"/>
        <v xml:space="preserve"> </v>
      </c>
      <c r="EN629" s="2047"/>
      <c r="EO629" s="2047"/>
      <c r="EP629" s="2047"/>
      <c r="EQ629" s="2048"/>
      <c r="ER629" s="2046" t="str">
        <f t="shared" si="20"/>
        <v xml:space="preserve"> </v>
      </c>
      <c r="ES629" s="2047"/>
      <c r="ET629" s="2047"/>
      <c r="EU629" s="2047"/>
      <c r="EV629" s="2048"/>
      <c r="EW629" s="2046" t="str">
        <f t="shared" si="21"/>
        <v xml:space="preserve"> </v>
      </c>
      <c r="EX629" s="2047"/>
      <c r="EY629" s="2047"/>
      <c r="EZ629" s="2047"/>
      <c r="FA629" s="2048"/>
    </row>
    <row r="630" spans="1:157" ht="12.75">
      <c r="A630" s="50" t="s">
        <v>330</v>
      </c>
      <c r="B630" s="50"/>
      <c r="C630" s="50" t="s">
        <v>21</v>
      </c>
      <c r="AZ630" s="58"/>
      <c r="BA630" s="58"/>
      <c r="BB630" s="58"/>
      <c r="BC630" s="58"/>
      <c r="BD630" s="58"/>
      <c r="BE630" s="2046">
        <f t="shared" si="0"/>
        <v>0</v>
      </c>
      <c r="BF630" s="2048"/>
      <c r="BG630" s="2361">
        <f t="shared" si="1"/>
        <v>0</v>
      </c>
      <c r="BH630" s="2363"/>
      <c r="BI630" s="2046">
        <f t="shared" si="2"/>
        <v>0</v>
      </c>
      <c r="BJ630" s="2048"/>
      <c r="BK630" s="2361">
        <f t="shared" si="3"/>
        <v>0</v>
      </c>
      <c r="BL630" s="2363"/>
      <c r="BM630" s="58"/>
      <c r="BN630" s="2024">
        <f t="shared" si="4"/>
        <v>0</v>
      </c>
      <c r="BO630" s="2025"/>
      <c r="BP630" s="2025"/>
      <c r="BQ630" s="2025"/>
      <c r="BR630" s="2026"/>
      <c r="BS630" s="2045">
        <f t="shared" si="5"/>
        <v>0</v>
      </c>
      <c r="BT630" s="2045"/>
      <c r="BU630" s="2045"/>
      <c r="BV630" s="2045"/>
      <c r="BW630" s="2045"/>
      <c r="BX630" s="2045">
        <f t="shared" si="6"/>
        <v>0</v>
      </c>
      <c r="BY630" s="2045"/>
      <c r="BZ630" s="2045"/>
      <c r="CA630" s="2045"/>
      <c r="CB630" s="2045"/>
      <c r="CC630" s="2045">
        <f t="shared" si="7"/>
        <v>0</v>
      </c>
      <c r="CD630" s="2045"/>
      <c r="CE630" s="2045"/>
      <c r="CF630" s="2045"/>
      <c r="CG630" s="2045"/>
      <c r="CH630" s="2045">
        <f t="shared" si="8"/>
        <v>0</v>
      </c>
      <c r="CI630" s="2045"/>
      <c r="CJ630" s="2045"/>
      <c r="CK630" s="2045"/>
      <c r="CL630" s="2045"/>
      <c r="CM630" s="2045">
        <f t="shared" si="9"/>
        <v>0</v>
      </c>
      <c r="CN630" s="2045"/>
      <c r="CO630" s="2045"/>
      <c r="CP630" s="2045"/>
      <c r="CQ630" s="2045"/>
      <c r="CR630" s="265"/>
      <c r="CS630" s="2088">
        <f t="shared" si="10"/>
        <v>0</v>
      </c>
      <c r="CT630" s="2088"/>
      <c r="CU630" s="2088"/>
      <c r="CV630" s="2088"/>
      <c r="CW630" s="2088"/>
      <c r="CX630" s="2088">
        <f t="shared" si="11"/>
        <v>0</v>
      </c>
      <c r="CY630" s="2088"/>
      <c r="CZ630" s="2088"/>
      <c r="DA630" s="2088"/>
      <c r="DB630" s="2088"/>
      <c r="DC630" s="2088">
        <f t="shared" si="12"/>
        <v>0</v>
      </c>
      <c r="DD630" s="2088"/>
      <c r="DE630" s="2088"/>
      <c r="DF630" s="2088"/>
      <c r="DG630" s="2088"/>
      <c r="DH630" s="2088">
        <f t="shared" si="13"/>
        <v>0</v>
      </c>
      <c r="DI630" s="2088"/>
      <c r="DJ630" s="2088"/>
      <c r="DK630" s="2088"/>
      <c r="DL630" s="2088"/>
      <c r="DM630" s="2088">
        <f t="shared" si="14"/>
        <v>0</v>
      </c>
      <c r="DN630" s="2088"/>
      <c r="DO630" s="2088"/>
      <c r="DP630" s="2088"/>
      <c r="DQ630" s="2088"/>
      <c r="DR630" s="2088">
        <f t="shared" si="15"/>
        <v>0</v>
      </c>
      <c r="DS630" s="2088"/>
      <c r="DT630" s="2088"/>
      <c r="DU630" s="2088"/>
      <c r="DV630" s="2088"/>
      <c r="DX630" s="2046" t="str">
        <f t="shared" si="16"/>
        <v xml:space="preserve"> </v>
      </c>
      <c r="DY630" s="2047"/>
      <c r="DZ630" s="2047"/>
      <c r="EA630" s="2047"/>
      <c r="EB630" s="2048"/>
      <c r="EC630" s="2046" t="str">
        <f t="shared" si="17"/>
        <v xml:space="preserve"> </v>
      </c>
      <c r="ED630" s="2047"/>
      <c r="EE630" s="2047"/>
      <c r="EF630" s="2047"/>
      <c r="EG630" s="2048"/>
      <c r="EH630" s="2046" t="str">
        <f t="shared" si="18"/>
        <v xml:space="preserve"> </v>
      </c>
      <c r="EI630" s="2047"/>
      <c r="EJ630" s="2047"/>
      <c r="EK630" s="2047"/>
      <c r="EL630" s="2048"/>
      <c r="EM630" s="2046" t="str">
        <f t="shared" si="19"/>
        <v xml:space="preserve"> </v>
      </c>
      <c r="EN630" s="2047"/>
      <c r="EO630" s="2047"/>
      <c r="EP630" s="2047"/>
      <c r="EQ630" s="2048"/>
      <c r="ER630" s="2046" t="str">
        <f t="shared" si="20"/>
        <v xml:space="preserve"> </v>
      </c>
      <c r="ES630" s="2047"/>
      <c r="ET630" s="2047"/>
      <c r="EU630" s="2047"/>
      <c r="EV630" s="2048"/>
      <c r="EW630" s="2046" t="str">
        <f t="shared" si="21"/>
        <v xml:space="preserve"> </v>
      </c>
      <c r="EX630" s="2047"/>
      <c r="EY630" s="2047"/>
      <c r="EZ630" s="2047"/>
      <c r="FA630" s="2048"/>
    </row>
    <row r="631" spans="1:157" ht="12.75">
      <c r="A631" s="50"/>
      <c r="B631" s="50"/>
      <c r="C631" s="50"/>
      <c r="AZ631" s="58"/>
      <c r="BA631" s="58"/>
      <c r="BB631" s="58"/>
      <c r="BC631" s="58"/>
      <c r="BD631" s="58"/>
      <c r="BE631" s="2046">
        <f t="shared" si="0"/>
        <v>0</v>
      </c>
      <c r="BF631" s="2048"/>
      <c r="BG631" s="2361">
        <f t="shared" si="1"/>
        <v>0</v>
      </c>
      <c r="BH631" s="2363"/>
      <c r="BI631" s="2046">
        <f t="shared" si="2"/>
        <v>0</v>
      </c>
      <c r="BJ631" s="2048"/>
      <c r="BK631" s="2361">
        <f t="shared" si="3"/>
        <v>0</v>
      </c>
      <c r="BL631" s="2363"/>
      <c r="BM631" s="58"/>
      <c r="BN631" s="2024">
        <f t="shared" si="4"/>
        <v>0</v>
      </c>
      <c r="BO631" s="2025"/>
      <c r="BP631" s="2025"/>
      <c r="BQ631" s="2025"/>
      <c r="BR631" s="2026"/>
      <c r="BS631" s="2045">
        <f t="shared" si="5"/>
        <v>0</v>
      </c>
      <c r="BT631" s="2045"/>
      <c r="BU631" s="2045"/>
      <c r="BV631" s="2045"/>
      <c r="BW631" s="2045"/>
      <c r="BX631" s="2045">
        <f t="shared" si="6"/>
        <v>0</v>
      </c>
      <c r="BY631" s="2045"/>
      <c r="BZ631" s="2045"/>
      <c r="CA631" s="2045"/>
      <c r="CB631" s="2045"/>
      <c r="CC631" s="2045">
        <f t="shared" si="7"/>
        <v>0</v>
      </c>
      <c r="CD631" s="2045"/>
      <c r="CE631" s="2045"/>
      <c r="CF631" s="2045"/>
      <c r="CG631" s="2045"/>
      <c r="CH631" s="2045">
        <f t="shared" si="8"/>
        <v>0</v>
      </c>
      <c r="CI631" s="2045"/>
      <c r="CJ631" s="2045"/>
      <c r="CK631" s="2045"/>
      <c r="CL631" s="2045"/>
      <c r="CM631" s="2045">
        <f t="shared" si="9"/>
        <v>0</v>
      </c>
      <c r="CN631" s="2045"/>
      <c r="CO631" s="2045"/>
      <c r="CP631" s="2045"/>
      <c r="CQ631" s="2045"/>
      <c r="CR631" s="265"/>
      <c r="CS631" s="2088">
        <f t="shared" si="10"/>
        <v>0</v>
      </c>
      <c r="CT631" s="2088"/>
      <c r="CU631" s="2088"/>
      <c r="CV631" s="2088"/>
      <c r="CW631" s="2088"/>
      <c r="CX631" s="2088">
        <f t="shared" si="11"/>
        <v>0</v>
      </c>
      <c r="CY631" s="2088"/>
      <c r="CZ631" s="2088"/>
      <c r="DA631" s="2088"/>
      <c r="DB631" s="2088"/>
      <c r="DC631" s="2088">
        <f t="shared" si="12"/>
        <v>0</v>
      </c>
      <c r="DD631" s="2088"/>
      <c r="DE631" s="2088"/>
      <c r="DF631" s="2088"/>
      <c r="DG631" s="2088"/>
      <c r="DH631" s="2088">
        <f t="shared" si="13"/>
        <v>0</v>
      </c>
      <c r="DI631" s="2088"/>
      <c r="DJ631" s="2088"/>
      <c r="DK631" s="2088"/>
      <c r="DL631" s="2088"/>
      <c r="DM631" s="2088">
        <f t="shared" si="14"/>
        <v>0</v>
      </c>
      <c r="DN631" s="2088"/>
      <c r="DO631" s="2088"/>
      <c r="DP631" s="2088"/>
      <c r="DQ631" s="2088"/>
      <c r="DR631" s="2088">
        <f t="shared" si="15"/>
        <v>0</v>
      </c>
      <c r="DS631" s="2088"/>
      <c r="DT631" s="2088"/>
      <c r="DU631" s="2088"/>
      <c r="DV631" s="2088"/>
      <c r="DX631" s="2046" t="str">
        <f t="shared" si="16"/>
        <v xml:space="preserve"> </v>
      </c>
      <c r="DY631" s="2047"/>
      <c r="DZ631" s="2047"/>
      <c r="EA631" s="2047"/>
      <c r="EB631" s="2048"/>
      <c r="EC631" s="2046" t="str">
        <f t="shared" si="17"/>
        <v xml:space="preserve"> </v>
      </c>
      <c r="ED631" s="2047"/>
      <c r="EE631" s="2047"/>
      <c r="EF631" s="2047"/>
      <c r="EG631" s="2048"/>
      <c r="EH631" s="2046" t="str">
        <f t="shared" si="18"/>
        <v xml:space="preserve"> </v>
      </c>
      <c r="EI631" s="2047"/>
      <c r="EJ631" s="2047"/>
      <c r="EK631" s="2047"/>
      <c r="EL631" s="2048"/>
      <c r="EM631" s="2046" t="str">
        <f t="shared" si="19"/>
        <v xml:space="preserve"> </v>
      </c>
      <c r="EN631" s="2047"/>
      <c r="EO631" s="2047"/>
      <c r="EP631" s="2047"/>
      <c r="EQ631" s="2048"/>
      <c r="ER631" s="2046" t="str">
        <f t="shared" si="20"/>
        <v xml:space="preserve"> </v>
      </c>
      <c r="ES631" s="2047"/>
      <c r="ET631" s="2047"/>
      <c r="EU631" s="2047"/>
      <c r="EV631" s="2048"/>
      <c r="EW631" s="2046" t="str">
        <f t="shared" si="21"/>
        <v xml:space="preserve"> </v>
      </c>
      <c r="EX631" s="2047"/>
      <c r="EY631" s="2047"/>
      <c r="EZ631" s="2047"/>
      <c r="FA631" s="204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6">
        <f t="shared" si="0"/>
        <v>0</v>
      </c>
      <c r="BF632" s="2048"/>
      <c r="BG632" s="2361">
        <f t="shared" si="1"/>
        <v>0</v>
      </c>
      <c r="BH632" s="2363"/>
      <c r="BI632" s="2046">
        <f t="shared" si="2"/>
        <v>0</v>
      </c>
      <c r="BJ632" s="2048"/>
      <c r="BK632" s="2361">
        <f t="shared" si="3"/>
        <v>0</v>
      </c>
      <c r="BL632" s="2363"/>
      <c r="BM632" s="58"/>
      <c r="BN632" s="2024">
        <f t="shared" si="4"/>
        <v>0</v>
      </c>
      <c r="BO632" s="2025"/>
      <c r="BP632" s="2025"/>
      <c r="BQ632" s="2025"/>
      <c r="BR632" s="2026"/>
      <c r="BS632" s="2045">
        <f t="shared" si="5"/>
        <v>0</v>
      </c>
      <c r="BT632" s="2045"/>
      <c r="BU632" s="2045"/>
      <c r="BV632" s="2045"/>
      <c r="BW632" s="2045"/>
      <c r="BX632" s="2045">
        <f t="shared" si="6"/>
        <v>0</v>
      </c>
      <c r="BY632" s="2045"/>
      <c r="BZ632" s="2045"/>
      <c r="CA632" s="2045"/>
      <c r="CB632" s="2045"/>
      <c r="CC632" s="2045">
        <f t="shared" si="7"/>
        <v>0</v>
      </c>
      <c r="CD632" s="2045"/>
      <c r="CE632" s="2045"/>
      <c r="CF632" s="2045"/>
      <c r="CG632" s="2045"/>
      <c r="CH632" s="2045">
        <f t="shared" si="8"/>
        <v>0</v>
      </c>
      <c r="CI632" s="2045"/>
      <c r="CJ632" s="2045"/>
      <c r="CK632" s="2045"/>
      <c r="CL632" s="2045"/>
      <c r="CM632" s="2045">
        <f t="shared" si="9"/>
        <v>0</v>
      </c>
      <c r="CN632" s="2045"/>
      <c r="CO632" s="2045"/>
      <c r="CP632" s="2045"/>
      <c r="CQ632" s="2045"/>
      <c r="CR632" s="265"/>
      <c r="CS632" s="2088">
        <f t="shared" si="10"/>
        <v>0</v>
      </c>
      <c r="CT632" s="2088"/>
      <c r="CU632" s="2088"/>
      <c r="CV632" s="2088"/>
      <c r="CW632" s="2088"/>
      <c r="CX632" s="2088">
        <f t="shared" si="11"/>
        <v>0</v>
      </c>
      <c r="CY632" s="2088"/>
      <c r="CZ632" s="2088"/>
      <c r="DA632" s="2088"/>
      <c r="DB632" s="2088"/>
      <c r="DC632" s="2088">
        <f t="shared" si="12"/>
        <v>0</v>
      </c>
      <c r="DD632" s="2088"/>
      <c r="DE632" s="2088"/>
      <c r="DF632" s="2088"/>
      <c r="DG632" s="2088"/>
      <c r="DH632" s="2088">
        <f t="shared" si="13"/>
        <v>0</v>
      </c>
      <c r="DI632" s="2088"/>
      <c r="DJ632" s="2088"/>
      <c r="DK632" s="2088"/>
      <c r="DL632" s="2088"/>
      <c r="DM632" s="2088">
        <f t="shared" si="14"/>
        <v>0</v>
      </c>
      <c r="DN632" s="2088"/>
      <c r="DO632" s="2088"/>
      <c r="DP632" s="2088"/>
      <c r="DQ632" s="2088"/>
      <c r="DR632" s="2088">
        <f t="shared" si="15"/>
        <v>0</v>
      </c>
      <c r="DS632" s="2088"/>
      <c r="DT632" s="2088"/>
      <c r="DU632" s="2088"/>
      <c r="DV632" s="2088"/>
      <c r="DX632" s="2046" t="str">
        <f t="shared" si="16"/>
        <v xml:space="preserve"> </v>
      </c>
      <c r="DY632" s="2047"/>
      <c r="DZ632" s="2047"/>
      <c r="EA632" s="2047"/>
      <c r="EB632" s="2048"/>
      <c r="EC632" s="2046" t="str">
        <f t="shared" si="17"/>
        <v xml:space="preserve"> </v>
      </c>
      <c r="ED632" s="2047"/>
      <c r="EE632" s="2047"/>
      <c r="EF632" s="2047"/>
      <c r="EG632" s="2048"/>
      <c r="EH632" s="2046" t="str">
        <f t="shared" si="18"/>
        <v xml:space="preserve"> </v>
      </c>
      <c r="EI632" s="2047"/>
      <c r="EJ632" s="2047"/>
      <c r="EK632" s="2047"/>
      <c r="EL632" s="2048"/>
      <c r="EM632" s="2046" t="str">
        <f t="shared" si="19"/>
        <v xml:space="preserve"> </v>
      </c>
      <c r="EN632" s="2047"/>
      <c r="EO632" s="2047"/>
      <c r="EP632" s="2047"/>
      <c r="EQ632" s="2048"/>
      <c r="ER632" s="2046" t="str">
        <f t="shared" si="20"/>
        <v xml:space="preserve"> </v>
      </c>
      <c r="ES632" s="2047"/>
      <c r="ET632" s="2047"/>
      <c r="EU632" s="2047"/>
      <c r="EV632" s="2048"/>
      <c r="EW632" s="2046" t="str">
        <f t="shared" si="21"/>
        <v xml:space="preserve"> </v>
      </c>
      <c r="EX632" s="2047"/>
      <c r="EY632" s="2047"/>
      <c r="EZ632" s="2047"/>
      <c r="FA632" s="2048"/>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6">
        <f t="shared" si="0"/>
        <v>0</v>
      </c>
      <c r="BF633" s="2048"/>
      <c r="BG633" s="2361">
        <f t="shared" si="1"/>
        <v>0</v>
      </c>
      <c r="BH633" s="2363"/>
      <c r="BI633" s="2046">
        <f t="shared" si="2"/>
        <v>0</v>
      </c>
      <c r="BJ633" s="2048"/>
      <c r="BK633" s="2361">
        <f t="shared" si="3"/>
        <v>0</v>
      </c>
      <c r="BL633" s="2363"/>
      <c r="BM633" s="58"/>
      <c r="BN633" s="2024">
        <f t="shared" si="4"/>
        <v>0</v>
      </c>
      <c r="BO633" s="2025"/>
      <c r="BP633" s="2025"/>
      <c r="BQ633" s="2025"/>
      <c r="BR633" s="2026"/>
      <c r="BS633" s="2045">
        <f t="shared" si="5"/>
        <v>0</v>
      </c>
      <c r="BT633" s="2045"/>
      <c r="BU633" s="2045"/>
      <c r="BV633" s="2045"/>
      <c r="BW633" s="2045"/>
      <c r="BX633" s="2045">
        <f t="shared" si="6"/>
        <v>0</v>
      </c>
      <c r="BY633" s="2045"/>
      <c r="BZ633" s="2045"/>
      <c r="CA633" s="2045"/>
      <c r="CB633" s="2045"/>
      <c r="CC633" s="2045">
        <f t="shared" si="7"/>
        <v>0</v>
      </c>
      <c r="CD633" s="2045"/>
      <c r="CE633" s="2045"/>
      <c r="CF633" s="2045"/>
      <c r="CG633" s="2045"/>
      <c r="CH633" s="2045">
        <f t="shared" si="8"/>
        <v>0</v>
      </c>
      <c r="CI633" s="2045"/>
      <c r="CJ633" s="2045"/>
      <c r="CK633" s="2045"/>
      <c r="CL633" s="2045"/>
      <c r="CM633" s="2045">
        <f t="shared" si="9"/>
        <v>0</v>
      </c>
      <c r="CN633" s="2045"/>
      <c r="CO633" s="2045"/>
      <c r="CP633" s="2045"/>
      <c r="CQ633" s="2045"/>
      <c r="CR633" s="265"/>
      <c r="CS633" s="2088">
        <f t="shared" si="10"/>
        <v>0</v>
      </c>
      <c r="CT633" s="2088"/>
      <c r="CU633" s="2088"/>
      <c r="CV633" s="2088"/>
      <c r="CW633" s="2088"/>
      <c r="CX633" s="2088">
        <f t="shared" si="11"/>
        <v>0</v>
      </c>
      <c r="CY633" s="2088"/>
      <c r="CZ633" s="2088"/>
      <c r="DA633" s="2088"/>
      <c r="DB633" s="2088"/>
      <c r="DC633" s="2088">
        <f t="shared" si="12"/>
        <v>0</v>
      </c>
      <c r="DD633" s="2088"/>
      <c r="DE633" s="2088"/>
      <c r="DF633" s="2088"/>
      <c r="DG633" s="2088"/>
      <c r="DH633" s="2088">
        <f t="shared" si="13"/>
        <v>0</v>
      </c>
      <c r="DI633" s="2088"/>
      <c r="DJ633" s="2088"/>
      <c r="DK633" s="2088"/>
      <c r="DL633" s="2088"/>
      <c r="DM633" s="2088">
        <f t="shared" si="14"/>
        <v>0</v>
      </c>
      <c r="DN633" s="2088"/>
      <c r="DO633" s="2088"/>
      <c r="DP633" s="2088"/>
      <c r="DQ633" s="2088"/>
      <c r="DR633" s="2088">
        <f t="shared" si="15"/>
        <v>0</v>
      </c>
      <c r="DS633" s="2088"/>
      <c r="DT633" s="2088"/>
      <c r="DU633" s="2088"/>
      <c r="DV633" s="2088"/>
      <c r="DX633" s="2046" t="str">
        <f t="shared" si="16"/>
        <v xml:space="preserve"> </v>
      </c>
      <c r="DY633" s="2047"/>
      <c r="DZ633" s="2047"/>
      <c r="EA633" s="2047"/>
      <c r="EB633" s="2048"/>
      <c r="EC633" s="2046" t="str">
        <f t="shared" si="17"/>
        <v xml:space="preserve"> </v>
      </c>
      <c r="ED633" s="2047"/>
      <c r="EE633" s="2047"/>
      <c r="EF633" s="2047"/>
      <c r="EG633" s="2048"/>
      <c r="EH633" s="2046" t="str">
        <f t="shared" si="18"/>
        <v xml:space="preserve"> </v>
      </c>
      <c r="EI633" s="2047"/>
      <c r="EJ633" s="2047"/>
      <c r="EK633" s="2047"/>
      <c r="EL633" s="2048"/>
      <c r="EM633" s="2046" t="str">
        <f t="shared" si="19"/>
        <v xml:space="preserve"> </v>
      </c>
      <c r="EN633" s="2047"/>
      <c r="EO633" s="2047"/>
      <c r="EP633" s="2047"/>
      <c r="EQ633" s="2048"/>
      <c r="ER633" s="2046" t="str">
        <f t="shared" si="20"/>
        <v xml:space="preserve"> </v>
      </c>
      <c r="ES633" s="2047"/>
      <c r="ET633" s="2047"/>
      <c r="EU633" s="2047"/>
      <c r="EV633" s="2048"/>
      <c r="EW633" s="2046" t="str">
        <f t="shared" si="21"/>
        <v xml:space="preserve"> </v>
      </c>
      <c r="EX633" s="2047"/>
      <c r="EY633" s="2047"/>
      <c r="EZ633" s="2047"/>
      <c r="FA633" s="2048"/>
    </row>
    <row r="634" spans="1:157" s="1839" customFormat="1" ht="12.75" customHeight="1">
      <c r="B634" s="2074" t="s">
        <v>486</v>
      </c>
      <c r="C634" s="2075"/>
      <c r="D634" s="2075"/>
      <c r="E634" s="2075"/>
      <c r="F634" s="2075"/>
      <c r="G634" s="2075"/>
      <c r="H634" s="2075"/>
      <c r="I634" s="2075"/>
      <c r="J634" s="2075"/>
      <c r="K634" s="2075"/>
      <c r="L634" s="2075"/>
      <c r="M634" s="2075"/>
      <c r="N634" s="2076"/>
      <c r="O634" s="2065" t="s">
        <v>2445</v>
      </c>
      <c r="P634" s="2066"/>
      <c r="Q634" s="2067"/>
      <c r="R634" s="2065" t="s">
        <v>2443</v>
      </c>
      <c r="S634" s="2066"/>
      <c r="T634" s="2067"/>
      <c r="U634" s="2017" t="s">
        <v>487</v>
      </c>
      <c r="V634" s="2017"/>
      <c r="W634" s="2018"/>
      <c r="X634" s="2065" t="s">
        <v>2168</v>
      </c>
      <c r="Y634" s="2066"/>
      <c r="Z634" s="2066"/>
      <c r="AA634" s="2066"/>
      <c r="AB634" s="2067"/>
      <c r="AC634" s="2290" t="s">
        <v>2166</v>
      </c>
      <c r="AD634" s="2291"/>
      <c r="AE634" s="2292"/>
      <c r="AF634" s="2065" t="s">
        <v>2169</v>
      </c>
      <c r="AG634" s="2066"/>
      <c r="AH634" s="2066"/>
      <c r="AI634" s="2066"/>
      <c r="AJ634" s="2067"/>
      <c r="AK634" s="2005" t="s">
        <v>2170</v>
      </c>
      <c r="AL634" s="2006"/>
      <c r="AM634" s="2006"/>
      <c r="AN634" s="2007"/>
      <c r="AO634" s="2445" t="s">
        <v>488</v>
      </c>
      <c r="AP634" s="2445"/>
      <c r="AQ634" s="2445"/>
      <c r="AR634" s="2445"/>
      <c r="AS634" s="2445"/>
      <c r="AT634" s="1840"/>
      <c r="AU634" s="1840"/>
      <c r="AV634" s="1840"/>
      <c r="AW634" s="1840"/>
      <c r="AX634" s="1840"/>
      <c r="AY634" s="1840"/>
      <c r="AZ634" s="181"/>
      <c r="BA634" s="181"/>
      <c r="BB634" s="181"/>
      <c r="BC634" s="181"/>
      <c r="BD634" s="181"/>
      <c r="BE634" s="2046">
        <f t="shared" si="0"/>
        <v>0</v>
      </c>
      <c r="BF634" s="2048"/>
      <c r="BG634" s="2361">
        <f t="shared" si="1"/>
        <v>0</v>
      </c>
      <c r="BH634" s="2363"/>
      <c r="BI634" s="2046">
        <f t="shared" si="2"/>
        <v>0</v>
      </c>
      <c r="BJ634" s="2048"/>
      <c r="BK634" s="2361">
        <f t="shared" si="3"/>
        <v>0</v>
      </c>
      <c r="BL634" s="2363"/>
      <c r="BM634" s="181"/>
      <c r="BN634" s="2024">
        <f t="shared" si="4"/>
        <v>0</v>
      </c>
      <c r="BO634" s="2025"/>
      <c r="BP634" s="2025"/>
      <c r="BQ634" s="2025"/>
      <c r="BR634" s="2026"/>
      <c r="BS634" s="2045">
        <f t="shared" si="5"/>
        <v>0</v>
      </c>
      <c r="BT634" s="2045"/>
      <c r="BU634" s="2045"/>
      <c r="BV634" s="2045"/>
      <c r="BW634" s="2045"/>
      <c r="BX634" s="2045">
        <f t="shared" si="6"/>
        <v>0</v>
      </c>
      <c r="BY634" s="2045"/>
      <c r="BZ634" s="2045"/>
      <c r="CA634" s="2045"/>
      <c r="CB634" s="2045"/>
      <c r="CC634" s="2045">
        <f t="shared" si="7"/>
        <v>0</v>
      </c>
      <c r="CD634" s="2045"/>
      <c r="CE634" s="2045"/>
      <c r="CF634" s="2045"/>
      <c r="CG634" s="2045"/>
      <c r="CH634" s="2045">
        <f t="shared" si="8"/>
        <v>0</v>
      </c>
      <c r="CI634" s="2045"/>
      <c r="CJ634" s="2045"/>
      <c r="CK634" s="2045"/>
      <c r="CL634" s="2045"/>
      <c r="CM634" s="2045">
        <f t="shared" si="9"/>
        <v>0</v>
      </c>
      <c r="CN634" s="2045"/>
      <c r="CO634" s="2045"/>
      <c r="CP634" s="2045"/>
      <c r="CQ634" s="2045"/>
      <c r="CR634" s="265"/>
      <c r="CS634" s="2088">
        <f t="shared" si="10"/>
        <v>0</v>
      </c>
      <c r="CT634" s="2088"/>
      <c r="CU634" s="2088"/>
      <c r="CV634" s="2088"/>
      <c r="CW634" s="2088"/>
      <c r="CX634" s="2088">
        <f t="shared" si="11"/>
        <v>0</v>
      </c>
      <c r="CY634" s="2088"/>
      <c r="CZ634" s="2088"/>
      <c r="DA634" s="2088"/>
      <c r="DB634" s="2088"/>
      <c r="DC634" s="2088">
        <f t="shared" si="12"/>
        <v>0</v>
      </c>
      <c r="DD634" s="2088"/>
      <c r="DE634" s="2088"/>
      <c r="DF634" s="2088"/>
      <c r="DG634" s="2088"/>
      <c r="DH634" s="2088">
        <f t="shared" si="13"/>
        <v>0</v>
      </c>
      <c r="DI634" s="2088"/>
      <c r="DJ634" s="2088"/>
      <c r="DK634" s="2088"/>
      <c r="DL634" s="2088"/>
      <c r="DM634" s="2088">
        <f t="shared" si="14"/>
        <v>0</v>
      </c>
      <c r="DN634" s="2088"/>
      <c r="DO634" s="2088"/>
      <c r="DP634" s="2088"/>
      <c r="DQ634" s="2088"/>
      <c r="DR634" s="2088">
        <f t="shared" si="15"/>
        <v>0</v>
      </c>
      <c r="DS634" s="2088"/>
      <c r="DT634" s="2088"/>
      <c r="DU634" s="2088"/>
      <c r="DV634" s="2088"/>
      <c r="DX634" s="2046" t="str">
        <f t="shared" si="16"/>
        <v xml:space="preserve"> </v>
      </c>
      <c r="DY634" s="2047"/>
      <c r="DZ634" s="2047"/>
      <c r="EA634" s="2047"/>
      <c r="EB634" s="2048"/>
      <c r="EC634" s="2046" t="str">
        <f t="shared" si="17"/>
        <v xml:space="preserve"> </v>
      </c>
      <c r="ED634" s="2047"/>
      <c r="EE634" s="2047"/>
      <c r="EF634" s="2047"/>
      <c r="EG634" s="2048"/>
      <c r="EH634" s="2046" t="str">
        <f t="shared" si="18"/>
        <v xml:space="preserve"> </v>
      </c>
      <c r="EI634" s="2047"/>
      <c r="EJ634" s="2047"/>
      <c r="EK634" s="2047"/>
      <c r="EL634" s="2048"/>
      <c r="EM634" s="2046" t="str">
        <f t="shared" si="19"/>
        <v xml:space="preserve"> </v>
      </c>
      <c r="EN634" s="2047"/>
      <c r="EO634" s="2047"/>
      <c r="EP634" s="2047"/>
      <c r="EQ634" s="2048"/>
      <c r="ER634" s="2046" t="str">
        <f t="shared" si="20"/>
        <v xml:space="preserve"> </v>
      </c>
      <c r="ES634" s="2047"/>
      <c r="ET634" s="2047"/>
      <c r="EU634" s="2047"/>
      <c r="EV634" s="2048"/>
      <c r="EW634" s="2046" t="str">
        <f t="shared" si="21"/>
        <v xml:space="preserve"> </v>
      </c>
      <c r="EX634" s="2047"/>
      <c r="EY634" s="2047"/>
      <c r="EZ634" s="2047"/>
      <c r="FA634" s="2048"/>
    </row>
    <row r="635" spans="1:157" s="1839" customFormat="1" ht="12.75">
      <c r="B635" s="2077"/>
      <c r="C635" s="2078"/>
      <c r="D635" s="2078"/>
      <c r="E635" s="2078"/>
      <c r="F635" s="2078"/>
      <c r="G635" s="2078"/>
      <c r="H635" s="2078"/>
      <c r="I635" s="2078"/>
      <c r="J635" s="2078"/>
      <c r="K635" s="2078"/>
      <c r="L635" s="2078"/>
      <c r="M635" s="2078"/>
      <c r="N635" s="2079"/>
      <c r="O635" s="2068"/>
      <c r="P635" s="2069"/>
      <c r="Q635" s="2070"/>
      <c r="R635" s="2068"/>
      <c r="S635" s="2069"/>
      <c r="T635" s="2070"/>
      <c r="U635" s="2019"/>
      <c r="V635" s="2019"/>
      <c r="W635" s="2020"/>
      <c r="X635" s="2068"/>
      <c r="Y635" s="2069"/>
      <c r="Z635" s="2069"/>
      <c r="AA635" s="2069"/>
      <c r="AB635" s="2070"/>
      <c r="AC635" s="2293"/>
      <c r="AD635" s="2294"/>
      <c r="AE635" s="2295"/>
      <c r="AF635" s="2068"/>
      <c r="AG635" s="2069"/>
      <c r="AH635" s="2069"/>
      <c r="AI635" s="2069"/>
      <c r="AJ635" s="2070"/>
      <c r="AK635" s="2008"/>
      <c r="AL635" s="2009"/>
      <c r="AM635" s="2009"/>
      <c r="AN635" s="2010"/>
      <c r="AO635" s="2445"/>
      <c r="AP635" s="2445"/>
      <c r="AQ635" s="2445"/>
      <c r="AR635" s="2445"/>
      <c r="AS635" s="2445"/>
      <c r="AT635" s="1840"/>
      <c r="AU635" s="1840"/>
      <c r="AV635" s="1840"/>
      <c r="AW635" s="1840"/>
      <c r="AX635" s="1840"/>
      <c r="AY635" s="1840"/>
      <c r="AZ635" s="181"/>
      <c r="BA635" s="181"/>
      <c r="BB635" s="181"/>
      <c r="BC635" s="181"/>
      <c r="BD635" s="181"/>
      <c r="BE635" s="181"/>
      <c r="BF635" s="181"/>
      <c r="BG635" s="2046">
        <f>SUM(BG610:BH634)</f>
        <v>16</v>
      </c>
      <c r="BH635" s="2048"/>
      <c r="BI635" s="181"/>
      <c r="BJ635" s="181"/>
      <c r="BK635" s="2046">
        <f>SUM(BK610:BL634)</f>
        <v>16</v>
      </c>
      <c r="BL635" s="2048"/>
      <c r="BM635" s="181"/>
      <c r="BN635" s="2046">
        <f>SUM(BN610:BR634)</f>
        <v>0</v>
      </c>
      <c r="BO635" s="2047"/>
      <c r="BP635" s="2047"/>
      <c r="BQ635" s="2047"/>
      <c r="BR635" s="2048"/>
      <c r="BS635" s="2031">
        <f>SUM(BS610:BW634)</f>
        <v>0</v>
      </c>
      <c r="BT635" s="2031"/>
      <c r="BU635" s="2031"/>
      <c r="BV635" s="2031"/>
      <c r="BW635" s="2031"/>
      <c r="BX635" s="2031">
        <f>SUM(BX610:CB634)</f>
        <v>70</v>
      </c>
      <c r="BY635" s="2031"/>
      <c r="BZ635" s="2031"/>
      <c r="CA635" s="2031"/>
      <c r="CB635" s="2031"/>
      <c r="CC635" s="2031">
        <f>SUM(CC610:CG634)</f>
        <v>69</v>
      </c>
      <c r="CD635" s="2031"/>
      <c r="CE635" s="2031"/>
      <c r="CF635" s="2031"/>
      <c r="CG635" s="2031"/>
      <c r="CH635" s="2031">
        <f>SUM(CH610:CL634)</f>
        <v>20</v>
      </c>
      <c r="CI635" s="2031"/>
      <c r="CJ635" s="2031"/>
      <c r="CK635" s="2031"/>
      <c r="CL635" s="2031"/>
      <c r="CM635" s="2031">
        <f>SUM(CM610:CQ634)</f>
        <v>0</v>
      </c>
      <c r="CN635" s="2031"/>
      <c r="CO635" s="2031"/>
      <c r="CP635" s="2031"/>
      <c r="CQ635" s="2031"/>
      <c r="CR635" s="698"/>
      <c r="CS635" s="2031">
        <f>SUM(CS610:CW634)</f>
        <v>0</v>
      </c>
      <c r="CT635" s="2031"/>
      <c r="CU635" s="2031"/>
      <c r="CV635" s="2031"/>
      <c r="CW635" s="2031"/>
      <c r="CX635" s="2031">
        <f>SUM(CX610:DB634)</f>
        <v>0</v>
      </c>
      <c r="CY635" s="2031"/>
      <c r="CZ635" s="2031"/>
      <c r="DA635" s="2031"/>
      <c r="DB635" s="2031"/>
      <c r="DC635" s="2031">
        <f>SUM(DC610:DG634)</f>
        <v>7</v>
      </c>
      <c r="DD635" s="2031"/>
      <c r="DE635" s="2031"/>
      <c r="DF635" s="2031"/>
      <c r="DG635" s="2031"/>
      <c r="DH635" s="2031">
        <f>SUM(DH610:DL634)</f>
        <v>7</v>
      </c>
      <c r="DI635" s="2031"/>
      <c r="DJ635" s="2031"/>
      <c r="DK635" s="2031"/>
      <c r="DL635" s="2031"/>
      <c r="DM635" s="2031">
        <f>SUM(DM610:DQ634)</f>
        <v>2</v>
      </c>
      <c r="DN635" s="2031"/>
      <c r="DO635" s="2031"/>
      <c r="DP635" s="2031"/>
      <c r="DQ635" s="2031"/>
      <c r="DR635" s="2031">
        <f>SUM(DR610:DV634)</f>
        <v>0</v>
      </c>
      <c r="DS635" s="2031"/>
      <c r="DT635" s="2031"/>
      <c r="DU635" s="2031"/>
      <c r="DV635" s="2031"/>
      <c r="DX635" s="2031">
        <f>SUM(DX610:EB634)</f>
        <v>0</v>
      </c>
      <c r="DY635" s="2031"/>
      <c r="DZ635" s="2031"/>
      <c r="EA635" s="2031"/>
      <c r="EB635" s="2031"/>
      <c r="EC635" s="2031">
        <f>SUM(EC610:EG634)</f>
        <v>0</v>
      </c>
      <c r="ED635" s="2031"/>
      <c r="EE635" s="2031"/>
      <c r="EF635" s="2031"/>
      <c r="EG635" s="2031"/>
      <c r="EH635" s="2031">
        <f>SUM(EH610:EL634)</f>
        <v>5348.666666666667</v>
      </c>
      <c r="EI635" s="2031"/>
      <c r="EJ635" s="2031"/>
      <c r="EK635" s="2031"/>
      <c r="EL635" s="2031"/>
      <c r="EM635" s="2031">
        <f>SUM(EM610:EQ634)</f>
        <v>6169.5</v>
      </c>
      <c r="EN635" s="2031"/>
      <c r="EO635" s="2031"/>
      <c r="EP635" s="2031"/>
      <c r="EQ635" s="2031"/>
      <c r="ER635" s="2031">
        <f>SUM(ER610:EV634)</f>
        <v>6876.1666666666661</v>
      </c>
      <c r="ES635" s="2031"/>
      <c r="ET635" s="2031"/>
      <c r="EU635" s="2031"/>
      <c r="EV635" s="2031"/>
      <c r="EW635" s="2031">
        <f>SUM(EW610:FA634)</f>
        <v>0</v>
      </c>
      <c r="EX635" s="2031"/>
      <c r="EY635" s="2031"/>
      <c r="EZ635" s="2031"/>
      <c r="FA635" s="2031"/>
    </row>
    <row r="636" spans="1:157" s="1839" customFormat="1" ht="12.75">
      <c r="B636" s="2080"/>
      <c r="C636" s="2078"/>
      <c r="D636" s="2078"/>
      <c r="E636" s="2078"/>
      <c r="F636" s="2078"/>
      <c r="G636" s="2078"/>
      <c r="H636" s="2078"/>
      <c r="I636" s="2078"/>
      <c r="J636" s="2078"/>
      <c r="K636" s="2078"/>
      <c r="L636" s="2078"/>
      <c r="M636" s="2078"/>
      <c r="N636" s="2079"/>
      <c r="O636" s="2071"/>
      <c r="P636" s="2072"/>
      <c r="Q636" s="2073"/>
      <c r="R636" s="2071"/>
      <c r="S636" s="2072"/>
      <c r="T636" s="2073"/>
      <c r="U636" s="2021"/>
      <c r="V636" s="2021"/>
      <c r="W636" s="2022"/>
      <c r="X636" s="2071"/>
      <c r="Y636" s="2072"/>
      <c r="Z636" s="2072"/>
      <c r="AA636" s="2072"/>
      <c r="AB636" s="2073"/>
      <c r="AC636" s="2296"/>
      <c r="AD636" s="2297"/>
      <c r="AE636" s="2298"/>
      <c r="AF636" s="2071"/>
      <c r="AG636" s="2072"/>
      <c r="AH636" s="2072"/>
      <c r="AI636" s="2072"/>
      <c r="AJ636" s="2073"/>
      <c r="AK636" s="2011"/>
      <c r="AL636" s="2012"/>
      <c r="AM636" s="2012"/>
      <c r="AN636" s="2013"/>
      <c r="AO636" s="2445"/>
      <c r="AP636" s="2445"/>
      <c r="AQ636" s="2445"/>
      <c r="AR636" s="2445"/>
      <c r="AS636" s="244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46">
        <f>BN635+BS635+BX635+CC635+CH635+CM635</f>
        <v>159</v>
      </c>
      <c r="CN636" s="2047"/>
      <c r="CO636" s="2047"/>
      <c r="CP636" s="2047"/>
      <c r="CQ636" s="2048"/>
      <c r="CR636" s="698"/>
      <c r="CS636" s="181"/>
      <c r="CT636" s="181"/>
      <c r="CU636" s="181"/>
      <c r="CV636" s="181"/>
      <c r="CW636" s="181"/>
      <c r="CX636" s="181"/>
      <c r="CY636" s="181"/>
      <c r="CZ636" s="181"/>
      <c r="DA636" s="181"/>
      <c r="DB636" s="181"/>
      <c r="DC636" s="181"/>
      <c r="DD636" s="181"/>
      <c r="DE636" s="181"/>
      <c r="DF636" s="181"/>
    </row>
    <row r="637" spans="1:157" ht="12.75">
      <c r="B637" s="83" t="s">
        <v>117</v>
      </c>
      <c r="C637" s="2081" t="s">
        <v>2614</v>
      </c>
      <c r="D637" s="2081"/>
      <c r="E637" s="2081"/>
      <c r="F637" s="2081"/>
      <c r="G637" s="2081"/>
      <c r="H637" s="2081"/>
      <c r="I637" s="2081"/>
      <c r="J637" s="2081"/>
      <c r="K637" s="2081"/>
      <c r="L637" s="2081"/>
      <c r="M637" s="2081"/>
      <c r="N637" s="2082"/>
      <c r="O637" s="2085">
        <f>15*12</f>
        <v>180</v>
      </c>
      <c r="P637" s="2086"/>
      <c r="Q637" s="2087"/>
      <c r="R637" s="2089">
        <f>35*12</f>
        <v>420</v>
      </c>
      <c r="S637" s="2090"/>
      <c r="T637" s="2091"/>
      <c r="U637" s="2027">
        <v>4.1500000000000002E-2</v>
      </c>
      <c r="V637" s="2028"/>
      <c r="W637" s="2029"/>
      <c r="X637" s="2059" t="s">
        <v>2167</v>
      </c>
      <c r="Y637" s="2060"/>
      <c r="Z637" s="2060"/>
      <c r="AA637" s="2060"/>
      <c r="AB637" s="2061"/>
      <c r="AC637" s="2062">
        <v>1</v>
      </c>
      <c r="AD637" s="2063"/>
      <c r="AE637" s="2064"/>
      <c r="AF637" s="2002">
        <v>1615302</v>
      </c>
      <c r="AG637" s="2003"/>
      <c r="AH637" s="2003"/>
      <c r="AI637" s="2003"/>
      <c r="AJ637" s="2004"/>
      <c r="AK637" s="2014"/>
      <c r="AL637" s="2015"/>
      <c r="AM637" s="2015"/>
      <c r="AN637" s="2016"/>
      <c r="AO637" s="2055">
        <v>29792715</v>
      </c>
      <c r="AP637" s="2055"/>
      <c r="AQ637" s="2055"/>
      <c r="AR637" s="2055"/>
      <c r="AS637" s="2055"/>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140</v>
      </c>
      <c r="CC637" s="58"/>
      <c r="CD637" s="58"/>
      <c r="CE637" s="58"/>
      <c r="CF637" s="58"/>
      <c r="CG637" s="1472">
        <f>CC635*3</f>
        <v>207</v>
      </c>
      <c r="CH637" s="58"/>
      <c r="CI637" s="58"/>
      <c r="CJ637" s="58"/>
      <c r="CK637" s="58"/>
      <c r="CL637" s="1472">
        <f>CH635*4</f>
        <v>80</v>
      </c>
      <c r="CM637" s="58"/>
      <c r="CN637" s="58"/>
      <c r="CO637" s="58"/>
      <c r="CP637" s="58"/>
      <c r="CQ637" s="1472">
        <f>CM635*5</f>
        <v>0</v>
      </c>
      <c r="CS637" s="1472">
        <f>BR637+BW637+CB637+CG637+CL637+CQ637</f>
        <v>427</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81" t="s">
        <v>2142</v>
      </c>
      <c r="D638" s="2081"/>
      <c r="E638" s="2081"/>
      <c r="F638" s="2081"/>
      <c r="G638" s="2081"/>
      <c r="H638" s="2081"/>
      <c r="I638" s="2081"/>
      <c r="J638" s="2081"/>
      <c r="K638" s="2081"/>
      <c r="L638" s="2081"/>
      <c r="M638" s="2081"/>
      <c r="N638" s="2082"/>
      <c r="O638" s="2085">
        <f>15*12</f>
        <v>180</v>
      </c>
      <c r="P638" s="2086"/>
      <c r="Q638" s="2087"/>
      <c r="R638" s="2089"/>
      <c r="S638" s="2090"/>
      <c r="T638" s="2091"/>
      <c r="U638" s="2027">
        <v>0.06</v>
      </c>
      <c r="V638" s="2028"/>
      <c r="W638" s="2029"/>
      <c r="X638" s="2059" t="s">
        <v>493</v>
      </c>
      <c r="Y638" s="2060"/>
      <c r="Z638" s="2060"/>
      <c r="AA638" s="2060"/>
      <c r="AB638" s="2061"/>
      <c r="AC638" s="2062">
        <v>2</v>
      </c>
      <c r="AD638" s="2063"/>
      <c r="AE638" s="2064"/>
      <c r="AF638" s="2002"/>
      <c r="AG638" s="2003"/>
      <c r="AH638" s="2003"/>
      <c r="AI638" s="2003"/>
      <c r="AJ638" s="2004"/>
      <c r="AK638" s="2014"/>
      <c r="AL638" s="2015"/>
      <c r="AM638" s="2015"/>
      <c r="AN638" s="2016"/>
      <c r="AO638" s="2055">
        <v>5138952</v>
      </c>
      <c r="AP638" s="2055"/>
      <c r="AQ638" s="2055"/>
      <c r="AR638" s="2055"/>
      <c r="AS638" s="2055"/>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2" t="e">
        <f t="shared" ref="DX638:DX662" si="22">DX610*(BN610/$BN$635)</f>
        <v>#VALUE!</v>
      </c>
      <c r="DY638" s="2032"/>
      <c r="DZ638" s="2032"/>
      <c r="EA638" s="2032"/>
      <c r="EB638" s="2032"/>
      <c r="EC638" s="2032" t="e">
        <f t="shared" ref="EC638:EC662" si="23">EC610*(BS610/$BS$635)</f>
        <v>#VALUE!</v>
      </c>
      <c r="ED638" s="2032"/>
      <c r="EE638" s="2032"/>
      <c r="EF638" s="2032"/>
      <c r="EG638" s="2032"/>
      <c r="EH638" s="2032">
        <f t="shared" ref="EH638:EH662" si="24">EH610*(BX610/$BX$635)</f>
        <v>1076.5999999999999</v>
      </c>
      <c r="EI638" s="2032"/>
      <c r="EJ638" s="2032"/>
      <c r="EK638" s="2032"/>
      <c r="EL638" s="2032"/>
      <c r="EM638" s="2032" t="e">
        <f t="shared" ref="EM638:EM662" si="25">EM610*(CC610/$CC$635)</f>
        <v>#VALUE!</v>
      </c>
      <c r="EN638" s="2032"/>
      <c r="EO638" s="2032"/>
      <c r="EP638" s="2032"/>
      <c r="EQ638" s="2032"/>
      <c r="ER638" s="2032" t="e">
        <f t="shared" ref="ER638:ER662" si="26">ER610*(CH610/$CH$635)</f>
        <v>#VALUE!</v>
      </c>
      <c r="ES638" s="2032"/>
      <c r="ET638" s="2032"/>
      <c r="EU638" s="2032"/>
      <c r="EV638" s="2032"/>
      <c r="EW638" s="2032" t="e">
        <f t="shared" ref="EW638:EW662" si="27">EW610*(CM610/$CM$635)</f>
        <v>#VALUE!</v>
      </c>
      <c r="EX638" s="2032"/>
      <c r="EY638" s="2032"/>
      <c r="EZ638" s="2032"/>
      <c r="FA638" s="2032"/>
    </row>
    <row r="639" spans="1:157" ht="12.75" customHeight="1">
      <c r="B639" s="84" t="s">
        <v>124</v>
      </c>
      <c r="C639" s="2083"/>
      <c r="D639" s="2083"/>
      <c r="E639" s="2083"/>
      <c r="F639" s="2083"/>
      <c r="G639" s="2083"/>
      <c r="H639" s="2083"/>
      <c r="I639" s="2083"/>
      <c r="J639" s="2083"/>
      <c r="K639" s="2083"/>
      <c r="L639" s="2083"/>
      <c r="M639" s="2083"/>
      <c r="N639" s="2084"/>
      <c r="O639" s="2085"/>
      <c r="P639" s="2086"/>
      <c r="Q639" s="2087"/>
      <c r="R639" s="2089"/>
      <c r="S639" s="2090"/>
      <c r="T639" s="2091"/>
      <c r="U639" s="2027"/>
      <c r="V639" s="2028"/>
      <c r="W639" s="2029"/>
      <c r="X639" s="2059" t="s">
        <v>1388</v>
      </c>
      <c r="Y639" s="2060"/>
      <c r="Z639" s="2060"/>
      <c r="AA639" s="2060"/>
      <c r="AB639" s="2061"/>
      <c r="AC639" s="2062"/>
      <c r="AD639" s="2063"/>
      <c r="AE639" s="2064"/>
      <c r="AF639" s="2002"/>
      <c r="AG639" s="2003"/>
      <c r="AH639" s="2003"/>
      <c r="AI639" s="2003"/>
      <c r="AJ639" s="2004"/>
      <c r="AK639" s="2014"/>
      <c r="AL639" s="2015"/>
      <c r="AM639" s="2015"/>
      <c r="AN639" s="2016"/>
      <c r="AO639" s="2055"/>
      <c r="AP639" s="2055"/>
      <c r="AQ639" s="2055"/>
      <c r="AR639" s="2055"/>
      <c r="AS639" s="2055"/>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2" t="e">
        <f t="shared" si="22"/>
        <v>#VALUE!</v>
      </c>
      <c r="DY639" s="2032"/>
      <c r="DZ639" s="2032"/>
      <c r="EA639" s="2032"/>
      <c r="EB639" s="2032"/>
      <c r="EC639" s="2032" t="e">
        <f t="shared" si="23"/>
        <v>#VALUE!</v>
      </c>
      <c r="ED639" s="2032"/>
      <c r="EE639" s="2032"/>
      <c r="EF639" s="2032"/>
      <c r="EG639" s="2032"/>
      <c r="EH639" s="2032">
        <f t="shared" si="24"/>
        <v>127</v>
      </c>
      <c r="EI639" s="2032"/>
      <c r="EJ639" s="2032"/>
      <c r="EK639" s="2032"/>
      <c r="EL639" s="2032"/>
      <c r="EM639" s="2032" t="e">
        <f t="shared" si="25"/>
        <v>#VALUE!</v>
      </c>
      <c r="EN639" s="2032"/>
      <c r="EO639" s="2032"/>
      <c r="EP639" s="2032"/>
      <c r="EQ639" s="2032"/>
      <c r="ER639" s="2032" t="e">
        <f t="shared" si="26"/>
        <v>#VALUE!</v>
      </c>
      <c r="ES639" s="2032"/>
      <c r="ET639" s="2032"/>
      <c r="EU639" s="2032"/>
      <c r="EV639" s="2032"/>
      <c r="EW639" s="2032" t="e">
        <f t="shared" si="27"/>
        <v>#VALUE!</v>
      </c>
      <c r="EX639" s="2032"/>
      <c r="EY639" s="2032"/>
      <c r="EZ639" s="2032"/>
      <c r="FA639" s="2032"/>
    </row>
    <row r="640" spans="1:157" ht="12.75">
      <c r="B640" s="84" t="s">
        <v>618</v>
      </c>
      <c r="C640" s="2083"/>
      <c r="D640" s="2083"/>
      <c r="E640" s="2083"/>
      <c r="F640" s="2083"/>
      <c r="G640" s="2083"/>
      <c r="H640" s="2083"/>
      <c r="I640" s="2083"/>
      <c r="J640" s="2083"/>
      <c r="K640" s="2083"/>
      <c r="L640" s="2083"/>
      <c r="M640" s="2083"/>
      <c r="N640" s="2084"/>
      <c r="O640" s="2085"/>
      <c r="P640" s="2086"/>
      <c r="Q640" s="2087"/>
      <c r="R640" s="2089"/>
      <c r="S640" s="2090"/>
      <c r="T640" s="2091"/>
      <c r="U640" s="2027"/>
      <c r="V640" s="2028"/>
      <c r="W640" s="2029"/>
      <c r="X640" s="2059" t="s">
        <v>1388</v>
      </c>
      <c r="Y640" s="2060"/>
      <c r="Z640" s="2060"/>
      <c r="AA640" s="2060"/>
      <c r="AB640" s="2061"/>
      <c r="AC640" s="2062"/>
      <c r="AD640" s="2063"/>
      <c r="AE640" s="2064"/>
      <c r="AF640" s="2002"/>
      <c r="AG640" s="2003"/>
      <c r="AH640" s="2003"/>
      <c r="AI640" s="2003"/>
      <c r="AJ640" s="2004"/>
      <c r="AK640" s="2014"/>
      <c r="AL640" s="2015"/>
      <c r="AM640" s="2015"/>
      <c r="AN640" s="2016"/>
      <c r="AO640" s="2055"/>
      <c r="AP640" s="2055"/>
      <c r="AQ640" s="2055"/>
      <c r="AR640" s="2055"/>
      <c r="AS640" s="2055"/>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24">
        <f>IF(J772="SRO/Studio",O772,0)</f>
        <v>0</v>
      </c>
      <c r="BO640" s="2025"/>
      <c r="BP640" s="2025"/>
      <c r="BQ640" s="2025"/>
      <c r="BR640" s="2026"/>
      <c r="BS640" s="2045">
        <f>IF(J772="1 Bedroom",O772,0)</f>
        <v>0</v>
      </c>
      <c r="BT640" s="2045"/>
      <c r="BU640" s="2045"/>
      <c r="BV640" s="2045"/>
      <c r="BW640" s="2045"/>
      <c r="BX640" s="2045">
        <f>IF(J772="2 Bedrooms",O772,0)</f>
        <v>0</v>
      </c>
      <c r="BY640" s="2045"/>
      <c r="BZ640" s="2045"/>
      <c r="CA640" s="2045"/>
      <c r="CB640" s="2045"/>
      <c r="CC640" s="2045">
        <f>IF(J772="3 Bedrooms",O772,0)</f>
        <v>1</v>
      </c>
      <c r="CD640" s="2045"/>
      <c r="CE640" s="2045"/>
      <c r="CF640" s="2045"/>
      <c r="CG640" s="2045"/>
      <c r="CH640" s="2045">
        <f>IF(J772="4 Bedrooms",O772,0)</f>
        <v>0</v>
      </c>
      <c r="CI640" s="2045"/>
      <c r="CJ640" s="2045"/>
      <c r="CK640" s="2045"/>
      <c r="CL640" s="2045"/>
      <c r="CM640" s="2045">
        <f>IF(J772="5 Bedrooms",O772,0)</f>
        <v>0</v>
      </c>
      <c r="CN640" s="2045"/>
      <c r="CO640" s="2045"/>
      <c r="CP640" s="2045"/>
      <c r="CQ640" s="2045"/>
      <c r="CR640" s="265"/>
      <c r="CS640" s="58"/>
      <c r="CT640" s="58"/>
      <c r="CU640" s="58"/>
      <c r="CV640" s="58"/>
      <c r="CW640" s="58"/>
      <c r="CX640" s="58"/>
      <c r="CY640" s="58"/>
      <c r="CZ640" s="58"/>
      <c r="DA640" s="58"/>
      <c r="DB640" s="58"/>
      <c r="DC640" s="58"/>
      <c r="DD640" s="58"/>
      <c r="DE640" s="58"/>
      <c r="DF640" s="58"/>
      <c r="DX640" s="2032" t="e">
        <f t="shared" si="22"/>
        <v>#VALUE!</v>
      </c>
      <c r="DY640" s="2032"/>
      <c r="DZ640" s="2032"/>
      <c r="EA640" s="2032"/>
      <c r="EB640" s="2032"/>
      <c r="EC640" s="2032" t="e">
        <f t="shared" si="23"/>
        <v>#VALUE!</v>
      </c>
      <c r="ED640" s="2032"/>
      <c r="EE640" s="2032"/>
      <c r="EF640" s="2032"/>
      <c r="EG640" s="2032"/>
      <c r="EH640" s="2032">
        <f t="shared" si="24"/>
        <v>73.5</v>
      </c>
      <c r="EI640" s="2032"/>
      <c r="EJ640" s="2032"/>
      <c r="EK640" s="2032"/>
      <c r="EL640" s="2032"/>
      <c r="EM640" s="2032" t="e">
        <f t="shared" si="25"/>
        <v>#VALUE!</v>
      </c>
      <c r="EN640" s="2032"/>
      <c r="EO640" s="2032"/>
      <c r="EP640" s="2032"/>
      <c r="EQ640" s="2032"/>
      <c r="ER640" s="2032" t="e">
        <f t="shared" si="26"/>
        <v>#VALUE!</v>
      </c>
      <c r="ES640" s="2032"/>
      <c r="ET640" s="2032"/>
      <c r="EU640" s="2032"/>
      <c r="EV640" s="2032"/>
      <c r="EW640" s="2032" t="e">
        <f t="shared" si="27"/>
        <v>#VALUE!</v>
      </c>
      <c r="EX640" s="2032"/>
      <c r="EY640" s="2032"/>
      <c r="EZ640" s="2032"/>
      <c r="FA640" s="2032"/>
    </row>
    <row r="641" spans="1:157" ht="12.75">
      <c r="B641" s="84" t="s">
        <v>825</v>
      </c>
      <c r="C641" s="2083"/>
      <c r="D641" s="2083"/>
      <c r="E641" s="2083"/>
      <c r="F641" s="2083"/>
      <c r="G641" s="2083"/>
      <c r="H641" s="2083"/>
      <c r="I641" s="2083"/>
      <c r="J641" s="2083"/>
      <c r="K641" s="2083"/>
      <c r="L641" s="2083"/>
      <c r="M641" s="2083"/>
      <c r="N641" s="2084"/>
      <c r="O641" s="2085"/>
      <c r="P641" s="2086"/>
      <c r="Q641" s="2087"/>
      <c r="R641" s="2089"/>
      <c r="S641" s="2090"/>
      <c r="T641" s="2091"/>
      <c r="U641" s="2027"/>
      <c r="V641" s="2028"/>
      <c r="W641" s="2029"/>
      <c r="X641" s="2059" t="s">
        <v>1388</v>
      </c>
      <c r="Y641" s="2060"/>
      <c r="Z641" s="2060"/>
      <c r="AA641" s="2060"/>
      <c r="AB641" s="2061"/>
      <c r="AC641" s="2062"/>
      <c r="AD641" s="2063"/>
      <c r="AE641" s="2064"/>
      <c r="AF641" s="2002"/>
      <c r="AG641" s="2003"/>
      <c r="AH641" s="2003"/>
      <c r="AI641" s="2003"/>
      <c r="AJ641" s="2004"/>
      <c r="AK641" s="2014"/>
      <c r="AL641" s="2015"/>
      <c r="AM641" s="2015"/>
      <c r="AN641" s="2016"/>
      <c r="AO641" s="2055"/>
      <c r="AP641" s="2055"/>
      <c r="AQ641" s="2055"/>
      <c r="AR641" s="2055"/>
      <c r="AS641" s="205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24">
        <f>IF(J773="SRO/Studio",O773,0)</f>
        <v>0</v>
      </c>
      <c r="BO641" s="2025"/>
      <c r="BP641" s="2025"/>
      <c r="BQ641" s="2025"/>
      <c r="BR641" s="2026"/>
      <c r="BS641" s="2045">
        <f>IF(J773="1 Bedroom",O773,0)</f>
        <v>0</v>
      </c>
      <c r="BT641" s="2045"/>
      <c r="BU641" s="2045"/>
      <c r="BV641" s="2045"/>
      <c r="BW641" s="2045"/>
      <c r="BX641" s="2045">
        <f>IF(J773="2 Bedrooms",O773,0)</f>
        <v>0</v>
      </c>
      <c r="BY641" s="2045"/>
      <c r="BZ641" s="2045"/>
      <c r="CA641" s="2045"/>
      <c r="CB641" s="2045"/>
      <c r="CC641" s="2045">
        <f>IF(J773="3 Bedrooms",O773,0)</f>
        <v>0</v>
      </c>
      <c r="CD641" s="2045"/>
      <c r="CE641" s="2045"/>
      <c r="CF641" s="2045"/>
      <c r="CG641" s="2045"/>
      <c r="CH641" s="2045">
        <f>IF(J773="4 Bedrooms",O773,0)</f>
        <v>0</v>
      </c>
      <c r="CI641" s="2045"/>
      <c r="CJ641" s="2045"/>
      <c r="CK641" s="2045"/>
      <c r="CL641" s="2045"/>
      <c r="CM641" s="2045">
        <f>IF(J773="5 Bedrooms",O773,0)</f>
        <v>0</v>
      </c>
      <c r="CN641" s="2045"/>
      <c r="CO641" s="2045"/>
      <c r="CP641" s="2045"/>
      <c r="CQ641" s="2045"/>
      <c r="CR641" s="265"/>
      <c r="CS641" s="58"/>
      <c r="CT641" s="58"/>
      <c r="CU641" s="58"/>
      <c r="CV641" s="58"/>
      <c r="CW641" s="58"/>
      <c r="CX641" s="58"/>
      <c r="CY641" s="58"/>
      <c r="CZ641" s="58"/>
      <c r="DA641" s="58"/>
      <c r="DB641" s="58"/>
      <c r="DC641" s="58"/>
      <c r="DD641" s="58"/>
      <c r="DE641" s="58"/>
      <c r="DF641" s="58"/>
      <c r="DX641" s="2032" t="e">
        <f t="shared" si="22"/>
        <v>#VALUE!</v>
      </c>
      <c r="DY641" s="2032"/>
      <c r="DZ641" s="2032"/>
      <c r="EA641" s="2032"/>
      <c r="EB641" s="2032"/>
      <c r="EC641" s="2032" t="e">
        <f t="shared" si="23"/>
        <v>#VALUE!</v>
      </c>
      <c r="ED641" s="2032"/>
      <c r="EE641" s="2032"/>
      <c r="EF641" s="2032"/>
      <c r="EG641" s="2032"/>
      <c r="EH641" s="2032" t="e">
        <f t="shared" si="24"/>
        <v>#VALUE!</v>
      </c>
      <c r="EI641" s="2032"/>
      <c r="EJ641" s="2032"/>
      <c r="EK641" s="2032"/>
      <c r="EL641" s="2032"/>
      <c r="EM641" s="2032">
        <f t="shared" si="25"/>
        <v>1234.7826086956522</v>
      </c>
      <c r="EN641" s="2032"/>
      <c r="EO641" s="2032"/>
      <c r="EP641" s="2032"/>
      <c r="EQ641" s="2032"/>
      <c r="ER641" s="2032" t="e">
        <f t="shared" si="26"/>
        <v>#VALUE!</v>
      </c>
      <c r="ES641" s="2032"/>
      <c r="ET641" s="2032"/>
      <c r="EU641" s="2032"/>
      <c r="EV641" s="2032"/>
      <c r="EW641" s="2032" t="e">
        <f t="shared" si="27"/>
        <v>#VALUE!</v>
      </c>
      <c r="EX641" s="2032"/>
      <c r="EY641" s="2032"/>
      <c r="EZ641" s="2032"/>
      <c r="FA641" s="2032"/>
    </row>
    <row r="642" spans="1:157" ht="12.75">
      <c r="B642" s="84" t="s">
        <v>621</v>
      </c>
      <c r="C642" s="2083"/>
      <c r="D642" s="2083"/>
      <c r="E642" s="2083"/>
      <c r="F642" s="2083"/>
      <c r="G642" s="2083"/>
      <c r="H642" s="2083"/>
      <c r="I642" s="2083"/>
      <c r="J642" s="2083"/>
      <c r="K642" s="2083"/>
      <c r="L642" s="2083"/>
      <c r="M642" s="2083"/>
      <c r="N642" s="2084"/>
      <c r="O642" s="2085"/>
      <c r="P642" s="2086"/>
      <c r="Q642" s="2087"/>
      <c r="R642" s="2089"/>
      <c r="S642" s="2090"/>
      <c r="T642" s="2091"/>
      <c r="U642" s="2027"/>
      <c r="V642" s="2028"/>
      <c r="W642" s="2029"/>
      <c r="X642" s="2059" t="s">
        <v>1388</v>
      </c>
      <c r="Y642" s="2060"/>
      <c r="Z642" s="2060"/>
      <c r="AA642" s="2060"/>
      <c r="AB642" s="2061"/>
      <c r="AC642" s="2062"/>
      <c r="AD642" s="2063"/>
      <c r="AE642" s="2064"/>
      <c r="AF642" s="2002"/>
      <c r="AG642" s="2003"/>
      <c r="AH642" s="2003"/>
      <c r="AI642" s="2003"/>
      <c r="AJ642" s="2004"/>
      <c r="AK642" s="2014"/>
      <c r="AL642" s="2015"/>
      <c r="AM642" s="2015"/>
      <c r="AN642" s="2016"/>
      <c r="AO642" s="2055"/>
      <c r="AP642" s="2055"/>
      <c r="AQ642" s="2055"/>
      <c r="AR642" s="2055"/>
      <c r="AS642" s="205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4">
        <f>IF(J774="SRO/Studio",O774,0)</f>
        <v>0</v>
      </c>
      <c r="BO642" s="2025"/>
      <c r="BP642" s="2025"/>
      <c r="BQ642" s="2025"/>
      <c r="BR642" s="2026"/>
      <c r="BS642" s="2045">
        <f>IF(J774="1 Bedroom",O774,0)</f>
        <v>0</v>
      </c>
      <c r="BT642" s="2045"/>
      <c r="BU642" s="2045"/>
      <c r="BV642" s="2045"/>
      <c r="BW642" s="2045"/>
      <c r="BX642" s="2045">
        <f>IF(J774="2 Bedrooms",O774,0)</f>
        <v>0</v>
      </c>
      <c r="BY642" s="2045"/>
      <c r="BZ642" s="2045"/>
      <c r="CA642" s="2045"/>
      <c r="CB642" s="2045"/>
      <c r="CC642" s="2045">
        <f>IF(J774="3 Bedrooms",O774,0)</f>
        <v>0</v>
      </c>
      <c r="CD642" s="2045"/>
      <c r="CE642" s="2045"/>
      <c r="CF642" s="2045"/>
      <c r="CG642" s="2045"/>
      <c r="CH642" s="2045">
        <f>IF(J774="4 Bedrooms",O774,0)</f>
        <v>0</v>
      </c>
      <c r="CI642" s="2045"/>
      <c r="CJ642" s="2045"/>
      <c r="CK642" s="2045"/>
      <c r="CL642" s="2045"/>
      <c r="CM642" s="2045">
        <f>IF(J774="5 Bedrooms",O774,0)</f>
        <v>0</v>
      </c>
      <c r="CN642" s="2045"/>
      <c r="CO642" s="2045"/>
      <c r="CP642" s="2045"/>
      <c r="CQ642" s="2045"/>
      <c r="CR642" s="1823"/>
      <c r="CV642" s="58"/>
      <c r="CW642" s="58"/>
      <c r="CX642" s="58"/>
      <c r="CY642" s="58"/>
      <c r="CZ642" s="58"/>
      <c r="DA642" s="58"/>
      <c r="DB642" s="58"/>
      <c r="DC642" s="58"/>
      <c r="DD642" s="58"/>
      <c r="DE642" s="58"/>
      <c r="DF642" s="58"/>
      <c r="DX642" s="2032" t="e">
        <f t="shared" si="22"/>
        <v>#VALUE!</v>
      </c>
      <c r="DY642" s="2032"/>
      <c r="DZ642" s="2032"/>
      <c r="EA642" s="2032"/>
      <c r="EB642" s="2032"/>
      <c r="EC642" s="2032" t="e">
        <f t="shared" si="23"/>
        <v>#VALUE!</v>
      </c>
      <c r="ED642" s="2032"/>
      <c r="EE642" s="2032"/>
      <c r="EF642" s="2032"/>
      <c r="EG642" s="2032"/>
      <c r="EH642" s="2032" t="e">
        <f t="shared" si="24"/>
        <v>#VALUE!</v>
      </c>
      <c r="EI642" s="2032"/>
      <c r="EJ642" s="2032"/>
      <c r="EK642" s="2032"/>
      <c r="EL642" s="2032"/>
      <c r="EM642" s="2032">
        <f t="shared" si="25"/>
        <v>148.62318840579712</v>
      </c>
      <c r="EN642" s="2032"/>
      <c r="EO642" s="2032"/>
      <c r="EP642" s="2032"/>
      <c r="EQ642" s="2032"/>
      <c r="ER642" s="2032" t="e">
        <f t="shared" si="26"/>
        <v>#VALUE!</v>
      </c>
      <c r="ES642" s="2032"/>
      <c r="ET642" s="2032"/>
      <c r="EU642" s="2032"/>
      <c r="EV642" s="2032"/>
      <c r="EW642" s="2032" t="e">
        <f t="shared" si="27"/>
        <v>#VALUE!</v>
      </c>
      <c r="EX642" s="2032"/>
      <c r="EY642" s="2032"/>
      <c r="EZ642" s="2032"/>
      <c r="FA642" s="2032"/>
    </row>
    <row r="643" spans="1:157" ht="12.75">
      <c r="B643" s="84" t="s">
        <v>489</v>
      </c>
      <c r="C643" s="2083"/>
      <c r="D643" s="2083"/>
      <c r="E643" s="2083"/>
      <c r="F643" s="2083"/>
      <c r="G643" s="2083"/>
      <c r="H643" s="2083"/>
      <c r="I643" s="2083"/>
      <c r="J643" s="2083"/>
      <c r="K643" s="2083"/>
      <c r="L643" s="2083"/>
      <c r="M643" s="2083"/>
      <c r="N643" s="2084"/>
      <c r="O643" s="2085"/>
      <c r="P643" s="2086"/>
      <c r="Q643" s="2087"/>
      <c r="R643" s="2089"/>
      <c r="S643" s="2090"/>
      <c r="T643" s="2091"/>
      <c r="U643" s="2027"/>
      <c r="V643" s="2028"/>
      <c r="W643" s="2029"/>
      <c r="X643" s="2059" t="s">
        <v>1388</v>
      </c>
      <c r="Y643" s="2060"/>
      <c r="Z643" s="2060"/>
      <c r="AA643" s="2060"/>
      <c r="AB643" s="2061"/>
      <c r="AC643" s="2062"/>
      <c r="AD643" s="2063"/>
      <c r="AE643" s="2064"/>
      <c r="AF643" s="2002"/>
      <c r="AG643" s="2003"/>
      <c r="AH643" s="2003"/>
      <c r="AI643" s="2003"/>
      <c r="AJ643" s="2004"/>
      <c r="AK643" s="2014"/>
      <c r="AL643" s="2015"/>
      <c r="AM643" s="2015"/>
      <c r="AN643" s="2016"/>
      <c r="AO643" s="2055"/>
      <c r="AP643" s="2055"/>
      <c r="AQ643" s="2055"/>
      <c r="AR643" s="2055"/>
      <c r="AS643" s="205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4">
        <f>IF(J775="SRO/Studio",O775,0)</f>
        <v>0</v>
      </c>
      <c r="BO643" s="2025"/>
      <c r="BP643" s="2025"/>
      <c r="BQ643" s="2025"/>
      <c r="BR643" s="2026"/>
      <c r="BS643" s="2045">
        <f>IF(J775="1 Bedroom",O775,0)</f>
        <v>0</v>
      </c>
      <c r="BT643" s="2045"/>
      <c r="BU643" s="2045"/>
      <c r="BV643" s="2045"/>
      <c r="BW643" s="2045"/>
      <c r="BX643" s="2045">
        <f>IF(J775="2 Bedrooms",O775,0)</f>
        <v>0</v>
      </c>
      <c r="BY643" s="2045"/>
      <c r="BZ643" s="2045"/>
      <c r="CA643" s="2045"/>
      <c r="CB643" s="2045"/>
      <c r="CC643" s="2045">
        <f>IF(J775="3 Bedrooms",O775,0)</f>
        <v>0</v>
      </c>
      <c r="CD643" s="2045"/>
      <c r="CE643" s="2045"/>
      <c r="CF643" s="2045"/>
      <c r="CG643" s="2045"/>
      <c r="CH643" s="2045">
        <f>IF(J775="4 Bedrooms",O775,0)</f>
        <v>0</v>
      </c>
      <c r="CI643" s="2045"/>
      <c r="CJ643" s="2045"/>
      <c r="CK643" s="2045"/>
      <c r="CL643" s="2045"/>
      <c r="CM643" s="2045">
        <f>IF(J775="5 Bedrooms",O775,0)</f>
        <v>0</v>
      </c>
      <c r="CN643" s="2045"/>
      <c r="CO643" s="2045"/>
      <c r="CP643" s="2045"/>
      <c r="CQ643" s="2045"/>
      <c r="CV643" s="58"/>
      <c r="CW643" s="58"/>
      <c r="CX643" s="58"/>
      <c r="CY643" s="58"/>
      <c r="CZ643" s="58"/>
      <c r="DA643" s="58"/>
      <c r="DB643" s="58"/>
      <c r="DC643" s="58"/>
      <c r="DD643" s="58"/>
      <c r="DE643" s="58"/>
      <c r="DF643" s="58"/>
      <c r="DX643" s="2032" t="e">
        <f t="shared" si="22"/>
        <v>#VALUE!</v>
      </c>
      <c r="DY643" s="2032"/>
      <c r="DZ643" s="2032"/>
      <c r="EA643" s="2032"/>
      <c r="EB643" s="2032"/>
      <c r="EC643" s="2032" t="e">
        <f t="shared" si="23"/>
        <v>#VALUE!</v>
      </c>
      <c r="ED643" s="2032"/>
      <c r="EE643" s="2032"/>
      <c r="EF643" s="2032"/>
      <c r="EG643" s="2032"/>
      <c r="EH643" s="2032" t="e">
        <f t="shared" si="24"/>
        <v>#VALUE!</v>
      </c>
      <c r="EI643" s="2032"/>
      <c r="EJ643" s="2032"/>
      <c r="EK643" s="2032"/>
      <c r="EL643" s="2032"/>
      <c r="EM643" s="2032">
        <f t="shared" si="25"/>
        <v>85.826086956521749</v>
      </c>
      <c r="EN643" s="2032"/>
      <c r="EO643" s="2032"/>
      <c r="EP643" s="2032"/>
      <c r="EQ643" s="2032"/>
      <c r="ER643" s="2032" t="e">
        <f t="shared" si="26"/>
        <v>#VALUE!</v>
      </c>
      <c r="ES643" s="2032"/>
      <c r="ET643" s="2032"/>
      <c r="EU643" s="2032"/>
      <c r="EV643" s="2032"/>
      <c r="EW643" s="2032" t="e">
        <f t="shared" si="27"/>
        <v>#VALUE!</v>
      </c>
      <c r="EX643" s="2032"/>
      <c r="EY643" s="2032"/>
      <c r="EZ643" s="2032"/>
      <c r="FA643" s="2032"/>
    </row>
    <row r="644" spans="1:157" ht="12.75">
      <c r="B644" s="84" t="s">
        <v>490</v>
      </c>
      <c r="C644" s="2083"/>
      <c r="D644" s="2083"/>
      <c r="E644" s="2083"/>
      <c r="F644" s="2083"/>
      <c r="G644" s="2083"/>
      <c r="H644" s="2083"/>
      <c r="I644" s="2083"/>
      <c r="J644" s="2083"/>
      <c r="K644" s="2083"/>
      <c r="L644" s="2083"/>
      <c r="M644" s="2083"/>
      <c r="N644" s="2084"/>
      <c r="O644" s="2085"/>
      <c r="P644" s="2086"/>
      <c r="Q644" s="2087"/>
      <c r="R644" s="2089"/>
      <c r="S644" s="2090"/>
      <c r="T644" s="2091"/>
      <c r="U644" s="2027"/>
      <c r="V644" s="2028"/>
      <c r="W644" s="2029"/>
      <c r="X644" s="2059" t="s">
        <v>1388</v>
      </c>
      <c r="Y644" s="2060"/>
      <c r="Z644" s="2060"/>
      <c r="AA644" s="2060"/>
      <c r="AB644" s="2061"/>
      <c r="AC644" s="2062"/>
      <c r="AD644" s="2063"/>
      <c r="AE644" s="2064"/>
      <c r="AF644" s="2002"/>
      <c r="AG644" s="2003"/>
      <c r="AH644" s="2003"/>
      <c r="AI644" s="2003"/>
      <c r="AJ644" s="2004"/>
      <c r="AK644" s="2014"/>
      <c r="AL644" s="2015"/>
      <c r="AM644" s="2015"/>
      <c r="AN644" s="2016"/>
      <c r="AO644" s="2055"/>
      <c r="AP644" s="2055"/>
      <c r="AQ644" s="2055"/>
      <c r="AR644" s="2055"/>
      <c r="AS644" s="2055"/>
      <c r="AT644" s="239"/>
      <c r="AU644" s="239"/>
      <c r="AV644" s="239"/>
      <c r="AW644" s="239"/>
      <c r="AX644" s="239"/>
      <c r="AY644" s="239"/>
      <c r="AZ644" s="61"/>
      <c r="BA644" s="61"/>
      <c r="BB644" s="61"/>
      <c r="BC644" s="61"/>
      <c r="BD644" s="61"/>
      <c r="BE644" s="61"/>
      <c r="BF644" s="61"/>
      <c r="BG644" s="61"/>
      <c r="BH644" s="61"/>
      <c r="BI644" s="61"/>
      <c r="BJ644" s="61"/>
      <c r="BK644" s="61"/>
      <c r="BL644" s="61"/>
      <c r="BM644" s="61"/>
      <c r="BN644" s="2361">
        <f>SUM(BN640:BR643)</f>
        <v>0</v>
      </c>
      <c r="BO644" s="2362"/>
      <c r="BP644" s="2362"/>
      <c r="BQ644" s="2362"/>
      <c r="BR644" s="2363"/>
      <c r="BS644" s="2052">
        <f>SUM(BS640:BW643)</f>
        <v>0</v>
      </c>
      <c r="BT644" s="2053"/>
      <c r="BU644" s="2053"/>
      <c r="BV644" s="2053"/>
      <c r="BW644" s="2054"/>
      <c r="BX644" s="2052">
        <f>SUM(BX640:CB643)</f>
        <v>0</v>
      </c>
      <c r="BY644" s="2053"/>
      <c r="BZ644" s="2053"/>
      <c r="CA644" s="2053"/>
      <c r="CB644" s="2054"/>
      <c r="CC644" s="2052">
        <f>SUM(CC640:CG643)</f>
        <v>1</v>
      </c>
      <c r="CD644" s="2053"/>
      <c r="CE644" s="2053"/>
      <c r="CF644" s="2053"/>
      <c r="CG644" s="2054"/>
      <c r="CH644" s="2052">
        <f>SUM(CH640:CL643)</f>
        <v>0</v>
      </c>
      <c r="CI644" s="2053"/>
      <c r="CJ644" s="2053"/>
      <c r="CK644" s="2053"/>
      <c r="CL644" s="2054"/>
      <c r="CM644" s="2052">
        <f>SUM(CM640:CQ643)</f>
        <v>0</v>
      </c>
      <c r="CN644" s="2053"/>
      <c r="CO644" s="2053"/>
      <c r="CP644" s="2053"/>
      <c r="CQ644" s="2054"/>
      <c r="CS644" s="1472">
        <f>BN644+BS644+BX644+CC644+CH644+CM644</f>
        <v>1</v>
      </c>
      <c r="CT644" s="134" t="s">
        <v>2454</v>
      </c>
      <c r="CU644" s="58"/>
      <c r="CV644" s="58"/>
      <c r="CW644" s="58"/>
      <c r="CX644" s="58"/>
      <c r="CY644" s="58"/>
      <c r="CZ644" s="58"/>
      <c r="DA644" s="58"/>
      <c r="DB644" s="58"/>
      <c r="DC644" s="58"/>
      <c r="DD644" s="58"/>
      <c r="DE644" s="58"/>
      <c r="DF644" s="58"/>
      <c r="DX644" s="2032" t="e">
        <f t="shared" si="22"/>
        <v>#VALUE!</v>
      </c>
      <c r="DY644" s="2032"/>
      <c r="DZ644" s="2032"/>
      <c r="EA644" s="2032"/>
      <c r="EB644" s="2032"/>
      <c r="EC644" s="2032" t="e">
        <f t="shared" si="23"/>
        <v>#VALUE!</v>
      </c>
      <c r="ED644" s="2032"/>
      <c r="EE644" s="2032"/>
      <c r="EF644" s="2032"/>
      <c r="EG644" s="2032"/>
      <c r="EH644" s="2032" t="e">
        <f t="shared" si="24"/>
        <v>#VALUE!</v>
      </c>
      <c r="EI644" s="2032"/>
      <c r="EJ644" s="2032"/>
      <c r="EK644" s="2032"/>
      <c r="EL644" s="2032"/>
      <c r="EM644" s="2032" t="e">
        <f t="shared" si="25"/>
        <v>#VALUE!</v>
      </c>
      <c r="EN644" s="2032"/>
      <c r="EO644" s="2032"/>
      <c r="EP644" s="2032"/>
      <c r="EQ644" s="2032"/>
      <c r="ER644" s="2032">
        <f t="shared" si="26"/>
        <v>1384.6</v>
      </c>
      <c r="ES644" s="2032"/>
      <c r="ET644" s="2032"/>
      <c r="EU644" s="2032"/>
      <c r="EV644" s="2032"/>
      <c r="EW644" s="2032" t="e">
        <f t="shared" si="27"/>
        <v>#VALUE!</v>
      </c>
      <c r="EX644" s="2032"/>
      <c r="EY644" s="2032"/>
      <c r="EZ644" s="2032"/>
      <c r="FA644" s="2032"/>
    </row>
    <row r="645" spans="1:157" ht="12.75">
      <c r="B645" s="84" t="s">
        <v>496</v>
      </c>
      <c r="C645" s="2083"/>
      <c r="D645" s="2083"/>
      <c r="E645" s="2083"/>
      <c r="F645" s="2083"/>
      <c r="G645" s="2083"/>
      <c r="H645" s="2083"/>
      <c r="I645" s="2083"/>
      <c r="J645" s="2083"/>
      <c r="K645" s="2083"/>
      <c r="L645" s="2083"/>
      <c r="M645" s="2083"/>
      <c r="N645" s="2084"/>
      <c r="O645" s="2085"/>
      <c r="P645" s="2086"/>
      <c r="Q645" s="2087"/>
      <c r="R645" s="2089"/>
      <c r="S645" s="2090"/>
      <c r="T645" s="2091"/>
      <c r="U645" s="2027"/>
      <c r="V645" s="2028"/>
      <c r="W645" s="2029"/>
      <c r="X645" s="2059" t="s">
        <v>1388</v>
      </c>
      <c r="Y645" s="2060"/>
      <c r="Z645" s="2060"/>
      <c r="AA645" s="2060"/>
      <c r="AB645" s="2061"/>
      <c r="AC645" s="2062"/>
      <c r="AD645" s="2063"/>
      <c r="AE645" s="2064"/>
      <c r="AF645" s="2002"/>
      <c r="AG645" s="2003"/>
      <c r="AH645" s="2003"/>
      <c r="AI645" s="2003"/>
      <c r="AJ645" s="2004"/>
      <c r="AK645" s="2014"/>
      <c r="AL645" s="2015"/>
      <c r="AM645" s="2015"/>
      <c r="AN645" s="2016"/>
      <c r="AO645" s="2055"/>
      <c r="AP645" s="2055"/>
      <c r="AQ645" s="2055"/>
      <c r="AR645" s="2055"/>
      <c r="AS645" s="205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2456</v>
      </c>
      <c r="CU645" s="58"/>
      <c r="CV645" s="58"/>
      <c r="CW645" s="58"/>
      <c r="CX645" s="58"/>
      <c r="CY645" s="58"/>
      <c r="CZ645" s="58"/>
      <c r="DA645" s="58"/>
      <c r="DB645" s="58"/>
      <c r="DC645" s="58"/>
      <c r="DD645" s="58"/>
      <c r="DE645" s="58"/>
      <c r="DF645" s="58"/>
      <c r="DX645" s="2032" t="e">
        <f t="shared" si="22"/>
        <v>#VALUE!</v>
      </c>
      <c r="DY645" s="2032"/>
      <c r="DZ645" s="2032"/>
      <c r="EA645" s="2032"/>
      <c r="EB645" s="2032"/>
      <c r="EC645" s="2032" t="e">
        <f t="shared" si="23"/>
        <v>#VALUE!</v>
      </c>
      <c r="ED645" s="2032"/>
      <c r="EE645" s="2032"/>
      <c r="EF645" s="2032"/>
      <c r="EG645" s="2032"/>
      <c r="EH645" s="2032" t="e">
        <f t="shared" si="24"/>
        <v>#VALUE!</v>
      </c>
      <c r="EI645" s="2032"/>
      <c r="EJ645" s="2032"/>
      <c r="EK645" s="2032"/>
      <c r="EL645" s="2032"/>
      <c r="EM645" s="2032" t="e">
        <f t="shared" si="25"/>
        <v>#VALUE!</v>
      </c>
      <c r="EN645" s="2032"/>
      <c r="EO645" s="2032"/>
      <c r="EP645" s="2032"/>
      <c r="EQ645" s="2032"/>
      <c r="ER645" s="2032">
        <f t="shared" si="26"/>
        <v>163.30000000000001</v>
      </c>
      <c r="ES645" s="2032"/>
      <c r="ET645" s="2032"/>
      <c r="EU645" s="2032"/>
      <c r="EV645" s="2032"/>
      <c r="EW645" s="2032" t="e">
        <f t="shared" si="27"/>
        <v>#VALUE!</v>
      </c>
      <c r="EX645" s="2032"/>
      <c r="EY645" s="2032"/>
      <c r="EZ645" s="2032"/>
      <c r="FA645" s="2032"/>
    </row>
    <row r="646" spans="1:157" ht="12.75">
      <c r="B646" s="84" t="s">
        <v>683</v>
      </c>
      <c r="C646" s="2083"/>
      <c r="D646" s="2083"/>
      <c r="E646" s="2083"/>
      <c r="F646" s="2083"/>
      <c r="G646" s="2083"/>
      <c r="H646" s="2083"/>
      <c r="I646" s="2083"/>
      <c r="J646" s="2083"/>
      <c r="K646" s="2083"/>
      <c r="L646" s="2083"/>
      <c r="M646" s="2083"/>
      <c r="N646" s="2084"/>
      <c r="O646" s="2085"/>
      <c r="P646" s="2086"/>
      <c r="Q646" s="2087"/>
      <c r="R646" s="2089"/>
      <c r="S646" s="2090"/>
      <c r="T646" s="2091"/>
      <c r="U646" s="2027"/>
      <c r="V646" s="2028"/>
      <c r="W646" s="2029"/>
      <c r="X646" s="2059" t="s">
        <v>1388</v>
      </c>
      <c r="Y646" s="2060"/>
      <c r="Z646" s="2060"/>
      <c r="AA646" s="2060"/>
      <c r="AB646" s="2061"/>
      <c r="AC646" s="2062"/>
      <c r="AD646" s="2063"/>
      <c r="AE646" s="2064"/>
      <c r="AF646" s="2002"/>
      <c r="AG646" s="2003"/>
      <c r="AH646" s="2003"/>
      <c r="AI646" s="2003"/>
      <c r="AJ646" s="2004"/>
      <c r="AK646" s="2014"/>
      <c r="AL646" s="2015"/>
      <c r="AM646" s="2015"/>
      <c r="AN646" s="2016"/>
      <c r="AO646" s="2055"/>
      <c r="AP646" s="2055"/>
      <c r="AQ646" s="2055"/>
      <c r="AR646" s="2055"/>
      <c r="AS646" s="205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2" t="e">
        <f t="shared" si="22"/>
        <v>#VALUE!</v>
      </c>
      <c r="DY646" s="2032"/>
      <c r="DZ646" s="2032"/>
      <c r="EA646" s="2032"/>
      <c r="EB646" s="2032"/>
      <c r="EC646" s="2032" t="e">
        <f t="shared" si="23"/>
        <v>#VALUE!</v>
      </c>
      <c r="ED646" s="2032"/>
      <c r="EE646" s="2032"/>
      <c r="EF646" s="2032"/>
      <c r="EG646" s="2032"/>
      <c r="EH646" s="2032" t="e">
        <f t="shared" si="24"/>
        <v>#VALUE!</v>
      </c>
      <c r="EI646" s="2032"/>
      <c r="EJ646" s="2032"/>
      <c r="EK646" s="2032"/>
      <c r="EL646" s="2032"/>
      <c r="EM646" s="2032" t="e">
        <f t="shared" si="25"/>
        <v>#VALUE!</v>
      </c>
      <c r="EN646" s="2032"/>
      <c r="EO646" s="2032"/>
      <c r="EP646" s="2032"/>
      <c r="EQ646" s="2032"/>
      <c r="ER646" s="2032">
        <f t="shared" si="26"/>
        <v>94.2</v>
      </c>
      <c r="ES646" s="2032"/>
      <c r="ET646" s="2032"/>
      <c r="EU646" s="2032"/>
      <c r="EV646" s="2032"/>
      <c r="EW646" s="2032" t="e">
        <f t="shared" si="27"/>
        <v>#VALUE!</v>
      </c>
      <c r="EX646" s="2032"/>
      <c r="EY646" s="2032"/>
      <c r="EZ646" s="2032"/>
      <c r="FA646" s="2032"/>
    </row>
    <row r="647" spans="1:157" ht="12.75">
      <c r="B647" s="84" t="s">
        <v>374</v>
      </c>
      <c r="C647" s="2083"/>
      <c r="D647" s="2083"/>
      <c r="E647" s="2083"/>
      <c r="F647" s="2083"/>
      <c r="G647" s="2083"/>
      <c r="H647" s="2083"/>
      <c r="I647" s="2083"/>
      <c r="J647" s="2083"/>
      <c r="K647" s="2083"/>
      <c r="L647" s="2083"/>
      <c r="M647" s="2083"/>
      <c r="N647" s="2084"/>
      <c r="O647" s="2085"/>
      <c r="P647" s="2086"/>
      <c r="Q647" s="2087"/>
      <c r="R647" s="2089"/>
      <c r="S647" s="2090"/>
      <c r="T647" s="2091"/>
      <c r="U647" s="2027"/>
      <c r="V647" s="2028"/>
      <c r="W647" s="2029"/>
      <c r="X647" s="2059" t="s">
        <v>1388</v>
      </c>
      <c r="Y647" s="2060"/>
      <c r="Z647" s="2060"/>
      <c r="AA647" s="2060"/>
      <c r="AB647" s="2061"/>
      <c r="AC647" s="2062"/>
      <c r="AD647" s="2063"/>
      <c r="AE647" s="2064"/>
      <c r="AF647" s="2002"/>
      <c r="AG647" s="2003"/>
      <c r="AH647" s="2003"/>
      <c r="AI647" s="2003"/>
      <c r="AJ647" s="2004"/>
      <c r="AK647" s="2014"/>
      <c r="AL647" s="2015"/>
      <c r="AM647" s="2015"/>
      <c r="AN647" s="2016"/>
      <c r="AO647" s="2055"/>
      <c r="AP647" s="2055"/>
      <c r="AQ647" s="2055"/>
      <c r="AR647" s="2055"/>
      <c r="AS647" s="205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2" t="e">
        <f t="shared" si="22"/>
        <v>#VALUE!</v>
      </c>
      <c r="DY647" s="2032"/>
      <c r="DZ647" s="2032"/>
      <c r="EA647" s="2032"/>
      <c r="EB647" s="2032"/>
      <c r="EC647" s="2032" t="e">
        <f t="shared" si="23"/>
        <v>#VALUE!</v>
      </c>
      <c r="ED647" s="2032"/>
      <c r="EE647" s="2032"/>
      <c r="EF647" s="2032"/>
      <c r="EG647" s="2032"/>
      <c r="EH647" s="2032">
        <f t="shared" si="24"/>
        <v>180.56666666666669</v>
      </c>
      <c r="EI647" s="2032"/>
      <c r="EJ647" s="2032"/>
      <c r="EK647" s="2032"/>
      <c r="EL647" s="2032"/>
      <c r="EM647" s="2032" t="e">
        <f t="shared" si="25"/>
        <v>#VALUE!</v>
      </c>
      <c r="EN647" s="2032"/>
      <c r="EO647" s="2032"/>
      <c r="EP647" s="2032"/>
      <c r="EQ647" s="2032"/>
      <c r="ER647" s="2032" t="e">
        <f t="shared" si="26"/>
        <v>#VALUE!</v>
      </c>
      <c r="ES647" s="2032"/>
      <c r="ET647" s="2032"/>
      <c r="EU647" s="2032"/>
      <c r="EV647" s="2032"/>
      <c r="EW647" s="2032" t="e">
        <f t="shared" si="27"/>
        <v>#VALUE!</v>
      </c>
      <c r="EX647" s="2032"/>
      <c r="EY647" s="2032"/>
      <c r="EZ647" s="2032"/>
      <c r="FA647" s="2032"/>
    </row>
    <row r="648" spans="1:157" ht="12.75">
      <c r="B648" s="84" t="s">
        <v>375</v>
      </c>
      <c r="C648" s="2083"/>
      <c r="D648" s="2083"/>
      <c r="E648" s="2083"/>
      <c r="F648" s="2083"/>
      <c r="G648" s="2083"/>
      <c r="H648" s="2083"/>
      <c r="I648" s="2083"/>
      <c r="J648" s="2083"/>
      <c r="K648" s="2083"/>
      <c r="L648" s="2083"/>
      <c r="M648" s="2083"/>
      <c r="N648" s="2084"/>
      <c r="O648" s="2085"/>
      <c r="P648" s="2086"/>
      <c r="Q648" s="2087"/>
      <c r="R648" s="2089"/>
      <c r="S648" s="2090"/>
      <c r="T648" s="2091"/>
      <c r="U648" s="2027"/>
      <c r="V648" s="2028"/>
      <c r="W648" s="2029"/>
      <c r="X648" s="2059" t="s">
        <v>1388</v>
      </c>
      <c r="Y648" s="2060"/>
      <c r="Z648" s="2060"/>
      <c r="AA648" s="2060"/>
      <c r="AB648" s="2061"/>
      <c r="AC648" s="2062"/>
      <c r="AD648" s="2063"/>
      <c r="AE648" s="2064"/>
      <c r="AF648" s="2002"/>
      <c r="AG648" s="2003"/>
      <c r="AH648" s="2003"/>
      <c r="AI648" s="2003"/>
      <c r="AJ648" s="2004"/>
      <c r="AK648" s="2014"/>
      <c r="AL648" s="2015"/>
      <c r="AM648" s="2015"/>
      <c r="AN648" s="2016"/>
      <c r="AO648" s="2055"/>
      <c r="AP648" s="2055"/>
      <c r="AQ648" s="2055"/>
      <c r="AR648" s="2055"/>
      <c r="AS648" s="205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4">
        <f t="shared" ref="BN648:BN657" si="28">IF(J786="SRO/Studio",O786,0)</f>
        <v>0</v>
      </c>
      <c r="BO648" s="2025"/>
      <c r="BP648" s="2025"/>
      <c r="BQ648" s="2025"/>
      <c r="BR648" s="2026"/>
      <c r="BS648" s="2045">
        <f t="shared" ref="BS648:BS657" si="29">IF(J786="1 Bedroom",O786,0)</f>
        <v>0</v>
      </c>
      <c r="BT648" s="2045"/>
      <c r="BU648" s="2045"/>
      <c r="BV648" s="2045"/>
      <c r="BW648" s="2045"/>
      <c r="BX648" s="2045">
        <f t="shared" ref="BX648:BX657" si="30">IF(J786="2 Bedrooms",O786,0)</f>
        <v>0</v>
      </c>
      <c r="BY648" s="2045"/>
      <c r="BZ648" s="2045"/>
      <c r="CA648" s="2045"/>
      <c r="CB648" s="2045"/>
      <c r="CC648" s="2045">
        <f t="shared" ref="CC648:CC657" si="31">IF(J786="3 Bedrooms",O786,0)</f>
        <v>0</v>
      </c>
      <c r="CD648" s="2045"/>
      <c r="CE648" s="2045"/>
      <c r="CF648" s="2045"/>
      <c r="CG648" s="2045"/>
      <c r="CH648" s="2045">
        <f t="shared" ref="CH648:CH657" si="32">IF(J786="4 Bedrooms",O786,0)</f>
        <v>0</v>
      </c>
      <c r="CI648" s="2045"/>
      <c r="CJ648" s="2045"/>
      <c r="CK648" s="2045"/>
      <c r="CL648" s="2045"/>
      <c r="CM648" s="2045">
        <f t="shared" ref="CM648:CM657" si="33">IF(J786="5 Bedrooms",O786,0)</f>
        <v>0</v>
      </c>
      <c r="CN648" s="2045"/>
      <c r="CO648" s="2045"/>
      <c r="CP648" s="2045"/>
      <c r="CQ648" s="2045"/>
      <c r="CR648" s="265"/>
      <c r="CS648" s="2024">
        <f>IF(AND(BN648&gt;=1,AH786&gt;=0.1,AH786&lt;=1),O786,0)</f>
        <v>0</v>
      </c>
      <c r="CT648" s="2025"/>
      <c r="CU648" s="2025"/>
      <c r="CV648" s="2025"/>
      <c r="CW648" s="2026"/>
      <c r="CX648" s="2024">
        <f>IF(AND(BS648&gt;=1,AH786&gt;=0.1,AH786&lt;=1),O786,0)</f>
        <v>0</v>
      </c>
      <c r="CY648" s="2025"/>
      <c r="CZ648" s="2025"/>
      <c r="DA648" s="2025"/>
      <c r="DB648" s="2026"/>
      <c r="DC648" s="2024">
        <f>IF(AND(BX648&gt;=1,AH786&gt;=0.1,AH786&lt;=1),O786,0)</f>
        <v>0</v>
      </c>
      <c r="DD648" s="2025"/>
      <c r="DE648" s="2025"/>
      <c r="DF648" s="2025"/>
      <c r="DG648" s="2026"/>
      <c r="DH648" s="2024">
        <f>IF(AND(CC648&gt;=1,AH786&gt;=0.1,AH786&lt;=1),O786,0)</f>
        <v>0</v>
      </c>
      <c r="DI648" s="2025"/>
      <c r="DJ648" s="2025"/>
      <c r="DK648" s="2025"/>
      <c r="DL648" s="2026"/>
      <c r="DM648" s="2024">
        <f>IF(AND(CH648&gt;=1,AH786&gt;=0.1,AH786&lt;=1),O786,0)</f>
        <v>0</v>
      </c>
      <c r="DN648" s="2025"/>
      <c r="DO648" s="2025"/>
      <c r="DP648" s="2025"/>
      <c r="DQ648" s="2026"/>
      <c r="DR648" s="2024">
        <f>IF(AND(CM648&gt;=1,AH786&gt;=0.1,AH786&lt;=1),O786,0)</f>
        <v>0</v>
      </c>
      <c r="DS648" s="2025"/>
      <c r="DT648" s="2025"/>
      <c r="DU648" s="2025"/>
      <c r="DV648" s="2026"/>
      <c r="DX648" s="2032" t="e">
        <f t="shared" si="22"/>
        <v>#VALUE!</v>
      </c>
      <c r="DY648" s="2032"/>
      <c r="DZ648" s="2032"/>
      <c r="EA648" s="2032"/>
      <c r="EB648" s="2032"/>
      <c r="EC648" s="2032" t="e">
        <f t="shared" si="23"/>
        <v>#VALUE!</v>
      </c>
      <c r="ED648" s="2032"/>
      <c r="EE648" s="2032"/>
      <c r="EF648" s="2032"/>
      <c r="EG648" s="2032"/>
      <c r="EH648" s="2032" t="e">
        <f t="shared" si="24"/>
        <v>#VALUE!</v>
      </c>
      <c r="EI648" s="2032"/>
      <c r="EJ648" s="2032"/>
      <c r="EK648" s="2032"/>
      <c r="EL648" s="2032"/>
      <c r="EM648" s="2032">
        <f t="shared" si="25"/>
        <v>211.36956521739131</v>
      </c>
      <c r="EN648" s="2032"/>
      <c r="EO648" s="2032"/>
      <c r="EP648" s="2032"/>
      <c r="EQ648" s="2032"/>
      <c r="ER648" s="2032" t="e">
        <f t="shared" si="26"/>
        <v>#VALUE!</v>
      </c>
      <c r="ES648" s="2032"/>
      <c r="ET648" s="2032"/>
      <c r="EU648" s="2032"/>
      <c r="EV648" s="2032"/>
      <c r="EW648" s="2032" t="e">
        <f t="shared" si="27"/>
        <v>#VALUE!</v>
      </c>
      <c r="EX648" s="2032"/>
      <c r="EY648" s="2032"/>
      <c r="EZ648" s="2032"/>
      <c r="FA648" s="2032"/>
    </row>
    <row r="649" spans="1:157" ht="12.75">
      <c r="B649" s="2252" t="s">
        <v>133</v>
      </c>
      <c r="C649" s="2253"/>
      <c r="D649" s="2253"/>
      <c r="E649" s="2253"/>
      <c r="F649" s="2253"/>
      <c r="G649" s="2253"/>
      <c r="H649" s="2253"/>
      <c r="I649" s="2253"/>
      <c r="J649" s="2253"/>
      <c r="K649" s="2253"/>
      <c r="L649" s="2253"/>
      <c r="M649" s="2253"/>
      <c r="N649" s="2253"/>
      <c r="O649" s="2253"/>
      <c r="P649" s="2253"/>
      <c r="Q649" s="2253"/>
      <c r="R649" s="2253"/>
      <c r="S649" s="2253"/>
      <c r="T649" s="2253"/>
      <c r="U649" s="2253"/>
      <c r="V649" s="2253"/>
      <c r="W649" s="2253"/>
      <c r="X649" s="2253"/>
      <c r="Y649" s="2253"/>
      <c r="Z649" s="2253"/>
      <c r="AA649" s="2253"/>
      <c r="AB649" s="2253"/>
      <c r="AC649" s="2253"/>
      <c r="AD649" s="2253"/>
      <c r="AE649" s="2253"/>
      <c r="AF649" s="2253"/>
      <c r="AG649" s="2253"/>
      <c r="AH649" s="2253"/>
      <c r="AI649" s="2253"/>
      <c r="AJ649" s="2253"/>
      <c r="AK649" s="2253"/>
      <c r="AL649" s="2253"/>
      <c r="AM649" s="2253"/>
      <c r="AN649" s="2254"/>
      <c r="AO649" s="2056">
        <f>SUM(AO637:AR648)</f>
        <v>34931667</v>
      </c>
      <c r="AP649" s="2057"/>
      <c r="AQ649" s="2057"/>
      <c r="AR649" s="2057"/>
      <c r="AS649" s="2058"/>
      <c r="AZ649" s="58"/>
      <c r="BA649" s="58"/>
      <c r="BB649" s="58"/>
      <c r="BC649" s="58"/>
      <c r="BD649" s="58"/>
      <c r="BE649" s="58"/>
      <c r="BF649" s="58"/>
      <c r="BG649" s="58"/>
      <c r="BH649" s="58"/>
      <c r="BI649" s="58"/>
      <c r="BJ649" s="58"/>
      <c r="BK649" s="58"/>
      <c r="BL649" s="58"/>
      <c r="BM649" s="58"/>
      <c r="BN649" s="2024">
        <f t="shared" si="28"/>
        <v>0</v>
      </c>
      <c r="BO649" s="2025"/>
      <c r="BP649" s="2025"/>
      <c r="BQ649" s="2025"/>
      <c r="BR649" s="2026"/>
      <c r="BS649" s="2045">
        <f t="shared" si="29"/>
        <v>0</v>
      </c>
      <c r="BT649" s="2045"/>
      <c r="BU649" s="2045"/>
      <c r="BV649" s="2045"/>
      <c r="BW649" s="2045"/>
      <c r="BX649" s="2045">
        <f t="shared" si="30"/>
        <v>0</v>
      </c>
      <c r="BY649" s="2045"/>
      <c r="BZ649" s="2045"/>
      <c r="CA649" s="2045"/>
      <c r="CB649" s="2045"/>
      <c r="CC649" s="2045">
        <f t="shared" si="31"/>
        <v>0</v>
      </c>
      <c r="CD649" s="2045"/>
      <c r="CE649" s="2045"/>
      <c r="CF649" s="2045"/>
      <c r="CG649" s="2045"/>
      <c r="CH649" s="2045">
        <f t="shared" si="32"/>
        <v>0</v>
      </c>
      <c r="CI649" s="2045"/>
      <c r="CJ649" s="2045"/>
      <c r="CK649" s="2045"/>
      <c r="CL649" s="2045"/>
      <c r="CM649" s="2045">
        <f t="shared" si="33"/>
        <v>0</v>
      </c>
      <c r="CN649" s="2045"/>
      <c r="CO649" s="2045"/>
      <c r="CP649" s="2045"/>
      <c r="CQ649" s="2045"/>
      <c r="CR649" s="265"/>
      <c r="CS649" s="2024">
        <f t="shared" ref="CS649:CS657" si="34">IF(AND(BN649&gt;=1,AH787&gt;=0.1,AH787&lt;=1),O787,0)</f>
        <v>0</v>
      </c>
      <c r="CT649" s="2025"/>
      <c r="CU649" s="2025"/>
      <c r="CV649" s="2025"/>
      <c r="CW649" s="2026"/>
      <c r="CX649" s="2024">
        <f t="shared" ref="CX649:CX657" si="35">IF(AND(BS649&gt;=1,AH787&gt;=0.1,AH787&lt;=1),O787,0)</f>
        <v>0</v>
      </c>
      <c r="CY649" s="2025"/>
      <c r="CZ649" s="2025"/>
      <c r="DA649" s="2025"/>
      <c r="DB649" s="2026"/>
      <c r="DC649" s="2024">
        <f t="shared" ref="DC649:DC657" si="36">IF(AND(BX649&gt;=1,AH787&gt;=0.1,AH787&lt;=1),O787,0)</f>
        <v>0</v>
      </c>
      <c r="DD649" s="2025"/>
      <c r="DE649" s="2025"/>
      <c r="DF649" s="2025"/>
      <c r="DG649" s="2026"/>
      <c r="DH649" s="2024">
        <f t="shared" ref="DH649:DH657" si="37">IF(AND(CC649&gt;=1,AH787&gt;=0.1,AH787&lt;=1),O787,0)</f>
        <v>0</v>
      </c>
      <c r="DI649" s="2025"/>
      <c r="DJ649" s="2025"/>
      <c r="DK649" s="2025"/>
      <c r="DL649" s="2026"/>
      <c r="DM649" s="2024">
        <f t="shared" ref="DM649:DM657" si="38">IF(AND(CH649&gt;=1,AH787&gt;=0.1,AH787&lt;=1),O787,0)</f>
        <v>0</v>
      </c>
      <c r="DN649" s="2025"/>
      <c r="DO649" s="2025"/>
      <c r="DP649" s="2025"/>
      <c r="DQ649" s="2026"/>
      <c r="DR649" s="2024">
        <f t="shared" ref="DR649:DR657" si="39">IF(AND(CM649&gt;=1,AH787&gt;=0.1,AH787&lt;=1),O787,0)</f>
        <v>0</v>
      </c>
      <c r="DS649" s="2025"/>
      <c r="DT649" s="2025"/>
      <c r="DU649" s="2025"/>
      <c r="DV649" s="2026"/>
      <c r="DX649" s="2032" t="e">
        <f t="shared" si="22"/>
        <v>#VALUE!</v>
      </c>
      <c r="DY649" s="2032"/>
      <c r="DZ649" s="2032"/>
      <c r="EA649" s="2032"/>
      <c r="EB649" s="2032"/>
      <c r="EC649" s="2032" t="e">
        <f t="shared" si="23"/>
        <v>#VALUE!</v>
      </c>
      <c r="ED649" s="2032"/>
      <c r="EE649" s="2032"/>
      <c r="EF649" s="2032"/>
      <c r="EG649" s="2032"/>
      <c r="EH649" s="2032" t="e">
        <f t="shared" si="24"/>
        <v>#VALUE!</v>
      </c>
      <c r="EI649" s="2032"/>
      <c r="EJ649" s="2032"/>
      <c r="EK649" s="2032"/>
      <c r="EL649" s="2032"/>
      <c r="EM649" s="2032" t="e">
        <f t="shared" si="25"/>
        <v>#VALUE!</v>
      </c>
      <c r="EN649" s="2032"/>
      <c r="EO649" s="2032"/>
      <c r="EP649" s="2032"/>
      <c r="EQ649" s="2032"/>
      <c r="ER649" s="2032">
        <f t="shared" si="26"/>
        <v>232.31666666666666</v>
      </c>
      <c r="ES649" s="2032"/>
      <c r="ET649" s="2032"/>
      <c r="EU649" s="2032"/>
      <c r="EV649" s="2032"/>
      <c r="EW649" s="2032" t="e">
        <f t="shared" si="27"/>
        <v>#VALUE!</v>
      </c>
      <c r="EX649" s="2032"/>
      <c r="EY649" s="2032"/>
      <c r="EZ649" s="2032"/>
      <c r="FA649" s="2032"/>
    </row>
    <row r="650" spans="1:157" ht="12.75" customHeight="1">
      <c r="B650" s="2252" t="s">
        <v>275</v>
      </c>
      <c r="C650" s="2253"/>
      <c r="D650" s="2253"/>
      <c r="E650" s="2253"/>
      <c r="F650" s="2253"/>
      <c r="G650" s="2253"/>
      <c r="H650" s="2253"/>
      <c r="I650" s="2253"/>
      <c r="J650" s="2253"/>
      <c r="K650" s="2253"/>
      <c r="L650" s="2253"/>
      <c r="M650" s="2253"/>
      <c r="N650" s="2253"/>
      <c r="O650" s="2253"/>
      <c r="P650" s="2253"/>
      <c r="Q650" s="2253"/>
      <c r="R650" s="2253"/>
      <c r="S650" s="2253"/>
      <c r="T650" s="2253"/>
      <c r="U650" s="2253"/>
      <c r="V650" s="2253"/>
      <c r="W650" s="2253"/>
      <c r="X650" s="2253"/>
      <c r="Y650" s="2253"/>
      <c r="Z650" s="2253"/>
      <c r="AA650" s="2253"/>
      <c r="AB650" s="2253"/>
      <c r="AC650" s="2253"/>
      <c r="AD650" s="2253"/>
      <c r="AE650" s="2253"/>
      <c r="AF650" s="2253"/>
      <c r="AG650" s="2253"/>
      <c r="AH650" s="2253"/>
      <c r="AI650" s="2253"/>
      <c r="AJ650" s="2253"/>
      <c r="AK650" s="2253"/>
      <c r="AL650" s="2253"/>
      <c r="AM650" s="2253"/>
      <c r="AN650" s="2254"/>
      <c r="AO650" s="2036">
        <v>34883131</v>
      </c>
      <c r="AP650" s="2037"/>
      <c r="AQ650" s="2037"/>
      <c r="AR650" s="2037"/>
      <c r="AS650" s="2038"/>
      <c r="AZ650" s="61"/>
      <c r="BA650" s="61"/>
      <c r="BB650" s="61"/>
      <c r="BC650" s="61"/>
      <c r="BD650" s="61"/>
      <c r="BE650" s="61"/>
      <c r="BF650" s="61"/>
      <c r="BG650" s="61"/>
      <c r="BH650" s="61"/>
      <c r="BI650" s="61"/>
      <c r="BJ650" s="61"/>
      <c r="BK650" s="61"/>
      <c r="BL650" s="61"/>
      <c r="BM650" s="61"/>
      <c r="BN650" s="2024">
        <f t="shared" si="28"/>
        <v>0</v>
      </c>
      <c r="BO650" s="2025"/>
      <c r="BP650" s="2025"/>
      <c r="BQ650" s="2025"/>
      <c r="BR650" s="2026"/>
      <c r="BS650" s="2045">
        <f t="shared" si="29"/>
        <v>0</v>
      </c>
      <c r="BT650" s="2045"/>
      <c r="BU650" s="2045"/>
      <c r="BV650" s="2045"/>
      <c r="BW650" s="2045"/>
      <c r="BX650" s="2045">
        <f t="shared" si="30"/>
        <v>0</v>
      </c>
      <c r="BY650" s="2045"/>
      <c r="BZ650" s="2045"/>
      <c r="CA650" s="2045"/>
      <c r="CB650" s="2045"/>
      <c r="CC650" s="2045">
        <f t="shared" si="31"/>
        <v>0</v>
      </c>
      <c r="CD650" s="2045"/>
      <c r="CE650" s="2045"/>
      <c r="CF650" s="2045"/>
      <c r="CG650" s="2045"/>
      <c r="CH650" s="2045">
        <f t="shared" si="32"/>
        <v>0</v>
      </c>
      <c r="CI650" s="2045"/>
      <c r="CJ650" s="2045"/>
      <c r="CK650" s="2045"/>
      <c r="CL650" s="2045"/>
      <c r="CM650" s="2045">
        <f t="shared" si="33"/>
        <v>0</v>
      </c>
      <c r="CN650" s="2045"/>
      <c r="CO650" s="2045"/>
      <c r="CP650" s="2045"/>
      <c r="CQ650" s="2045"/>
      <c r="CR650" s="265"/>
      <c r="CS650" s="2024">
        <f t="shared" si="34"/>
        <v>0</v>
      </c>
      <c r="CT650" s="2025"/>
      <c r="CU650" s="2025"/>
      <c r="CV650" s="2025"/>
      <c r="CW650" s="2026"/>
      <c r="CX650" s="2024">
        <f t="shared" si="35"/>
        <v>0</v>
      </c>
      <c r="CY650" s="2025"/>
      <c r="CZ650" s="2025"/>
      <c r="DA650" s="2025"/>
      <c r="DB650" s="2026"/>
      <c r="DC650" s="2024">
        <f t="shared" si="36"/>
        <v>0</v>
      </c>
      <c r="DD650" s="2025"/>
      <c r="DE650" s="2025"/>
      <c r="DF650" s="2025"/>
      <c r="DG650" s="2026"/>
      <c r="DH650" s="2024">
        <f t="shared" si="37"/>
        <v>0</v>
      </c>
      <c r="DI650" s="2025"/>
      <c r="DJ650" s="2025"/>
      <c r="DK650" s="2025"/>
      <c r="DL650" s="2026"/>
      <c r="DM650" s="2024">
        <f t="shared" si="38"/>
        <v>0</v>
      </c>
      <c r="DN650" s="2025"/>
      <c r="DO650" s="2025"/>
      <c r="DP650" s="2025"/>
      <c r="DQ650" s="2026"/>
      <c r="DR650" s="2024">
        <f t="shared" si="39"/>
        <v>0</v>
      </c>
      <c r="DS650" s="2025"/>
      <c r="DT650" s="2025"/>
      <c r="DU650" s="2025"/>
      <c r="DV650" s="2026"/>
      <c r="DX650" s="2032" t="e">
        <f t="shared" si="22"/>
        <v>#VALUE!</v>
      </c>
      <c r="DY650" s="2032"/>
      <c r="DZ650" s="2032"/>
      <c r="EA650" s="2032"/>
      <c r="EB650" s="2032"/>
      <c r="EC650" s="2032" t="e">
        <f t="shared" si="23"/>
        <v>#VALUE!</v>
      </c>
      <c r="ED650" s="2032"/>
      <c r="EE650" s="2032"/>
      <c r="EF650" s="2032"/>
      <c r="EG650" s="2032"/>
      <c r="EH650" s="2032" t="e">
        <f t="shared" si="24"/>
        <v>#VALUE!</v>
      </c>
      <c r="EI650" s="2032"/>
      <c r="EJ650" s="2032"/>
      <c r="EK650" s="2032"/>
      <c r="EL650" s="2032"/>
      <c r="EM650" s="2032" t="e">
        <f t="shared" si="25"/>
        <v>#VALUE!</v>
      </c>
      <c r="EN650" s="2032"/>
      <c r="EO650" s="2032"/>
      <c r="EP650" s="2032"/>
      <c r="EQ650" s="2032"/>
      <c r="ER650" s="2032" t="e">
        <f t="shared" si="26"/>
        <v>#VALUE!</v>
      </c>
      <c r="ES650" s="2032"/>
      <c r="ET650" s="2032"/>
      <c r="EU650" s="2032"/>
      <c r="EV650" s="2032"/>
      <c r="EW650" s="2032" t="e">
        <f t="shared" si="27"/>
        <v>#VALUE!</v>
      </c>
      <c r="EX650" s="2032"/>
      <c r="EY650" s="2032"/>
      <c r="EZ650" s="2032"/>
      <c r="FA650" s="2032"/>
    </row>
    <row r="651" spans="1:157" ht="12.75" customHeight="1">
      <c r="B651" s="2385" t="s">
        <v>276</v>
      </c>
      <c r="C651" s="2386"/>
      <c r="D651" s="2386"/>
      <c r="E651" s="2386"/>
      <c r="F651" s="2386"/>
      <c r="G651" s="2386"/>
      <c r="H651" s="2386"/>
      <c r="I651" s="2386"/>
      <c r="J651" s="2386"/>
      <c r="K651" s="2386"/>
      <c r="L651" s="2386"/>
      <c r="M651" s="2386"/>
      <c r="N651" s="2386"/>
      <c r="O651" s="2386"/>
      <c r="P651" s="2386"/>
      <c r="Q651" s="2386"/>
      <c r="R651" s="2386"/>
      <c r="S651" s="2386"/>
      <c r="T651" s="2386"/>
      <c r="U651" s="2386"/>
      <c r="V651" s="2386"/>
      <c r="W651" s="2386"/>
      <c r="X651" s="2386"/>
      <c r="Y651" s="2386"/>
      <c r="Z651" s="2386"/>
      <c r="AA651" s="2386"/>
      <c r="AB651" s="2386"/>
      <c r="AC651" s="2386"/>
      <c r="AD651" s="2386"/>
      <c r="AE651" s="2386"/>
      <c r="AF651" s="2386"/>
      <c r="AG651" s="2386"/>
      <c r="AH651" s="2386"/>
      <c r="AI651" s="2386"/>
      <c r="AJ651" s="2386"/>
      <c r="AK651" s="2386"/>
      <c r="AL651" s="2386"/>
      <c r="AM651" s="2386"/>
      <c r="AN651" s="2387"/>
      <c r="AO651" s="2056">
        <f>AO649+AO650</f>
        <v>69814798</v>
      </c>
      <c r="AP651" s="2057"/>
      <c r="AQ651" s="2057"/>
      <c r="AR651" s="2057"/>
      <c r="AS651" s="2058"/>
      <c r="AZ651" s="61"/>
      <c r="BA651" s="61"/>
      <c r="BB651" s="61"/>
      <c r="BC651" s="61"/>
      <c r="BD651" s="61"/>
      <c r="BE651" s="61"/>
      <c r="BF651" s="61"/>
      <c r="BG651" s="61"/>
      <c r="BH651" s="61"/>
      <c r="BI651" s="61"/>
      <c r="BJ651" s="61"/>
      <c r="BK651" s="61"/>
      <c r="BL651" s="61"/>
      <c r="BM651" s="61"/>
      <c r="BN651" s="2024">
        <f t="shared" si="28"/>
        <v>0</v>
      </c>
      <c r="BO651" s="2025"/>
      <c r="BP651" s="2025"/>
      <c r="BQ651" s="2025"/>
      <c r="BR651" s="2026"/>
      <c r="BS651" s="2045">
        <f t="shared" si="29"/>
        <v>0</v>
      </c>
      <c r="BT651" s="2045"/>
      <c r="BU651" s="2045"/>
      <c r="BV651" s="2045"/>
      <c r="BW651" s="2045"/>
      <c r="BX651" s="2045">
        <f t="shared" si="30"/>
        <v>0</v>
      </c>
      <c r="BY651" s="2045"/>
      <c r="BZ651" s="2045"/>
      <c r="CA651" s="2045"/>
      <c r="CB651" s="2045"/>
      <c r="CC651" s="2045">
        <f t="shared" si="31"/>
        <v>0</v>
      </c>
      <c r="CD651" s="2045"/>
      <c r="CE651" s="2045"/>
      <c r="CF651" s="2045"/>
      <c r="CG651" s="2045"/>
      <c r="CH651" s="2045">
        <f t="shared" si="32"/>
        <v>0</v>
      </c>
      <c r="CI651" s="2045"/>
      <c r="CJ651" s="2045"/>
      <c r="CK651" s="2045"/>
      <c r="CL651" s="2045"/>
      <c r="CM651" s="2045">
        <f t="shared" si="33"/>
        <v>0</v>
      </c>
      <c r="CN651" s="2045"/>
      <c r="CO651" s="2045"/>
      <c r="CP651" s="2045"/>
      <c r="CQ651" s="2045"/>
      <c r="CR651" s="265"/>
      <c r="CS651" s="2024">
        <f t="shared" si="34"/>
        <v>0</v>
      </c>
      <c r="CT651" s="2025"/>
      <c r="CU651" s="2025"/>
      <c r="CV651" s="2025"/>
      <c r="CW651" s="2026"/>
      <c r="CX651" s="2024">
        <f t="shared" si="35"/>
        <v>0</v>
      </c>
      <c r="CY651" s="2025"/>
      <c r="CZ651" s="2025"/>
      <c r="DA651" s="2025"/>
      <c r="DB651" s="2026"/>
      <c r="DC651" s="2024">
        <f t="shared" si="36"/>
        <v>0</v>
      </c>
      <c r="DD651" s="2025"/>
      <c r="DE651" s="2025"/>
      <c r="DF651" s="2025"/>
      <c r="DG651" s="2026"/>
      <c r="DH651" s="2024">
        <f t="shared" si="37"/>
        <v>0</v>
      </c>
      <c r="DI651" s="2025"/>
      <c r="DJ651" s="2025"/>
      <c r="DK651" s="2025"/>
      <c r="DL651" s="2026"/>
      <c r="DM651" s="2024">
        <f t="shared" si="38"/>
        <v>0</v>
      </c>
      <c r="DN651" s="2025"/>
      <c r="DO651" s="2025"/>
      <c r="DP651" s="2025"/>
      <c r="DQ651" s="2026"/>
      <c r="DR651" s="2024">
        <f t="shared" si="39"/>
        <v>0</v>
      </c>
      <c r="DS651" s="2025"/>
      <c r="DT651" s="2025"/>
      <c r="DU651" s="2025"/>
      <c r="DV651" s="2026"/>
      <c r="DX651" s="2032" t="e">
        <f t="shared" si="22"/>
        <v>#VALUE!</v>
      </c>
      <c r="DY651" s="2032"/>
      <c r="DZ651" s="2032"/>
      <c r="EA651" s="2032"/>
      <c r="EB651" s="2032"/>
      <c r="EC651" s="2032" t="e">
        <f t="shared" si="23"/>
        <v>#VALUE!</v>
      </c>
      <c r="ED651" s="2032"/>
      <c r="EE651" s="2032"/>
      <c r="EF651" s="2032"/>
      <c r="EG651" s="2032"/>
      <c r="EH651" s="2032" t="e">
        <f t="shared" si="24"/>
        <v>#VALUE!</v>
      </c>
      <c r="EI651" s="2032"/>
      <c r="EJ651" s="2032"/>
      <c r="EK651" s="2032"/>
      <c r="EL651" s="2032"/>
      <c r="EM651" s="2032" t="e">
        <f t="shared" si="25"/>
        <v>#VALUE!</v>
      </c>
      <c r="EN651" s="2032"/>
      <c r="EO651" s="2032"/>
      <c r="EP651" s="2032"/>
      <c r="EQ651" s="2032"/>
      <c r="ER651" s="2032" t="e">
        <f t="shared" si="26"/>
        <v>#VALUE!</v>
      </c>
      <c r="ES651" s="2032"/>
      <c r="ET651" s="2032"/>
      <c r="EU651" s="2032"/>
      <c r="EV651" s="2032"/>
      <c r="EW651" s="2032" t="e">
        <f t="shared" si="27"/>
        <v>#VALUE!</v>
      </c>
      <c r="EX651" s="2032"/>
      <c r="EY651" s="2032"/>
      <c r="EZ651" s="2032"/>
      <c r="FA651" s="2032"/>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4">
        <f t="shared" si="28"/>
        <v>0</v>
      </c>
      <c r="BO652" s="2025"/>
      <c r="BP652" s="2025"/>
      <c r="BQ652" s="2025"/>
      <c r="BR652" s="2026"/>
      <c r="BS652" s="2045">
        <f t="shared" si="29"/>
        <v>0</v>
      </c>
      <c r="BT652" s="2045"/>
      <c r="BU652" s="2045"/>
      <c r="BV652" s="2045"/>
      <c r="BW652" s="2045"/>
      <c r="BX652" s="2045">
        <f t="shared" si="30"/>
        <v>0</v>
      </c>
      <c r="BY652" s="2045"/>
      <c r="BZ652" s="2045"/>
      <c r="CA652" s="2045"/>
      <c r="CB652" s="2045"/>
      <c r="CC652" s="2045">
        <f t="shared" si="31"/>
        <v>0</v>
      </c>
      <c r="CD652" s="2045"/>
      <c r="CE652" s="2045"/>
      <c r="CF652" s="2045"/>
      <c r="CG652" s="2045"/>
      <c r="CH652" s="2045">
        <f t="shared" si="32"/>
        <v>0</v>
      </c>
      <c r="CI652" s="2045"/>
      <c r="CJ652" s="2045"/>
      <c r="CK652" s="2045"/>
      <c r="CL652" s="2045"/>
      <c r="CM652" s="2045">
        <f t="shared" si="33"/>
        <v>0</v>
      </c>
      <c r="CN652" s="2045"/>
      <c r="CO652" s="2045"/>
      <c r="CP652" s="2045"/>
      <c r="CQ652" s="2045"/>
      <c r="CR652" s="265"/>
      <c r="CS652" s="2024">
        <f t="shared" si="34"/>
        <v>0</v>
      </c>
      <c r="CT652" s="2025"/>
      <c r="CU652" s="2025"/>
      <c r="CV652" s="2025"/>
      <c r="CW652" s="2026"/>
      <c r="CX652" s="2024">
        <f t="shared" si="35"/>
        <v>0</v>
      </c>
      <c r="CY652" s="2025"/>
      <c r="CZ652" s="2025"/>
      <c r="DA652" s="2025"/>
      <c r="DB652" s="2026"/>
      <c r="DC652" s="2024">
        <f t="shared" si="36"/>
        <v>0</v>
      </c>
      <c r="DD652" s="2025"/>
      <c r="DE652" s="2025"/>
      <c r="DF652" s="2025"/>
      <c r="DG652" s="2026"/>
      <c r="DH652" s="2024">
        <f t="shared" si="37"/>
        <v>0</v>
      </c>
      <c r="DI652" s="2025"/>
      <c r="DJ652" s="2025"/>
      <c r="DK652" s="2025"/>
      <c r="DL652" s="2026"/>
      <c r="DM652" s="2024">
        <f t="shared" si="38"/>
        <v>0</v>
      </c>
      <c r="DN652" s="2025"/>
      <c r="DO652" s="2025"/>
      <c r="DP652" s="2025"/>
      <c r="DQ652" s="2026"/>
      <c r="DR652" s="2024">
        <f t="shared" si="39"/>
        <v>0</v>
      </c>
      <c r="DS652" s="2025"/>
      <c r="DT652" s="2025"/>
      <c r="DU652" s="2025"/>
      <c r="DV652" s="2026"/>
      <c r="DX652" s="2032" t="e">
        <f t="shared" si="22"/>
        <v>#VALUE!</v>
      </c>
      <c r="DY652" s="2032"/>
      <c r="DZ652" s="2032"/>
      <c r="EA652" s="2032"/>
      <c r="EB652" s="2032"/>
      <c r="EC652" s="2032" t="e">
        <f t="shared" si="23"/>
        <v>#VALUE!</v>
      </c>
      <c r="ED652" s="2032"/>
      <c r="EE652" s="2032"/>
      <c r="EF652" s="2032"/>
      <c r="EG652" s="2032"/>
      <c r="EH652" s="2032" t="e">
        <f t="shared" si="24"/>
        <v>#VALUE!</v>
      </c>
      <c r="EI652" s="2032"/>
      <c r="EJ652" s="2032"/>
      <c r="EK652" s="2032"/>
      <c r="EL652" s="2032"/>
      <c r="EM652" s="2032" t="e">
        <f t="shared" si="25"/>
        <v>#VALUE!</v>
      </c>
      <c r="EN652" s="2032"/>
      <c r="EO652" s="2032"/>
      <c r="EP652" s="2032"/>
      <c r="EQ652" s="2032"/>
      <c r="ER652" s="2032" t="e">
        <f t="shared" si="26"/>
        <v>#VALUE!</v>
      </c>
      <c r="ES652" s="2032"/>
      <c r="ET652" s="2032"/>
      <c r="EU652" s="2032"/>
      <c r="EV652" s="2032"/>
      <c r="EW652" s="2032" t="e">
        <f t="shared" si="27"/>
        <v>#VALUE!</v>
      </c>
      <c r="EX652" s="2032"/>
      <c r="EY652" s="2032"/>
      <c r="EZ652" s="2032"/>
      <c r="FA652" s="2032"/>
    </row>
    <row r="653" spans="1:157" ht="12.75">
      <c r="A653" s="87" t="s">
        <v>117</v>
      </c>
      <c r="B653" s="12" t="s">
        <v>498</v>
      </c>
      <c r="G653" s="2001" t="str">
        <f>C637</f>
        <v>Citi Community Capital - Perm Loan</v>
      </c>
      <c r="H653" s="2001"/>
      <c r="I653" s="2001"/>
      <c r="J653" s="2001"/>
      <c r="K653" s="2001"/>
      <c r="L653" s="2001"/>
      <c r="M653" s="2001"/>
      <c r="N653" s="2001"/>
      <c r="O653" s="2001"/>
      <c r="P653" s="2001"/>
      <c r="Q653" s="2001"/>
      <c r="R653" s="2001"/>
      <c r="S653" s="14"/>
      <c r="T653" s="87" t="s">
        <v>118</v>
      </c>
      <c r="U653" s="12" t="s">
        <v>498</v>
      </c>
      <c r="Z653" s="2001" t="str">
        <f>C638</f>
        <v>Deferred Developer Fee</v>
      </c>
      <c r="AA653" s="2001"/>
      <c r="AB653" s="2001"/>
      <c r="AC653" s="2001"/>
      <c r="AD653" s="2001"/>
      <c r="AE653" s="2001"/>
      <c r="AF653" s="2001"/>
      <c r="AG653" s="2001"/>
      <c r="AH653" s="2001"/>
      <c r="AI653" s="2001"/>
      <c r="AJ653" s="2001"/>
      <c r="AK653" s="2001"/>
      <c r="AZ653" s="61"/>
      <c r="BA653" s="61"/>
      <c r="BB653" s="61"/>
      <c r="BC653" s="61"/>
      <c r="BD653" s="61"/>
      <c r="BE653" s="61"/>
      <c r="BF653" s="61"/>
      <c r="BG653" s="61"/>
      <c r="BH653" s="61"/>
      <c r="BI653" s="61"/>
      <c r="BJ653" s="61"/>
      <c r="BK653" s="61"/>
      <c r="BL653" s="61"/>
      <c r="BM653" s="61"/>
      <c r="BN653" s="2024">
        <f t="shared" si="28"/>
        <v>0</v>
      </c>
      <c r="BO653" s="2025"/>
      <c r="BP653" s="2025"/>
      <c r="BQ653" s="2025"/>
      <c r="BR653" s="2026"/>
      <c r="BS653" s="2045">
        <f t="shared" si="29"/>
        <v>0</v>
      </c>
      <c r="BT653" s="2045"/>
      <c r="BU653" s="2045"/>
      <c r="BV653" s="2045"/>
      <c r="BW653" s="2045"/>
      <c r="BX653" s="2045">
        <f t="shared" si="30"/>
        <v>0</v>
      </c>
      <c r="BY653" s="2045"/>
      <c r="BZ653" s="2045"/>
      <c r="CA653" s="2045"/>
      <c r="CB653" s="2045"/>
      <c r="CC653" s="2045">
        <f t="shared" si="31"/>
        <v>0</v>
      </c>
      <c r="CD653" s="2045"/>
      <c r="CE653" s="2045"/>
      <c r="CF653" s="2045"/>
      <c r="CG653" s="2045"/>
      <c r="CH653" s="2045">
        <f t="shared" si="32"/>
        <v>0</v>
      </c>
      <c r="CI653" s="2045"/>
      <c r="CJ653" s="2045"/>
      <c r="CK653" s="2045"/>
      <c r="CL653" s="2045"/>
      <c r="CM653" s="2045">
        <f t="shared" si="33"/>
        <v>0</v>
      </c>
      <c r="CN653" s="2045"/>
      <c r="CO653" s="2045"/>
      <c r="CP653" s="2045"/>
      <c r="CQ653" s="2045"/>
      <c r="CR653" s="265"/>
      <c r="CS653" s="2024">
        <f t="shared" si="34"/>
        <v>0</v>
      </c>
      <c r="CT653" s="2025"/>
      <c r="CU653" s="2025"/>
      <c r="CV653" s="2025"/>
      <c r="CW653" s="2026"/>
      <c r="CX653" s="2024">
        <f t="shared" si="35"/>
        <v>0</v>
      </c>
      <c r="CY653" s="2025"/>
      <c r="CZ653" s="2025"/>
      <c r="DA653" s="2025"/>
      <c r="DB653" s="2026"/>
      <c r="DC653" s="2024">
        <f t="shared" si="36"/>
        <v>0</v>
      </c>
      <c r="DD653" s="2025"/>
      <c r="DE653" s="2025"/>
      <c r="DF653" s="2025"/>
      <c r="DG653" s="2026"/>
      <c r="DH653" s="2024">
        <f t="shared" si="37"/>
        <v>0</v>
      </c>
      <c r="DI653" s="2025"/>
      <c r="DJ653" s="2025"/>
      <c r="DK653" s="2025"/>
      <c r="DL653" s="2026"/>
      <c r="DM653" s="2024">
        <f t="shared" si="38"/>
        <v>0</v>
      </c>
      <c r="DN653" s="2025"/>
      <c r="DO653" s="2025"/>
      <c r="DP653" s="2025"/>
      <c r="DQ653" s="2026"/>
      <c r="DR653" s="2024">
        <f t="shared" si="39"/>
        <v>0</v>
      </c>
      <c r="DS653" s="2025"/>
      <c r="DT653" s="2025"/>
      <c r="DU653" s="2025"/>
      <c r="DV653" s="2026"/>
      <c r="DX653" s="2032" t="e">
        <f t="shared" si="22"/>
        <v>#VALUE!</v>
      </c>
      <c r="DY653" s="2032"/>
      <c r="DZ653" s="2032"/>
      <c r="EA653" s="2032"/>
      <c r="EB653" s="2032"/>
      <c r="EC653" s="2032" t="e">
        <f t="shared" si="23"/>
        <v>#VALUE!</v>
      </c>
      <c r="ED653" s="2032"/>
      <c r="EE653" s="2032"/>
      <c r="EF653" s="2032"/>
      <c r="EG653" s="2032"/>
      <c r="EH653" s="2032" t="e">
        <f t="shared" si="24"/>
        <v>#VALUE!</v>
      </c>
      <c r="EI653" s="2032"/>
      <c r="EJ653" s="2032"/>
      <c r="EK653" s="2032"/>
      <c r="EL653" s="2032"/>
      <c r="EM653" s="2032" t="e">
        <f t="shared" si="25"/>
        <v>#VALUE!</v>
      </c>
      <c r="EN653" s="2032"/>
      <c r="EO653" s="2032"/>
      <c r="EP653" s="2032"/>
      <c r="EQ653" s="2032"/>
      <c r="ER653" s="2032" t="e">
        <f t="shared" si="26"/>
        <v>#VALUE!</v>
      </c>
      <c r="ES653" s="2032"/>
      <c r="ET653" s="2032"/>
      <c r="EU653" s="2032"/>
      <c r="EV653" s="2032"/>
      <c r="EW653" s="2032" t="e">
        <f t="shared" si="27"/>
        <v>#VALUE!</v>
      </c>
      <c r="EX653" s="2032"/>
      <c r="EY653" s="2032"/>
      <c r="EZ653" s="2032"/>
      <c r="FA653" s="2032"/>
    </row>
    <row r="654" spans="1:157" ht="12.75">
      <c r="A654" s="35"/>
      <c r="B654" s="12" t="s">
        <v>90</v>
      </c>
      <c r="G654" s="2030" t="s">
        <v>2606</v>
      </c>
      <c r="H654" s="2030"/>
      <c r="I654" s="2030"/>
      <c r="J654" s="2030"/>
      <c r="K654" s="2030"/>
      <c r="L654" s="2030"/>
      <c r="M654" s="2030"/>
      <c r="N654" s="2030"/>
      <c r="O654" s="2030"/>
      <c r="P654" s="2030"/>
      <c r="Q654" s="2030"/>
      <c r="R654" s="2030"/>
      <c r="S654" s="14"/>
      <c r="T654" s="35"/>
      <c r="U654" s="12" t="s">
        <v>90</v>
      </c>
      <c r="Z654" s="2030" t="s">
        <v>2486</v>
      </c>
      <c r="AA654" s="2030"/>
      <c r="AB654" s="2030"/>
      <c r="AC654" s="2030"/>
      <c r="AD654" s="2030"/>
      <c r="AE654" s="2030"/>
      <c r="AF654" s="2030"/>
      <c r="AG654" s="2030"/>
      <c r="AH654" s="2030"/>
      <c r="AI654" s="2030"/>
      <c r="AJ654" s="2030"/>
      <c r="AK654" s="2030"/>
      <c r="AZ654" s="61"/>
      <c r="BA654" s="61"/>
      <c r="BB654" s="61"/>
      <c r="BC654" s="61"/>
      <c r="BD654" s="61"/>
      <c r="BE654" s="61"/>
      <c r="BF654" s="61"/>
      <c r="BG654" s="61"/>
      <c r="BH654" s="61"/>
      <c r="BI654" s="61"/>
      <c r="BJ654" s="61"/>
      <c r="BK654" s="61"/>
      <c r="BL654" s="61"/>
      <c r="BM654" s="61"/>
      <c r="BN654" s="2024">
        <f t="shared" si="28"/>
        <v>0</v>
      </c>
      <c r="BO654" s="2025"/>
      <c r="BP654" s="2025"/>
      <c r="BQ654" s="2025"/>
      <c r="BR654" s="2026"/>
      <c r="BS654" s="2045">
        <f t="shared" si="29"/>
        <v>0</v>
      </c>
      <c r="BT654" s="2045"/>
      <c r="BU654" s="2045"/>
      <c r="BV654" s="2045"/>
      <c r="BW654" s="2045"/>
      <c r="BX654" s="2045">
        <f t="shared" si="30"/>
        <v>0</v>
      </c>
      <c r="BY654" s="2045"/>
      <c r="BZ654" s="2045"/>
      <c r="CA654" s="2045"/>
      <c r="CB654" s="2045"/>
      <c r="CC654" s="2045">
        <f t="shared" si="31"/>
        <v>0</v>
      </c>
      <c r="CD654" s="2045"/>
      <c r="CE654" s="2045"/>
      <c r="CF654" s="2045"/>
      <c r="CG654" s="2045"/>
      <c r="CH654" s="2045">
        <f t="shared" si="32"/>
        <v>0</v>
      </c>
      <c r="CI654" s="2045"/>
      <c r="CJ654" s="2045"/>
      <c r="CK654" s="2045"/>
      <c r="CL654" s="2045"/>
      <c r="CM654" s="2045">
        <f t="shared" si="33"/>
        <v>0</v>
      </c>
      <c r="CN654" s="2045"/>
      <c r="CO654" s="2045"/>
      <c r="CP654" s="2045"/>
      <c r="CQ654" s="2045"/>
      <c r="CR654" s="265"/>
      <c r="CS654" s="2024">
        <f t="shared" si="34"/>
        <v>0</v>
      </c>
      <c r="CT654" s="2025"/>
      <c r="CU654" s="2025"/>
      <c r="CV654" s="2025"/>
      <c r="CW654" s="2026"/>
      <c r="CX654" s="2024">
        <f t="shared" si="35"/>
        <v>0</v>
      </c>
      <c r="CY654" s="2025"/>
      <c r="CZ654" s="2025"/>
      <c r="DA654" s="2025"/>
      <c r="DB654" s="2026"/>
      <c r="DC654" s="2024">
        <f t="shared" si="36"/>
        <v>0</v>
      </c>
      <c r="DD654" s="2025"/>
      <c r="DE654" s="2025"/>
      <c r="DF654" s="2025"/>
      <c r="DG654" s="2026"/>
      <c r="DH654" s="2024">
        <f t="shared" si="37"/>
        <v>0</v>
      </c>
      <c r="DI654" s="2025"/>
      <c r="DJ654" s="2025"/>
      <c r="DK654" s="2025"/>
      <c r="DL654" s="2026"/>
      <c r="DM654" s="2024">
        <f t="shared" si="38"/>
        <v>0</v>
      </c>
      <c r="DN654" s="2025"/>
      <c r="DO654" s="2025"/>
      <c r="DP654" s="2025"/>
      <c r="DQ654" s="2026"/>
      <c r="DR654" s="2024">
        <f t="shared" si="39"/>
        <v>0</v>
      </c>
      <c r="DS654" s="2025"/>
      <c r="DT654" s="2025"/>
      <c r="DU654" s="2025"/>
      <c r="DV654" s="2026"/>
      <c r="DX654" s="2032" t="e">
        <f t="shared" si="22"/>
        <v>#VALUE!</v>
      </c>
      <c r="DY654" s="2032"/>
      <c r="DZ654" s="2032"/>
      <c r="EA654" s="2032"/>
      <c r="EB654" s="2032"/>
      <c r="EC654" s="2032" t="e">
        <f t="shared" si="23"/>
        <v>#VALUE!</v>
      </c>
      <c r="ED654" s="2032"/>
      <c r="EE654" s="2032"/>
      <c r="EF654" s="2032"/>
      <c r="EG654" s="2032"/>
      <c r="EH654" s="2032" t="e">
        <f t="shared" si="24"/>
        <v>#VALUE!</v>
      </c>
      <c r="EI654" s="2032"/>
      <c r="EJ654" s="2032"/>
      <c r="EK654" s="2032"/>
      <c r="EL654" s="2032"/>
      <c r="EM654" s="2032" t="e">
        <f t="shared" si="25"/>
        <v>#VALUE!</v>
      </c>
      <c r="EN654" s="2032"/>
      <c r="EO654" s="2032"/>
      <c r="EP654" s="2032"/>
      <c r="EQ654" s="2032"/>
      <c r="ER654" s="2032" t="e">
        <f t="shared" si="26"/>
        <v>#VALUE!</v>
      </c>
      <c r="ES654" s="2032"/>
      <c r="ET654" s="2032"/>
      <c r="EU654" s="2032"/>
      <c r="EV654" s="2032"/>
      <c r="EW654" s="2032" t="e">
        <f t="shared" si="27"/>
        <v>#VALUE!</v>
      </c>
      <c r="EX654" s="2032"/>
      <c r="EY654" s="2032"/>
      <c r="EZ654" s="2032"/>
      <c r="FA654" s="2032"/>
    </row>
    <row r="655" spans="1:157" ht="12.75">
      <c r="A655" s="35"/>
      <c r="B655" s="12" t="s">
        <v>617</v>
      </c>
      <c r="G655" s="2030" t="s">
        <v>2607</v>
      </c>
      <c r="H655" s="2030"/>
      <c r="I655" s="2030"/>
      <c r="J655" s="2030"/>
      <c r="K655" s="2030"/>
      <c r="L655" s="2030"/>
      <c r="M655" s="2030"/>
      <c r="N655" s="2030"/>
      <c r="O655" s="2030"/>
      <c r="P655" s="2030"/>
      <c r="Q655" s="2030"/>
      <c r="R655" s="2030"/>
      <c r="S655" s="88"/>
      <c r="T655" s="35"/>
      <c r="U655" s="12" t="s">
        <v>617</v>
      </c>
      <c r="Z655" s="2262" t="s">
        <v>2578</v>
      </c>
      <c r="AA655" s="2262"/>
      <c r="AB655" s="2262"/>
      <c r="AC655" s="2262"/>
      <c r="AD655" s="2262"/>
      <c r="AE655" s="2262"/>
      <c r="AF655" s="2262"/>
      <c r="AG655" s="2262"/>
      <c r="AH655" s="2262"/>
      <c r="AI655" s="2262"/>
      <c r="AJ655" s="2262"/>
      <c r="AK655" s="2262"/>
      <c r="AZ655" s="61"/>
      <c r="BA655" s="61"/>
      <c r="BB655" s="61"/>
      <c r="BC655" s="61"/>
      <c r="BD655" s="61"/>
      <c r="BE655" s="61"/>
      <c r="BF655" s="61"/>
      <c r="BG655" s="61"/>
      <c r="BH655" s="61"/>
      <c r="BI655" s="61"/>
      <c r="BJ655" s="61"/>
      <c r="BK655" s="61"/>
      <c r="BL655" s="61"/>
      <c r="BM655" s="61"/>
      <c r="BN655" s="2024">
        <f t="shared" si="28"/>
        <v>0</v>
      </c>
      <c r="BO655" s="2025"/>
      <c r="BP655" s="2025"/>
      <c r="BQ655" s="2025"/>
      <c r="BR655" s="2026"/>
      <c r="BS655" s="2045">
        <f t="shared" si="29"/>
        <v>0</v>
      </c>
      <c r="BT655" s="2045"/>
      <c r="BU655" s="2045"/>
      <c r="BV655" s="2045"/>
      <c r="BW655" s="2045"/>
      <c r="BX655" s="2045">
        <f t="shared" si="30"/>
        <v>0</v>
      </c>
      <c r="BY655" s="2045"/>
      <c r="BZ655" s="2045"/>
      <c r="CA655" s="2045"/>
      <c r="CB655" s="2045"/>
      <c r="CC655" s="2045">
        <f t="shared" si="31"/>
        <v>0</v>
      </c>
      <c r="CD655" s="2045"/>
      <c r="CE655" s="2045"/>
      <c r="CF655" s="2045"/>
      <c r="CG655" s="2045"/>
      <c r="CH655" s="2045">
        <f t="shared" si="32"/>
        <v>0</v>
      </c>
      <c r="CI655" s="2045"/>
      <c r="CJ655" s="2045"/>
      <c r="CK655" s="2045"/>
      <c r="CL655" s="2045"/>
      <c r="CM655" s="2045">
        <f t="shared" si="33"/>
        <v>0</v>
      </c>
      <c r="CN655" s="2045"/>
      <c r="CO655" s="2045"/>
      <c r="CP655" s="2045"/>
      <c r="CQ655" s="2045"/>
      <c r="CR655" s="265"/>
      <c r="CS655" s="2024">
        <f t="shared" si="34"/>
        <v>0</v>
      </c>
      <c r="CT655" s="2025"/>
      <c r="CU655" s="2025"/>
      <c r="CV655" s="2025"/>
      <c r="CW655" s="2026"/>
      <c r="CX655" s="2024">
        <f t="shared" si="35"/>
        <v>0</v>
      </c>
      <c r="CY655" s="2025"/>
      <c r="CZ655" s="2025"/>
      <c r="DA655" s="2025"/>
      <c r="DB655" s="2026"/>
      <c r="DC655" s="2024">
        <f t="shared" si="36"/>
        <v>0</v>
      </c>
      <c r="DD655" s="2025"/>
      <c r="DE655" s="2025"/>
      <c r="DF655" s="2025"/>
      <c r="DG655" s="2026"/>
      <c r="DH655" s="2024">
        <f t="shared" si="37"/>
        <v>0</v>
      </c>
      <c r="DI655" s="2025"/>
      <c r="DJ655" s="2025"/>
      <c r="DK655" s="2025"/>
      <c r="DL655" s="2026"/>
      <c r="DM655" s="2024">
        <f t="shared" si="38"/>
        <v>0</v>
      </c>
      <c r="DN655" s="2025"/>
      <c r="DO655" s="2025"/>
      <c r="DP655" s="2025"/>
      <c r="DQ655" s="2026"/>
      <c r="DR655" s="2024">
        <f t="shared" si="39"/>
        <v>0</v>
      </c>
      <c r="DS655" s="2025"/>
      <c r="DT655" s="2025"/>
      <c r="DU655" s="2025"/>
      <c r="DV655" s="2026"/>
      <c r="DX655" s="2032" t="e">
        <f t="shared" si="22"/>
        <v>#VALUE!</v>
      </c>
      <c r="DY655" s="2032"/>
      <c r="DZ655" s="2032"/>
      <c r="EA655" s="2032"/>
      <c r="EB655" s="2032"/>
      <c r="EC655" s="2032" t="e">
        <f t="shared" si="23"/>
        <v>#VALUE!</v>
      </c>
      <c r="ED655" s="2032"/>
      <c r="EE655" s="2032"/>
      <c r="EF655" s="2032"/>
      <c r="EG655" s="2032"/>
      <c r="EH655" s="2032" t="e">
        <f t="shared" si="24"/>
        <v>#VALUE!</v>
      </c>
      <c r="EI655" s="2032"/>
      <c r="EJ655" s="2032"/>
      <c r="EK655" s="2032"/>
      <c r="EL655" s="2032"/>
      <c r="EM655" s="2032" t="e">
        <f t="shared" si="25"/>
        <v>#VALUE!</v>
      </c>
      <c r="EN655" s="2032"/>
      <c r="EO655" s="2032"/>
      <c r="EP655" s="2032"/>
      <c r="EQ655" s="2032"/>
      <c r="ER655" s="2032" t="e">
        <f t="shared" si="26"/>
        <v>#VALUE!</v>
      </c>
      <c r="ES655" s="2032"/>
      <c r="ET655" s="2032"/>
      <c r="EU655" s="2032"/>
      <c r="EV655" s="2032"/>
      <c r="EW655" s="2032" t="e">
        <f t="shared" si="27"/>
        <v>#VALUE!</v>
      </c>
      <c r="EX655" s="2032"/>
      <c r="EY655" s="2032"/>
      <c r="EZ655" s="2032"/>
      <c r="FA655" s="2032"/>
    </row>
    <row r="656" spans="1:157" ht="12.75">
      <c r="A656" s="35"/>
      <c r="B656" s="12" t="s">
        <v>17</v>
      </c>
      <c r="G656" s="2030" t="s">
        <v>2608</v>
      </c>
      <c r="H656" s="2030"/>
      <c r="I656" s="2030"/>
      <c r="J656" s="2030"/>
      <c r="K656" s="2030"/>
      <c r="L656" s="2030"/>
      <c r="M656" s="2030"/>
      <c r="N656" s="2030"/>
      <c r="O656" s="2030"/>
      <c r="P656" s="2030"/>
      <c r="Q656" s="2030"/>
      <c r="R656" s="2030"/>
      <c r="S656" s="14"/>
      <c r="T656" s="35"/>
      <c r="U656" s="12" t="s">
        <v>17</v>
      </c>
      <c r="Z656" s="2262" t="s">
        <v>2579</v>
      </c>
      <c r="AA656" s="2262"/>
      <c r="AB656" s="2262"/>
      <c r="AC656" s="2262"/>
      <c r="AD656" s="2262"/>
      <c r="AE656" s="2262"/>
      <c r="AF656" s="2262"/>
      <c r="AG656" s="2262"/>
      <c r="AH656" s="2262"/>
      <c r="AI656" s="2262"/>
      <c r="AJ656" s="2262"/>
      <c r="AK656" s="2262"/>
      <c r="AZ656" s="61"/>
      <c r="BA656" s="61"/>
      <c r="BB656" s="61"/>
      <c r="BC656" s="61"/>
      <c r="BD656" s="61"/>
      <c r="BE656" s="61"/>
      <c r="BF656" s="61"/>
      <c r="BG656" s="61"/>
      <c r="BH656" s="61"/>
      <c r="BI656" s="61"/>
      <c r="BJ656" s="61"/>
      <c r="BK656" s="61"/>
      <c r="BL656" s="61"/>
      <c r="BM656" s="61"/>
      <c r="BN656" s="2024">
        <f t="shared" si="28"/>
        <v>0</v>
      </c>
      <c r="BO656" s="2025"/>
      <c r="BP656" s="2025"/>
      <c r="BQ656" s="2025"/>
      <c r="BR656" s="2026"/>
      <c r="BS656" s="2045">
        <f t="shared" si="29"/>
        <v>0</v>
      </c>
      <c r="BT656" s="2045"/>
      <c r="BU656" s="2045"/>
      <c r="BV656" s="2045"/>
      <c r="BW656" s="2045"/>
      <c r="BX656" s="2045">
        <f t="shared" si="30"/>
        <v>0</v>
      </c>
      <c r="BY656" s="2045"/>
      <c r="BZ656" s="2045"/>
      <c r="CA656" s="2045"/>
      <c r="CB656" s="2045"/>
      <c r="CC656" s="2045">
        <f t="shared" si="31"/>
        <v>0</v>
      </c>
      <c r="CD656" s="2045"/>
      <c r="CE656" s="2045"/>
      <c r="CF656" s="2045"/>
      <c r="CG656" s="2045"/>
      <c r="CH656" s="2045">
        <f t="shared" si="32"/>
        <v>0</v>
      </c>
      <c r="CI656" s="2045"/>
      <c r="CJ656" s="2045"/>
      <c r="CK656" s="2045"/>
      <c r="CL656" s="2045"/>
      <c r="CM656" s="2045">
        <f t="shared" si="33"/>
        <v>0</v>
      </c>
      <c r="CN656" s="2045"/>
      <c r="CO656" s="2045"/>
      <c r="CP656" s="2045"/>
      <c r="CQ656" s="2045"/>
      <c r="CR656" s="265"/>
      <c r="CS656" s="2024">
        <f t="shared" si="34"/>
        <v>0</v>
      </c>
      <c r="CT656" s="2025"/>
      <c r="CU656" s="2025"/>
      <c r="CV656" s="2025"/>
      <c r="CW656" s="2026"/>
      <c r="CX656" s="2024">
        <f t="shared" si="35"/>
        <v>0</v>
      </c>
      <c r="CY656" s="2025"/>
      <c r="CZ656" s="2025"/>
      <c r="DA656" s="2025"/>
      <c r="DB656" s="2026"/>
      <c r="DC656" s="2024">
        <f t="shared" si="36"/>
        <v>0</v>
      </c>
      <c r="DD656" s="2025"/>
      <c r="DE656" s="2025"/>
      <c r="DF656" s="2025"/>
      <c r="DG656" s="2026"/>
      <c r="DH656" s="2024">
        <f t="shared" si="37"/>
        <v>0</v>
      </c>
      <c r="DI656" s="2025"/>
      <c r="DJ656" s="2025"/>
      <c r="DK656" s="2025"/>
      <c r="DL656" s="2026"/>
      <c r="DM656" s="2024">
        <f t="shared" si="38"/>
        <v>0</v>
      </c>
      <c r="DN656" s="2025"/>
      <c r="DO656" s="2025"/>
      <c r="DP656" s="2025"/>
      <c r="DQ656" s="2026"/>
      <c r="DR656" s="2024">
        <f t="shared" si="39"/>
        <v>0</v>
      </c>
      <c r="DS656" s="2025"/>
      <c r="DT656" s="2025"/>
      <c r="DU656" s="2025"/>
      <c r="DV656" s="2026"/>
      <c r="DX656" s="2032" t="e">
        <f t="shared" si="22"/>
        <v>#VALUE!</v>
      </c>
      <c r="DY656" s="2032"/>
      <c r="DZ656" s="2032"/>
      <c r="EA656" s="2032"/>
      <c r="EB656" s="2032"/>
      <c r="EC656" s="2032" t="e">
        <f t="shared" si="23"/>
        <v>#VALUE!</v>
      </c>
      <c r="ED656" s="2032"/>
      <c r="EE656" s="2032"/>
      <c r="EF656" s="2032"/>
      <c r="EG656" s="2032"/>
      <c r="EH656" s="2032" t="e">
        <f t="shared" si="24"/>
        <v>#VALUE!</v>
      </c>
      <c r="EI656" s="2032"/>
      <c r="EJ656" s="2032"/>
      <c r="EK656" s="2032"/>
      <c r="EL656" s="2032"/>
      <c r="EM656" s="2032" t="e">
        <f t="shared" si="25"/>
        <v>#VALUE!</v>
      </c>
      <c r="EN656" s="2032"/>
      <c r="EO656" s="2032"/>
      <c r="EP656" s="2032"/>
      <c r="EQ656" s="2032"/>
      <c r="ER656" s="2032" t="e">
        <f t="shared" si="26"/>
        <v>#VALUE!</v>
      </c>
      <c r="ES656" s="2032"/>
      <c r="ET656" s="2032"/>
      <c r="EU656" s="2032"/>
      <c r="EV656" s="2032"/>
      <c r="EW656" s="2032" t="e">
        <f t="shared" si="27"/>
        <v>#VALUE!</v>
      </c>
      <c r="EX656" s="2032"/>
      <c r="EY656" s="2032"/>
      <c r="EZ656" s="2032"/>
      <c r="FA656" s="2032"/>
    </row>
    <row r="657" spans="1:157" ht="12.75">
      <c r="A657" s="35"/>
      <c r="B657" s="12" t="s">
        <v>327</v>
      </c>
      <c r="G657" s="2426" t="s">
        <v>2609</v>
      </c>
      <c r="H657" s="2261"/>
      <c r="I657" s="2261"/>
      <c r="J657" s="2261"/>
      <c r="K657" s="2261"/>
      <c r="L657" s="2261"/>
      <c r="O657" s="137" t="s">
        <v>212</v>
      </c>
      <c r="P657" s="2083"/>
      <c r="Q657" s="2083"/>
      <c r="R657" s="2083"/>
      <c r="S657" s="16"/>
      <c r="T657" s="35"/>
      <c r="U657" s="12" t="s">
        <v>327</v>
      </c>
      <c r="Z657" s="2426" t="s">
        <v>2490</v>
      </c>
      <c r="AA657" s="2426"/>
      <c r="AB657" s="2426"/>
      <c r="AC657" s="2426"/>
      <c r="AD657" s="2426"/>
      <c r="AE657" s="2426"/>
      <c r="AH657" s="137" t="s">
        <v>212</v>
      </c>
      <c r="AI657" s="2083"/>
      <c r="AJ657" s="2083"/>
      <c r="AK657" s="2083"/>
      <c r="AZ657" s="61"/>
      <c r="BA657" s="61"/>
      <c r="BB657" s="61"/>
      <c r="BC657" s="61"/>
      <c r="BD657" s="61"/>
      <c r="BE657" s="61"/>
      <c r="BF657" s="61"/>
      <c r="BG657" s="61"/>
      <c r="BH657" s="61"/>
      <c r="BI657" s="61"/>
      <c r="BJ657" s="61"/>
      <c r="BK657" s="61"/>
      <c r="BL657" s="61"/>
      <c r="BM657" s="61"/>
      <c r="BN657" s="2024">
        <f t="shared" si="28"/>
        <v>0</v>
      </c>
      <c r="BO657" s="2025"/>
      <c r="BP657" s="2025"/>
      <c r="BQ657" s="2025"/>
      <c r="BR657" s="2026"/>
      <c r="BS657" s="2045">
        <f t="shared" si="29"/>
        <v>0</v>
      </c>
      <c r="BT657" s="2045"/>
      <c r="BU657" s="2045"/>
      <c r="BV657" s="2045"/>
      <c r="BW657" s="2045"/>
      <c r="BX657" s="2045">
        <f t="shared" si="30"/>
        <v>0</v>
      </c>
      <c r="BY657" s="2045"/>
      <c r="BZ657" s="2045"/>
      <c r="CA657" s="2045"/>
      <c r="CB657" s="2045"/>
      <c r="CC657" s="2045">
        <f t="shared" si="31"/>
        <v>0</v>
      </c>
      <c r="CD657" s="2045"/>
      <c r="CE657" s="2045"/>
      <c r="CF657" s="2045"/>
      <c r="CG657" s="2045"/>
      <c r="CH657" s="2045">
        <f t="shared" si="32"/>
        <v>0</v>
      </c>
      <c r="CI657" s="2045"/>
      <c r="CJ657" s="2045"/>
      <c r="CK657" s="2045"/>
      <c r="CL657" s="2045"/>
      <c r="CM657" s="2045">
        <f t="shared" si="33"/>
        <v>0</v>
      </c>
      <c r="CN657" s="2045"/>
      <c r="CO657" s="2045"/>
      <c r="CP657" s="2045"/>
      <c r="CQ657" s="2045"/>
      <c r="CR657" s="265"/>
      <c r="CS657" s="2024">
        <f t="shared" si="34"/>
        <v>0</v>
      </c>
      <c r="CT657" s="2025"/>
      <c r="CU657" s="2025"/>
      <c r="CV657" s="2025"/>
      <c r="CW657" s="2026"/>
      <c r="CX657" s="2024">
        <f t="shared" si="35"/>
        <v>0</v>
      </c>
      <c r="CY657" s="2025"/>
      <c r="CZ657" s="2025"/>
      <c r="DA657" s="2025"/>
      <c r="DB657" s="2026"/>
      <c r="DC657" s="2024">
        <f t="shared" si="36"/>
        <v>0</v>
      </c>
      <c r="DD657" s="2025"/>
      <c r="DE657" s="2025"/>
      <c r="DF657" s="2025"/>
      <c r="DG657" s="2026"/>
      <c r="DH657" s="2024">
        <f t="shared" si="37"/>
        <v>0</v>
      </c>
      <c r="DI657" s="2025"/>
      <c r="DJ657" s="2025"/>
      <c r="DK657" s="2025"/>
      <c r="DL657" s="2026"/>
      <c r="DM657" s="2024">
        <f t="shared" si="38"/>
        <v>0</v>
      </c>
      <c r="DN657" s="2025"/>
      <c r="DO657" s="2025"/>
      <c r="DP657" s="2025"/>
      <c r="DQ657" s="2026"/>
      <c r="DR657" s="2024">
        <f t="shared" si="39"/>
        <v>0</v>
      </c>
      <c r="DS657" s="2025"/>
      <c r="DT657" s="2025"/>
      <c r="DU657" s="2025"/>
      <c r="DV657" s="2026"/>
      <c r="DX657" s="2032" t="e">
        <f t="shared" si="22"/>
        <v>#VALUE!</v>
      </c>
      <c r="DY657" s="2032"/>
      <c r="DZ657" s="2032"/>
      <c r="EA657" s="2032"/>
      <c r="EB657" s="2032"/>
      <c r="EC657" s="2032" t="e">
        <f t="shared" si="23"/>
        <v>#VALUE!</v>
      </c>
      <c r="ED657" s="2032"/>
      <c r="EE657" s="2032"/>
      <c r="EF657" s="2032"/>
      <c r="EG657" s="2032"/>
      <c r="EH657" s="2032" t="e">
        <f t="shared" si="24"/>
        <v>#VALUE!</v>
      </c>
      <c r="EI657" s="2032"/>
      <c r="EJ657" s="2032"/>
      <c r="EK657" s="2032"/>
      <c r="EL657" s="2032"/>
      <c r="EM657" s="2032" t="e">
        <f t="shared" si="25"/>
        <v>#VALUE!</v>
      </c>
      <c r="EN657" s="2032"/>
      <c r="EO657" s="2032"/>
      <c r="EP657" s="2032"/>
      <c r="EQ657" s="2032"/>
      <c r="ER657" s="2032" t="e">
        <f t="shared" si="26"/>
        <v>#VALUE!</v>
      </c>
      <c r="ES657" s="2032"/>
      <c r="ET657" s="2032"/>
      <c r="EU657" s="2032"/>
      <c r="EV657" s="2032"/>
      <c r="EW657" s="2032" t="e">
        <f t="shared" si="27"/>
        <v>#VALUE!</v>
      </c>
      <c r="EX657" s="2032"/>
      <c r="EY657" s="2032"/>
      <c r="EZ657" s="2032"/>
      <c r="FA657" s="2032"/>
    </row>
    <row r="658" spans="1:157" ht="12.75">
      <c r="A658" s="35"/>
      <c r="B658" s="12" t="s">
        <v>18</v>
      </c>
      <c r="H658" s="2030" t="s">
        <v>2610</v>
      </c>
      <c r="I658" s="2030"/>
      <c r="J658" s="2030"/>
      <c r="K658" s="2030"/>
      <c r="L658" s="2030"/>
      <c r="M658" s="2030"/>
      <c r="N658" s="2030"/>
      <c r="O658" s="2030"/>
      <c r="P658" s="2030"/>
      <c r="Q658" s="2030"/>
      <c r="R658" s="2030"/>
      <c r="S658" s="14"/>
      <c r="T658" s="35"/>
      <c r="U658" s="12" t="s">
        <v>18</v>
      </c>
      <c r="AA658" s="2030" t="s">
        <v>2142</v>
      </c>
      <c r="AB658" s="2030"/>
      <c r="AC658" s="2030"/>
      <c r="AD658" s="2030"/>
      <c r="AE658" s="2030"/>
      <c r="AF658" s="2030"/>
      <c r="AG658" s="2030"/>
      <c r="AH658" s="2030"/>
      <c r="AI658" s="2030"/>
      <c r="AJ658" s="2030"/>
      <c r="AK658" s="2030"/>
      <c r="AZ658" s="61"/>
      <c r="BA658" s="61"/>
      <c r="BB658" s="61"/>
      <c r="BC658" s="61"/>
      <c r="BD658" s="61"/>
      <c r="BE658" s="61"/>
      <c r="BF658" s="61"/>
      <c r="BG658" s="61"/>
      <c r="BH658" s="61"/>
      <c r="BI658" s="61"/>
      <c r="BJ658" s="61"/>
      <c r="BK658" s="61"/>
      <c r="BL658" s="61"/>
      <c r="BM658" s="61"/>
      <c r="BN658" s="2361">
        <f>SUM(BN648:BR657)</f>
        <v>0</v>
      </c>
      <c r="BO658" s="2362"/>
      <c r="BP658" s="2362"/>
      <c r="BQ658" s="2362"/>
      <c r="BR658" s="2363"/>
      <c r="BS658" s="2052">
        <f>SUM(BS648:BW657)</f>
        <v>0</v>
      </c>
      <c r="BT658" s="2053"/>
      <c r="BU658" s="2053"/>
      <c r="BV658" s="2053"/>
      <c r="BW658" s="2054"/>
      <c r="BX658" s="2052">
        <f>SUM(BX648:CB657)</f>
        <v>0</v>
      </c>
      <c r="BY658" s="2053"/>
      <c r="BZ658" s="2053"/>
      <c r="CA658" s="2053"/>
      <c r="CB658" s="2054"/>
      <c r="CC658" s="2052">
        <f>SUM(CC648:CG657)</f>
        <v>0</v>
      </c>
      <c r="CD658" s="2053"/>
      <c r="CE658" s="2053"/>
      <c r="CF658" s="2053"/>
      <c r="CG658" s="2054"/>
      <c r="CH658" s="2052">
        <f>SUM(CH648:CL657)</f>
        <v>0</v>
      </c>
      <c r="CI658" s="2053"/>
      <c r="CJ658" s="2053"/>
      <c r="CK658" s="2053"/>
      <c r="CL658" s="2054"/>
      <c r="CM658" s="2052">
        <f>SUM(CM648:CQ657)</f>
        <v>0</v>
      </c>
      <c r="CN658" s="2053"/>
      <c r="CO658" s="2053"/>
      <c r="CP658" s="2053"/>
      <c r="CQ658" s="2054"/>
      <c r="CR658" s="1823"/>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32" t="e">
        <f t="shared" si="22"/>
        <v>#VALUE!</v>
      </c>
      <c r="DY658" s="2032"/>
      <c r="DZ658" s="2032"/>
      <c r="EA658" s="2032"/>
      <c r="EB658" s="2032"/>
      <c r="EC658" s="2032" t="e">
        <f t="shared" si="23"/>
        <v>#VALUE!</v>
      </c>
      <c r="ED658" s="2032"/>
      <c r="EE658" s="2032"/>
      <c r="EF658" s="2032"/>
      <c r="EG658" s="2032"/>
      <c r="EH658" s="2032" t="e">
        <f t="shared" si="24"/>
        <v>#VALUE!</v>
      </c>
      <c r="EI658" s="2032"/>
      <c r="EJ658" s="2032"/>
      <c r="EK658" s="2032"/>
      <c r="EL658" s="2032"/>
      <c r="EM658" s="2032" t="e">
        <f t="shared" si="25"/>
        <v>#VALUE!</v>
      </c>
      <c r="EN658" s="2032"/>
      <c r="EO658" s="2032"/>
      <c r="EP658" s="2032"/>
      <c r="EQ658" s="2032"/>
      <c r="ER658" s="2032" t="e">
        <f t="shared" si="26"/>
        <v>#VALUE!</v>
      </c>
      <c r="ES658" s="2032"/>
      <c r="ET658" s="2032"/>
      <c r="EU658" s="2032"/>
      <c r="EV658" s="2032"/>
      <c r="EW658" s="2032" t="e">
        <f t="shared" si="27"/>
        <v>#VALUE!</v>
      </c>
      <c r="EX658" s="2032"/>
      <c r="EY658" s="2032"/>
      <c r="EZ658" s="2032"/>
      <c r="FA658" s="2032"/>
    </row>
    <row r="659" spans="1:157" ht="12.75">
      <c r="A659" s="35"/>
      <c r="B659" s="12" t="s">
        <v>20</v>
      </c>
      <c r="N659" s="2267" t="s">
        <v>580</v>
      </c>
      <c r="O659" s="2267"/>
      <c r="T659" s="35"/>
      <c r="U659" s="12" t="s">
        <v>20</v>
      </c>
      <c r="AG659" s="2267" t="s">
        <v>580</v>
      </c>
      <c r="AH659" s="226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2" t="e">
        <f t="shared" si="22"/>
        <v>#VALUE!</v>
      </c>
      <c r="DY659" s="2032"/>
      <c r="DZ659" s="2032"/>
      <c r="EA659" s="2032"/>
      <c r="EB659" s="2032"/>
      <c r="EC659" s="2032" t="e">
        <f t="shared" si="23"/>
        <v>#VALUE!</v>
      </c>
      <c r="ED659" s="2032"/>
      <c r="EE659" s="2032"/>
      <c r="EF659" s="2032"/>
      <c r="EG659" s="2032"/>
      <c r="EH659" s="2032" t="e">
        <f t="shared" si="24"/>
        <v>#VALUE!</v>
      </c>
      <c r="EI659" s="2032"/>
      <c r="EJ659" s="2032"/>
      <c r="EK659" s="2032"/>
      <c r="EL659" s="2032"/>
      <c r="EM659" s="2032" t="e">
        <f t="shared" si="25"/>
        <v>#VALUE!</v>
      </c>
      <c r="EN659" s="2032"/>
      <c r="EO659" s="2032"/>
      <c r="EP659" s="2032"/>
      <c r="EQ659" s="2032"/>
      <c r="ER659" s="2032" t="e">
        <f t="shared" si="26"/>
        <v>#VALUE!</v>
      </c>
      <c r="ES659" s="2032"/>
      <c r="ET659" s="2032"/>
      <c r="EU659" s="2032"/>
      <c r="EV659" s="2032"/>
      <c r="EW659" s="2032" t="e">
        <f t="shared" si="27"/>
        <v>#VALUE!</v>
      </c>
      <c r="EX659" s="2032"/>
      <c r="EY659" s="2032"/>
      <c r="EZ659" s="2032"/>
      <c r="FA659" s="2032"/>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32">
        <f>SUM(CS658:DV658)</f>
        <v>0</v>
      </c>
      <c r="DS660" s="2032"/>
      <c r="DT660" s="2032"/>
      <c r="DU660" s="2032"/>
      <c r="DV660" s="2032"/>
      <c r="DX660" s="2032" t="e">
        <f t="shared" si="22"/>
        <v>#VALUE!</v>
      </c>
      <c r="DY660" s="2032"/>
      <c r="DZ660" s="2032"/>
      <c r="EA660" s="2032"/>
      <c r="EB660" s="2032"/>
      <c r="EC660" s="2032" t="e">
        <f t="shared" si="23"/>
        <v>#VALUE!</v>
      </c>
      <c r="ED660" s="2032"/>
      <c r="EE660" s="2032"/>
      <c r="EF660" s="2032"/>
      <c r="EG660" s="2032"/>
      <c r="EH660" s="2032" t="e">
        <f t="shared" si="24"/>
        <v>#VALUE!</v>
      </c>
      <c r="EI660" s="2032"/>
      <c r="EJ660" s="2032"/>
      <c r="EK660" s="2032"/>
      <c r="EL660" s="2032"/>
      <c r="EM660" s="2032" t="e">
        <f t="shared" si="25"/>
        <v>#VALUE!</v>
      </c>
      <c r="EN660" s="2032"/>
      <c r="EO660" s="2032"/>
      <c r="EP660" s="2032"/>
      <c r="EQ660" s="2032"/>
      <c r="ER660" s="2032" t="e">
        <f t="shared" si="26"/>
        <v>#VALUE!</v>
      </c>
      <c r="ES660" s="2032"/>
      <c r="ET660" s="2032"/>
      <c r="EU660" s="2032"/>
      <c r="EV660" s="2032"/>
      <c r="EW660" s="2032" t="e">
        <f t="shared" si="27"/>
        <v>#VALUE!</v>
      </c>
      <c r="EX660" s="2032"/>
      <c r="EY660" s="2032"/>
      <c r="EZ660" s="2032"/>
      <c r="FA660" s="2032"/>
    </row>
    <row r="661" spans="1:157" ht="12.75">
      <c r="A661" s="87" t="s">
        <v>124</v>
      </c>
      <c r="B661" s="12" t="s">
        <v>498</v>
      </c>
      <c r="G661" s="2001">
        <f>C639</f>
        <v>0</v>
      </c>
      <c r="H661" s="2001"/>
      <c r="I661" s="2001"/>
      <c r="J661" s="2001"/>
      <c r="K661" s="2001"/>
      <c r="L661" s="2001"/>
      <c r="M661" s="2001"/>
      <c r="N661" s="2001"/>
      <c r="O661" s="2001"/>
      <c r="P661" s="2001"/>
      <c r="Q661" s="2001"/>
      <c r="R661" s="2001"/>
      <c r="T661" s="87" t="s">
        <v>618</v>
      </c>
      <c r="U661" s="12" t="s">
        <v>498</v>
      </c>
      <c r="Z661" s="2001">
        <f>C640</f>
        <v>0</v>
      </c>
      <c r="AA661" s="2001"/>
      <c r="AB661" s="2001"/>
      <c r="AC661" s="2001"/>
      <c r="AD661" s="2001"/>
      <c r="AE661" s="2001"/>
      <c r="AF661" s="2001"/>
      <c r="AG661" s="2001"/>
      <c r="AH661" s="2001"/>
      <c r="AI661" s="2001"/>
      <c r="AJ661" s="2001"/>
      <c r="AK661" s="2001"/>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32" t="e">
        <f t="shared" si="22"/>
        <v>#VALUE!</v>
      </c>
      <c r="DY661" s="2032"/>
      <c r="DZ661" s="2032"/>
      <c r="EA661" s="2032"/>
      <c r="EB661" s="2032"/>
      <c r="EC661" s="2032" t="e">
        <f t="shared" si="23"/>
        <v>#VALUE!</v>
      </c>
      <c r="ED661" s="2032"/>
      <c r="EE661" s="2032"/>
      <c r="EF661" s="2032"/>
      <c r="EG661" s="2032"/>
      <c r="EH661" s="2032" t="e">
        <f t="shared" si="24"/>
        <v>#VALUE!</v>
      </c>
      <c r="EI661" s="2032"/>
      <c r="EJ661" s="2032"/>
      <c r="EK661" s="2032"/>
      <c r="EL661" s="2032"/>
      <c r="EM661" s="2032" t="e">
        <f t="shared" si="25"/>
        <v>#VALUE!</v>
      </c>
      <c r="EN661" s="2032"/>
      <c r="EO661" s="2032"/>
      <c r="EP661" s="2032"/>
      <c r="EQ661" s="2032"/>
      <c r="ER661" s="2032" t="e">
        <f t="shared" si="26"/>
        <v>#VALUE!</v>
      </c>
      <c r="ES661" s="2032"/>
      <c r="ET661" s="2032"/>
      <c r="EU661" s="2032"/>
      <c r="EV661" s="2032"/>
      <c r="EW661" s="2032" t="e">
        <f t="shared" si="27"/>
        <v>#VALUE!</v>
      </c>
      <c r="EX661" s="2032"/>
      <c r="EY661" s="2032"/>
      <c r="EZ661" s="2032"/>
      <c r="FA661" s="2032"/>
    </row>
    <row r="662" spans="1:157" ht="12.75">
      <c r="A662" s="35"/>
      <c r="B662" s="12" t="s">
        <v>90</v>
      </c>
      <c r="G662" s="2030"/>
      <c r="H662" s="2030"/>
      <c r="I662" s="2030"/>
      <c r="J662" s="2030"/>
      <c r="K662" s="2030"/>
      <c r="L662" s="2030"/>
      <c r="M662" s="2030"/>
      <c r="N662" s="2030"/>
      <c r="O662" s="2030"/>
      <c r="P662" s="2030"/>
      <c r="Q662" s="2030"/>
      <c r="R662" s="2030"/>
      <c r="T662" s="35"/>
      <c r="U662" s="12" t="s">
        <v>90</v>
      </c>
      <c r="Z662" s="2030"/>
      <c r="AA662" s="2030"/>
      <c r="AB662" s="2030"/>
      <c r="AC662" s="2030"/>
      <c r="AD662" s="2030"/>
      <c r="AE662" s="2030"/>
      <c r="AF662" s="2030"/>
      <c r="AG662" s="2030"/>
      <c r="AH662" s="2030"/>
      <c r="AI662" s="2030"/>
      <c r="AJ662" s="2030"/>
      <c r="AK662" s="203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2" t="e">
        <f t="shared" si="22"/>
        <v>#VALUE!</v>
      </c>
      <c r="DY662" s="2032"/>
      <c r="DZ662" s="2032"/>
      <c r="EA662" s="2032"/>
      <c r="EB662" s="2032"/>
      <c r="EC662" s="2032" t="e">
        <f t="shared" si="23"/>
        <v>#VALUE!</v>
      </c>
      <c r="ED662" s="2032"/>
      <c r="EE662" s="2032"/>
      <c r="EF662" s="2032"/>
      <c r="EG662" s="2032"/>
      <c r="EH662" s="2032" t="e">
        <f t="shared" si="24"/>
        <v>#VALUE!</v>
      </c>
      <c r="EI662" s="2032"/>
      <c r="EJ662" s="2032"/>
      <c r="EK662" s="2032"/>
      <c r="EL662" s="2032"/>
      <c r="EM662" s="2032" t="e">
        <f t="shared" si="25"/>
        <v>#VALUE!</v>
      </c>
      <c r="EN662" s="2032"/>
      <c r="EO662" s="2032"/>
      <c r="EP662" s="2032"/>
      <c r="EQ662" s="2032"/>
      <c r="ER662" s="2032" t="e">
        <f t="shared" si="26"/>
        <v>#VALUE!</v>
      </c>
      <c r="ES662" s="2032"/>
      <c r="ET662" s="2032"/>
      <c r="EU662" s="2032"/>
      <c r="EV662" s="2032"/>
      <c r="EW662" s="2032" t="e">
        <f t="shared" si="27"/>
        <v>#VALUE!</v>
      </c>
      <c r="EX662" s="2032"/>
      <c r="EY662" s="2032"/>
      <c r="EZ662" s="2032"/>
      <c r="FA662" s="2032"/>
    </row>
    <row r="663" spans="1:157" ht="12.75">
      <c r="A663" s="35"/>
      <c r="B663" s="12" t="s">
        <v>617</v>
      </c>
      <c r="G663" s="2262"/>
      <c r="H663" s="2262"/>
      <c r="I663" s="2262"/>
      <c r="J663" s="2262"/>
      <c r="K663" s="2262"/>
      <c r="L663" s="2262"/>
      <c r="M663" s="2262"/>
      <c r="N663" s="2262"/>
      <c r="O663" s="2262"/>
      <c r="P663" s="2262"/>
      <c r="Q663" s="2262"/>
      <c r="R663" s="2262"/>
      <c r="T663" s="35"/>
      <c r="U663" s="12" t="s">
        <v>617</v>
      </c>
      <c r="Z663" s="2262"/>
      <c r="AA663" s="2262"/>
      <c r="AB663" s="2262"/>
      <c r="AC663" s="2262"/>
      <c r="AD663" s="2262"/>
      <c r="AE663" s="2262"/>
      <c r="AF663" s="2262"/>
      <c r="AG663" s="2262"/>
      <c r="AH663" s="2262"/>
      <c r="AI663" s="2262"/>
      <c r="AJ663" s="2262"/>
      <c r="AK663" s="2262"/>
      <c r="AZ663" s="61"/>
      <c r="BA663" s="61"/>
      <c r="BB663" s="61"/>
      <c r="BC663" s="61"/>
      <c r="BD663" s="61"/>
      <c r="BE663" s="61"/>
      <c r="BF663" s="61"/>
      <c r="BG663" s="61"/>
      <c r="BH663" s="61"/>
      <c r="BI663" s="61"/>
      <c r="BJ663" s="61"/>
      <c r="BK663" s="61"/>
      <c r="BL663" s="61"/>
      <c r="BM663" s="61"/>
      <c r="BN663" s="2052">
        <f>BN635+BN644+BN658</f>
        <v>0</v>
      </c>
      <c r="BO663" s="2053"/>
      <c r="BP663" s="2053"/>
      <c r="BQ663" s="2053"/>
      <c r="BR663" s="2054"/>
      <c r="BS663" s="2052">
        <f>BS635+BS644+BS658</f>
        <v>0</v>
      </c>
      <c r="BT663" s="2053"/>
      <c r="BU663" s="2053"/>
      <c r="BV663" s="2053"/>
      <c r="BW663" s="2054"/>
      <c r="BX663" s="2052">
        <f>BX635+BX644+BX658</f>
        <v>70</v>
      </c>
      <c r="BY663" s="2053"/>
      <c r="BZ663" s="2053"/>
      <c r="CA663" s="2053"/>
      <c r="CB663" s="2054"/>
      <c r="CC663" s="2052">
        <f>CC635+CC644+CC658</f>
        <v>70</v>
      </c>
      <c r="CD663" s="2053"/>
      <c r="CE663" s="2053"/>
      <c r="CF663" s="2053"/>
      <c r="CG663" s="2054"/>
      <c r="CH663" s="2052">
        <f>CH635+CH644+CH658</f>
        <v>20</v>
      </c>
      <c r="CI663" s="2053"/>
      <c r="CJ663" s="2053"/>
      <c r="CK663" s="2053"/>
      <c r="CL663" s="2054"/>
      <c r="CM663" s="2046">
        <f>CM658+CM644+CM635</f>
        <v>0</v>
      </c>
      <c r="CN663" s="2047"/>
      <c r="CO663" s="2047"/>
      <c r="CP663" s="2047"/>
      <c r="CQ663" s="2048"/>
      <c r="CR663" s="177"/>
      <c r="CS663" s="1472">
        <f>CS637+CS661</f>
        <v>427</v>
      </c>
      <c r="CT663" s="134" t="s">
        <v>2458</v>
      </c>
      <c r="CU663" s="58"/>
      <c r="CV663" s="58"/>
      <c r="CW663" s="58"/>
      <c r="CX663" s="58"/>
      <c r="CY663" s="58"/>
      <c r="CZ663" s="58"/>
      <c r="DA663" s="58"/>
      <c r="DB663" s="58"/>
      <c r="DC663" s="58"/>
      <c r="DD663" s="58"/>
      <c r="DE663" s="58"/>
      <c r="DF663" s="58"/>
      <c r="DX663" s="2032">
        <f>SUMIF(DX638:EB662,"&gt;0")</f>
        <v>0</v>
      </c>
      <c r="DY663" s="2032"/>
      <c r="DZ663" s="2032"/>
      <c r="EA663" s="2032"/>
      <c r="EB663" s="2032"/>
      <c r="EC663" s="2032">
        <f>SUMIF(EC638:EG662,"&gt;0")</f>
        <v>0</v>
      </c>
      <c r="ED663" s="2032"/>
      <c r="EE663" s="2032"/>
      <c r="EF663" s="2032"/>
      <c r="EG663" s="2032"/>
      <c r="EH663" s="2032">
        <f>SUMIF(EH638:EL662,"&gt;0")</f>
        <v>1457.6666666666665</v>
      </c>
      <c r="EI663" s="2032"/>
      <c r="EJ663" s="2032"/>
      <c r="EK663" s="2032"/>
      <c r="EL663" s="2032"/>
      <c r="EM663" s="2032">
        <f>SUMIF(EM638:EQ662,"&gt;0")</f>
        <v>1680.6014492753625</v>
      </c>
      <c r="EN663" s="2032"/>
      <c r="EO663" s="2032"/>
      <c r="EP663" s="2032"/>
      <c r="EQ663" s="2032"/>
      <c r="ER663" s="2032">
        <f>SUMIF(ER638:EV662,"&gt;0")</f>
        <v>1874.4166666666665</v>
      </c>
      <c r="ES663" s="2032"/>
      <c r="ET663" s="2032"/>
      <c r="EU663" s="2032"/>
      <c r="EV663" s="2032"/>
      <c r="EW663" s="2032">
        <f>SUMIF(EW638:FA662,"&gt;0")</f>
        <v>0</v>
      </c>
      <c r="EX663" s="2032"/>
      <c r="EY663" s="2032"/>
      <c r="EZ663" s="2032"/>
      <c r="FA663" s="2032"/>
    </row>
    <row r="664" spans="1:157" ht="12.75">
      <c r="A664" s="35"/>
      <c r="B664" s="12" t="s">
        <v>17</v>
      </c>
      <c r="G664" s="2262"/>
      <c r="H664" s="2262"/>
      <c r="I664" s="2262"/>
      <c r="J664" s="2262"/>
      <c r="K664" s="2262"/>
      <c r="L664" s="2262"/>
      <c r="M664" s="2262"/>
      <c r="N664" s="2262"/>
      <c r="O664" s="2262"/>
      <c r="P664" s="2262"/>
      <c r="Q664" s="2262"/>
      <c r="R664" s="2262"/>
      <c r="T664" s="35"/>
      <c r="U664" s="12" t="s">
        <v>17</v>
      </c>
      <c r="Z664" s="2262"/>
      <c r="AA664" s="2262"/>
      <c r="AB664" s="2262"/>
      <c r="AC664" s="2262"/>
      <c r="AD664" s="2262"/>
      <c r="AE664" s="2262"/>
      <c r="AF664" s="2262"/>
      <c r="AG664" s="2262"/>
      <c r="AH664" s="2262"/>
      <c r="AI664" s="2262"/>
      <c r="AJ664" s="2262"/>
      <c r="AK664" s="226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61"/>
      <c r="H665" s="2261"/>
      <c r="I665" s="2261"/>
      <c r="J665" s="2261"/>
      <c r="K665" s="2261"/>
      <c r="L665" s="2261"/>
      <c r="O665" s="137" t="s">
        <v>212</v>
      </c>
      <c r="P665" s="2083"/>
      <c r="Q665" s="2083"/>
      <c r="R665" s="2083"/>
      <c r="T665" s="35"/>
      <c r="U665" s="12" t="s">
        <v>327</v>
      </c>
      <c r="Z665" s="2261"/>
      <c r="AA665" s="2261"/>
      <c r="AB665" s="2261"/>
      <c r="AC665" s="2261"/>
      <c r="AD665" s="2261"/>
      <c r="AE665" s="2261"/>
      <c r="AH665" s="137" t="s">
        <v>212</v>
      </c>
      <c r="AI665" s="2083"/>
      <c r="AJ665" s="2083"/>
      <c r="AK665" s="208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0"/>
      <c r="I666" s="2030"/>
      <c r="J666" s="2030"/>
      <c r="K666" s="2030"/>
      <c r="L666" s="2030"/>
      <c r="M666" s="2030"/>
      <c r="N666" s="2030"/>
      <c r="O666" s="2030"/>
      <c r="P666" s="2030"/>
      <c r="Q666" s="2030"/>
      <c r="R666" s="2030"/>
      <c r="T666" s="35"/>
      <c r="U666" s="12" t="s">
        <v>18</v>
      </c>
      <c r="AA666" s="2030"/>
      <c r="AB666" s="2030"/>
      <c r="AC666" s="2030"/>
      <c r="AD666" s="2030"/>
      <c r="AE666" s="2030"/>
      <c r="AF666" s="2030"/>
      <c r="AG666" s="2030"/>
      <c r="AH666" s="2030"/>
      <c r="AI666" s="2030"/>
      <c r="AJ666" s="2030"/>
      <c r="AK666" s="2030"/>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267" t="s">
        <v>708</v>
      </c>
      <c r="O667" s="2267"/>
      <c r="T667" s="35"/>
      <c r="U667" s="12" t="s">
        <v>20</v>
      </c>
      <c r="AG667" s="2267" t="s">
        <v>708</v>
      </c>
      <c r="AH667" s="2267"/>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01">
        <f>C641</f>
        <v>0</v>
      </c>
      <c r="H669" s="2001"/>
      <c r="I669" s="2001"/>
      <c r="J669" s="2001"/>
      <c r="K669" s="2001"/>
      <c r="L669" s="2001"/>
      <c r="M669" s="2001"/>
      <c r="N669" s="2001"/>
      <c r="O669" s="2001"/>
      <c r="P669" s="2001"/>
      <c r="Q669" s="2001"/>
      <c r="R669" s="2001"/>
      <c r="T669" s="87" t="s">
        <v>621</v>
      </c>
      <c r="U669" s="12" t="s">
        <v>498</v>
      </c>
      <c r="Z669" s="2001">
        <f>C642</f>
        <v>0</v>
      </c>
      <c r="AA669" s="2001"/>
      <c r="AB669" s="2001"/>
      <c r="AC669" s="2001"/>
      <c r="AD669" s="2001"/>
      <c r="AE669" s="2001"/>
      <c r="AF669" s="2001"/>
      <c r="AG669" s="2001"/>
      <c r="AH669" s="2001"/>
      <c r="AI669" s="2001"/>
      <c r="AJ669" s="2001"/>
      <c r="AK669" s="2001"/>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0"/>
      <c r="H670" s="2030"/>
      <c r="I670" s="2030"/>
      <c r="J670" s="2030"/>
      <c r="K670" s="2030"/>
      <c r="L670" s="2030"/>
      <c r="M670" s="2030"/>
      <c r="N670" s="2030"/>
      <c r="O670" s="2030"/>
      <c r="P670" s="2030"/>
      <c r="Q670" s="2030"/>
      <c r="R670" s="2030"/>
      <c r="T670" s="35"/>
      <c r="U670" s="12" t="s">
        <v>90</v>
      </c>
      <c r="Z670" s="2030"/>
      <c r="AA670" s="2030"/>
      <c r="AB670" s="2030"/>
      <c r="AC670" s="2030"/>
      <c r="AD670" s="2030"/>
      <c r="AE670" s="2030"/>
      <c r="AF670" s="2030"/>
      <c r="AG670" s="2030"/>
      <c r="AH670" s="2030"/>
      <c r="AI670" s="2030"/>
      <c r="AJ670" s="2030"/>
      <c r="AK670" s="2030"/>
      <c r="AZ670" s="58"/>
      <c r="BA670" s="447">
        <f t="shared" ref="BA670:BA694" si="40">IF($G728=0,"N/A",VLOOKUP($T$189,TC_Rent,(MATCH($B728,bedrooms,FALSE))))</f>
        <v>2676</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30"/>
      <c r="H671" s="2030"/>
      <c r="I671" s="2030"/>
      <c r="J671" s="2030"/>
      <c r="K671" s="2030"/>
      <c r="L671" s="2030"/>
      <c r="M671" s="2030"/>
      <c r="N671" s="2030"/>
      <c r="O671" s="2030"/>
      <c r="P671" s="2030"/>
      <c r="Q671" s="2030"/>
      <c r="R671" s="2030"/>
      <c r="T671" s="35"/>
      <c r="U671" s="12" t="s">
        <v>617</v>
      </c>
      <c r="Z671" s="2262"/>
      <c r="AA671" s="2262"/>
      <c r="AB671" s="2262"/>
      <c r="AC671" s="2262"/>
      <c r="AD671" s="2262"/>
      <c r="AE671" s="2262"/>
      <c r="AF671" s="2262"/>
      <c r="AG671" s="2262"/>
      <c r="AH671" s="2262"/>
      <c r="AI671" s="2262"/>
      <c r="AJ671" s="2262"/>
      <c r="AK671" s="2262"/>
      <c r="AZ671" s="58"/>
      <c r="BA671" s="447">
        <f t="shared" si="40"/>
        <v>2676</v>
      </c>
      <c r="BB671" s="58"/>
      <c r="BC671" s="58"/>
      <c r="BD671" s="58"/>
      <c r="BE671" s="58"/>
      <c r="BF671" s="383"/>
      <c r="BG671" s="457">
        <f t="shared" ref="BG671:BG695" si="41">G728</f>
        <v>49</v>
      </c>
      <c r="BH671" s="461">
        <f>BG671/$BG$696</f>
        <v>0.3081761006289308</v>
      </c>
      <c r="BI671" s="462">
        <f t="shared" ref="BI671:BI695" si="42">IF(BH671=0," ",BH671*AH728)</f>
        <v>0.18490566037735848</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0"/>
      <c r="H672" s="2030"/>
      <c r="I672" s="2030"/>
      <c r="J672" s="2030"/>
      <c r="K672" s="2030"/>
      <c r="L672" s="2030"/>
      <c r="M672" s="2030"/>
      <c r="N672" s="2030"/>
      <c r="O672" s="2030"/>
      <c r="P672" s="2030"/>
      <c r="Q672" s="2030"/>
      <c r="R672" s="2030"/>
      <c r="T672" s="35"/>
      <c r="U672" s="12" t="s">
        <v>17</v>
      </c>
      <c r="Z672" s="2262"/>
      <c r="AA672" s="2262"/>
      <c r="AB672" s="2262"/>
      <c r="AC672" s="2262"/>
      <c r="AD672" s="2262"/>
      <c r="AE672" s="2262"/>
      <c r="AF672" s="2262"/>
      <c r="AG672" s="2262"/>
      <c r="AH672" s="2262"/>
      <c r="AI672" s="2262"/>
      <c r="AJ672" s="2262"/>
      <c r="AK672" s="2262"/>
      <c r="AZ672" s="58"/>
      <c r="BA672" s="447">
        <f t="shared" si="40"/>
        <v>2676</v>
      </c>
      <c r="BB672" s="58"/>
      <c r="BC672" s="58"/>
      <c r="BD672" s="58"/>
      <c r="BE672" s="58"/>
      <c r="BF672" s="383"/>
      <c r="BG672" s="458">
        <f t="shared" si="41"/>
        <v>7</v>
      </c>
      <c r="BH672" s="461">
        <f t="shared" ref="BH672:BH695" si="43">BG672/$BG$696</f>
        <v>4.40251572327044E-2</v>
      </c>
      <c r="BI672" s="462">
        <f t="shared" si="42"/>
        <v>2.20125786163522E-2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261"/>
      <c r="H673" s="2261"/>
      <c r="I673" s="2261"/>
      <c r="J673" s="2261"/>
      <c r="K673" s="2261"/>
      <c r="L673" s="2261"/>
      <c r="O673" s="137" t="s">
        <v>212</v>
      </c>
      <c r="P673" s="2083"/>
      <c r="Q673" s="2083"/>
      <c r="R673" s="2083"/>
      <c r="T673" s="35"/>
      <c r="U673" s="12" t="s">
        <v>327</v>
      </c>
      <c r="Z673" s="2261"/>
      <c r="AA673" s="2261"/>
      <c r="AB673" s="2261"/>
      <c r="AC673" s="2261"/>
      <c r="AD673" s="2261"/>
      <c r="AE673" s="2261"/>
      <c r="AH673" s="137" t="s">
        <v>212</v>
      </c>
      <c r="AI673" s="2083"/>
      <c r="AJ673" s="2083"/>
      <c r="AK673" s="2083"/>
      <c r="AZ673" s="58"/>
      <c r="BA673" s="447">
        <f t="shared" si="40"/>
        <v>3094</v>
      </c>
      <c r="BB673" s="58"/>
      <c r="BC673" s="58"/>
      <c r="BD673" s="58"/>
      <c r="BE673" s="58"/>
      <c r="BF673" s="383"/>
      <c r="BG673" s="458">
        <f t="shared" si="41"/>
        <v>7</v>
      </c>
      <c r="BH673" s="461">
        <f t="shared" si="43"/>
        <v>4.40251572327044E-2</v>
      </c>
      <c r="BI673" s="462">
        <f t="shared" si="42"/>
        <v>1.320754716981132E-2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0"/>
      <c r="I674" s="2030"/>
      <c r="J674" s="2030"/>
      <c r="K674" s="2030"/>
      <c r="L674" s="2030"/>
      <c r="M674" s="2030"/>
      <c r="N674" s="2030"/>
      <c r="O674" s="2030"/>
      <c r="P674" s="2030"/>
      <c r="Q674" s="2030"/>
      <c r="R674" s="2030"/>
      <c r="T674" s="35"/>
      <c r="U674" s="12" t="s">
        <v>18</v>
      </c>
      <c r="AA674" s="2030"/>
      <c r="AB674" s="2030"/>
      <c r="AC674" s="2030"/>
      <c r="AD674" s="2030"/>
      <c r="AE674" s="2030"/>
      <c r="AF674" s="2030"/>
      <c r="AG674" s="2030"/>
      <c r="AH674" s="2030"/>
      <c r="AI674" s="2030"/>
      <c r="AJ674" s="2030"/>
      <c r="AK674" s="2030"/>
      <c r="AZ674" s="58"/>
      <c r="BA674" s="447">
        <f t="shared" si="40"/>
        <v>3094</v>
      </c>
      <c r="BB674" s="58"/>
      <c r="BC674" s="58"/>
      <c r="BD674" s="58"/>
      <c r="BE674" s="58"/>
      <c r="BF674" s="383"/>
      <c r="BG674" s="458">
        <f t="shared" si="41"/>
        <v>48</v>
      </c>
      <c r="BH674" s="461">
        <f t="shared" si="43"/>
        <v>0.30188679245283018</v>
      </c>
      <c r="BI674" s="462">
        <f t="shared" si="42"/>
        <v>0.1811320754716981</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267" t="s">
        <v>708</v>
      </c>
      <c r="O675" s="2267"/>
      <c r="T675" s="35"/>
      <c r="U675" s="12" t="s">
        <v>20</v>
      </c>
      <c r="AG675" s="2267" t="s">
        <v>708</v>
      </c>
      <c r="AH675" s="2267"/>
      <c r="AZ675" s="58"/>
      <c r="BA675" s="447">
        <f t="shared" si="40"/>
        <v>3094</v>
      </c>
      <c r="BB675" s="58"/>
      <c r="BC675" s="58"/>
      <c r="BD675" s="58"/>
      <c r="BE675" s="58"/>
      <c r="BF675" s="383"/>
      <c r="BG675" s="458">
        <f t="shared" si="41"/>
        <v>7</v>
      </c>
      <c r="BH675" s="461">
        <f t="shared" si="43"/>
        <v>4.40251572327044E-2</v>
      </c>
      <c r="BI675" s="462">
        <f t="shared" si="42"/>
        <v>2.20125786163522E-2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3452</v>
      </c>
      <c r="BB676" s="58"/>
      <c r="BC676" s="58"/>
      <c r="BD676" s="58"/>
      <c r="BE676" s="58"/>
      <c r="BF676" s="383"/>
      <c r="BG676" s="458">
        <f t="shared" si="41"/>
        <v>7</v>
      </c>
      <c r="BH676" s="461">
        <f t="shared" si="43"/>
        <v>4.40251572327044E-2</v>
      </c>
      <c r="BI676" s="462">
        <f t="shared" si="42"/>
        <v>1.320754716981132E-2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01">
        <f>C643</f>
        <v>0</v>
      </c>
      <c r="H677" s="2001"/>
      <c r="I677" s="2001"/>
      <c r="J677" s="2001"/>
      <c r="K677" s="2001"/>
      <c r="L677" s="2001"/>
      <c r="M677" s="2001"/>
      <c r="N677" s="2001"/>
      <c r="O677" s="2001"/>
      <c r="P677" s="2001"/>
      <c r="Q677" s="2001"/>
      <c r="R677" s="2001"/>
      <c r="T677" s="87" t="s">
        <v>490</v>
      </c>
      <c r="U677" s="12" t="s">
        <v>498</v>
      </c>
      <c r="Z677" s="2001">
        <f>C644</f>
        <v>0</v>
      </c>
      <c r="AA677" s="2001"/>
      <c r="AB677" s="2001"/>
      <c r="AC677" s="2001"/>
      <c r="AD677" s="2001"/>
      <c r="AE677" s="2001"/>
      <c r="AF677" s="2001"/>
      <c r="AG677" s="2001"/>
      <c r="AH677" s="2001"/>
      <c r="AI677" s="2001"/>
      <c r="AJ677" s="2001"/>
      <c r="AK677" s="2001"/>
      <c r="AZ677" s="58"/>
      <c r="BA677" s="447">
        <f t="shared" si="40"/>
        <v>3452</v>
      </c>
      <c r="BB677" s="58"/>
      <c r="BC677" s="58"/>
      <c r="BD677" s="58"/>
      <c r="BE677" s="58"/>
      <c r="BF677" s="383"/>
      <c r="BG677" s="458">
        <f t="shared" si="41"/>
        <v>14</v>
      </c>
      <c r="BH677" s="461">
        <f t="shared" si="43"/>
        <v>8.8050314465408799E-2</v>
      </c>
      <c r="BI677" s="462">
        <f t="shared" si="42"/>
        <v>5.2830188679245278E-2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0"/>
      <c r="H678" s="2030"/>
      <c r="I678" s="2030"/>
      <c r="J678" s="2030"/>
      <c r="K678" s="2030"/>
      <c r="L678" s="2030"/>
      <c r="M678" s="2030"/>
      <c r="N678" s="2030"/>
      <c r="O678" s="2030"/>
      <c r="P678" s="2030"/>
      <c r="Q678" s="2030"/>
      <c r="R678" s="2030"/>
      <c r="T678" s="35"/>
      <c r="U678" s="12" t="s">
        <v>90</v>
      </c>
      <c r="Z678" s="2030"/>
      <c r="AA678" s="2030"/>
      <c r="AB678" s="2030"/>
      <c r="AC678" s="2030"/>
      <c r="AD678" s="2030"/>
      <c r="AE678" s="2030"/>
      <c r="AF678" s="2030"/>
      <c r="AG678" s="2030"/>
      <c r="AH678" s="2030"/>
      <c r="AI678" s="2030"/>
      <c r="AJ678" s="2030"/>
      <c r="AK678" s="2030"/>
      <c r="AZ678" s="58"/>
      <c r="BA678" s="447">
        <f t="shared" si="40"/>
        <v>3452</v>
      </c>
      <c r="BB678" s="58"/>
      <c r="BC678" s="58"/>
      <c r="BD678" s="58"/>
      <c r="BE678" s="58"/>
      <c r="BF678" s="383"/>
      <c r="BG678" s="458">
        <f t="shared" si="41"/>
        <v>2</v>
      </c>
      <c r="BH678" s="461">
        <f t="shared" si="43"/>
        <v>1.2578616352201259E-2</v>
      </c>
      <c r="BI678" s="462">
        <f t="shared" si="42"/>
        <v>6.2893081761006293E-3</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30"/>
      <c r="H679" s="2030"/>
      <c r="I679" s="2030"/>
      <c r="J679" s="2030"/>
      <c r="K679" s="2030"/>
      <c r="L679" s="2030"/>
      <c r="M679" s="2030"/>
      <c r="N679" s="2030"/>
      <c r="O679" s="2030"/>
      <c r="P679" s="2030"/>
      <c r="Q679" s="2030"/>
      <c r="R679" s="2030"/>
      <c r="T679" s="35"/>
      <c r="U679" s="12" t="s">
        <v>617</v>
      </c>
      <c r="Z679" s="2262"/>
      <c r="AA679" s="2262"/>
      <c r="AB679" s="2262"/>
      <c r="AC679" s="2262"/>
      <c r="AD679" s="2262"/>
      <c r="AE679" s="2262"/>
      <c r="AF679" s="2262"/>
      <c r="AG679" s="2262"/>
      <c r="AH679" s="2262"/>
      <c r="AI679" s="2262"/>
      <c r="AJ679" s="2262"/>
      <c r="AK679" s="2262"/>
      <c r="AZ679" s="58"/>
      <c r="BA679" s="447">
        <f t="shared" si="40"/>
        <v>2676</v>
      </c>
      <c r="BB679" s="58"/>
      <c r="BC679" s="58"/>
      <c r="BD679" s="58"/>
      <c r="BE679" s="58"/>
      <c r="BF679" s="383"/>
      <c r="BG679" s="458">
        <f t="shared" si="41"/>
        <v>2</v>
      </c>
      <c r="BH679" s="461">
        <f t="shared" si="43"/>
        <v>1.2578616352201259E-2</v>
      </c>
      <c r="BI679" s="462">
        <f t="shared" si="42"/>
        <v>3.7735849056603774E-3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0"/>
      <c r="H680" s="2030"/>
      <c r="I680" s="2030"/>
      <c r="J680" s="2030"/>
      <c r="K680" s="2030"/>
      <c r="L680" s="2030"/>
      <c r="M680" s="2030"/>
      <c r="N680" s="2030"/>
      <c r="O680" s="2030"/>
      <c r="P680" s="2030"/>
      <c r="Q680" s="2030"/>
      <c r="R680" s="2030"/>
      <c r="T680" s="35"/>
      <c r="U680" s="12" t="s">
        <v>17</v>
      </c>
      <c r="Z680" s="2262"/>
      <c r="AA680" s="2262"/>
      <c r="AB680" s="2262"/>
      <c r="AC680" s="2262"/>
      <c r="AD680" s="2262"/>
      <c r="AE680" s="2262"/>
      <c r="AF680" s="2262"/>
      <c r="AG680" s="2262"/>
      <c r="AH680" s="2262"/>
      <c r="AI680" s="2262"/>
      <c r="AJ680" s="2262"/>
      <c r="AK680" s="2262"/>
      <c r="AZ680" s="58"/>
      <c r="BA680" s="447">
        <f t="shared" si="40"/>
        <v>3094</v>
      </c>
      <c r="BB680" s="58"/>
      <c r="BC680" s="58"/>
      <c r="BD680" s="58"/>
      <c r="BE680" s="58"/>
      <c r="BF680" s="383"/>
      <c r="BG680" s="458">
        <f t="shared" si="41"/>
        <v>7</v>
      </c>
      <c r="BH680" s="461">
        <f t="shared" si="43"/>
        <v>4.40251572327044E-2</v>
      </c>
      <c r="BI680" s="462">
        <f t="shared" si="42"/>
        <v>3.0817610062893078E-2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261"/>
      <c r="H681" s="2261"/>
      <c r="I681" s="2261"/>
      <c r="J681" s="2261"/>
      <c r="K681" s="2261"/>
      <c r="L681" s="2261"/>
      <c r="O681" s="137" t="s">
        <v>212</v>
      </c>
      <c r="P681" s="2083"/>
      <c r="Q681" s="2083"/>
      <c r="R681" s="2083"/>
      <c r="T681" s="35"/>
      <c r="U681" s="12" t="s">
        <v>327</v>
      </c>
      <c r="Z681" s="2261"/>
      <c r="AA681" s="2261"/>
      <c r="AB681" s="2261"/>
      <c r="AC681" s="2261"/>
      <c r="AD681" s="2261"/>
      <c r="AE681" s="2261"/>
      <c r="AH681" s="137" t="s">
        <v>212</v>
      </c>
      <c r="AI681" s="2083"/>
      <c r="AJ681" s="2083"/>
      <c r="AK681" s="2083"/>
      <c r="AZ681" s="58"/>
      <c r="BA681" s="447">
        <f t="shared" si="40"/>
        <v>3452</v>
      </c>
      <c r="BB681" s="58"/>
      <c r="BC681" s="58"/>
      <c r="BD681" s="58"/>
      <c r="BE681" s="58"/>
      <c r="BF681" s="383"/>
      <c r="BG681" s="458">
        <f t="shared" si="41"/>
        <v>7</v>
      </c>
      <c r="BH681" s="461">
        <f t="shared" si="43"/>
        <v>4.40251572327044E-2</v>
      </c>
      <c r="BI681" s="462">
        <f t="shared" si="42"/>
        <v>3.0817610062893078E-2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0"/>
      <c r="I682" s="2030"/>
      <c r="J682" s="2030"/>
      <c r="K682" s="2030"/>
      <c r="L682" s="2030"/>
      <c r="M682" s="2030"/>
      <c r="N682" s="2030"/>
      <c r="O682" s="2030"/>
      <c r="P682" s="2030"/>
      <c r="Q682" s="2030"/>
      <c r="R682" s="2030"/>
      <c r="T682" s="35"/>
      <c r="U682" s="12" t="s">
        <v>18</v>
      </c>
      <c r="AA682" s="2030"/>
      <c r="AB682" s="2030"/>
      <c r="AC682" s="2030"/>
      <c r="AD682" s="2030"/>
      <c r="AE682" s="2030"/>
      <c r="AF682" s="2030"/>
      <c r="AG682" s="2030"/>
      <c r="AH682" s="2030"/>
      <c r="AI682" s="2030"/>
      <c r="AJ682" s="2030"/>
      <c r="AK682" s="2030"/>
      <c r="AZ682" s="58"/>
      <c r="BA682" s="447" t="str">
        <f t="shared" si="40"/>
        <v>N/A</v>
      </c>
      <c r="BB682" s="58"/>
      <c r="BC682" s="58"/>
      <c r="BD682" s="58"/>
      <c r="BE682" s="58"/>
      <c r="BF682" s="383"/>
      <c r="BG682" s="458">
        <f t="shared" si="41"/>
        <v>2</v>
      </c>
      <c r="BH682" s="461">
        <f t="shared" si="43"/>
        <v>1.2578616352201259E-2</v>
      </c>
      <c r="BI682" s="462">
        <f t="shared" si="42"/>
        <v>8.8050314465408803E-3</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267" t="s">
        <v>708</v>
      </c>
      <c r="O683" s="2267"/>
      <c r="T683" s="35"/>
      <c r="U683" s="12" t="s">
        <v>20</v>
      </c>
      <c r="AG683" s="2267" t="s">
        <v>708</v>
      </c>
      <c r="AH683" s="2267"/>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01">
        <f>C645</f>
        <v>0</v>
      </c>
      <c r="H685" s="2001"/>
      <c r="I685" s="2001"/>
      <c r="J685" s="2001"/>
      <c r="K685" s="2001"/>
      <c r="L685" s="2001"/>
      <c r="M685" s="2001"/>
      <c r="N685" s="2001"/>
      <c r="O685" s="2001"/>
      <c r="P685" s="2001"/>
      <c r="Q685" s="2001"/>
      <c r="R685" s="2001"/>
      <c r="T685" s="87" t="s">
        <v>683</v>
      </c>
      <c r="U685" s="12" t="s">
        <v>498</v>
      </c>
      <c r="Z685" s="2001">
        <f>C646</f>
        <v>0</v>
      </c>
      <c r="AA685" s="2001"/>
      <c r="AB685" s="2001"/>
      <c r="AC685" s="2001"/>
      <c r="AD685" s="2001"/>
      <c r="AE685" s="2001"/>
      <c r="AF685" s="2001"/>
      <c r="AG685" s="2001"/>
      <c r="AH685" s="2001"/>
      <c r="AI685" s="2001"/>
      <c r="AJ685" s="2001"/>
      <c r="AK685" s="200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0"/>
      <c r="H686" s="2030"/>
      <c r="I686" s="2030"/>
      <c r="J686" s="2030"/>
      <c r="K686" s="2030"/>
      <c r="L686" s="2030"/>
      <c r="M686" s="2030"/>
      <c r="N686" s="2030"/>
      <c r="O686" s="2030"/>
      <c r="P686" s="2030"/>
      <c r="Q686" s="2030"/>
      <c r="R686" s="2030"/>
      <c r="T686" s="35"/>
      <c r="U686" s="12" t="s">
        <v>90</v>
      </c>
      <c r="Z686" s="2030"/>
      <c r="AA686" s="2030"/>
      <c r="AB686" s="2030"/>
      <c r="AC686" s="2030"/>
      <c r="AD686" s="2030"/>
      <c r="AE686" s="2030"/>
      <c r="AF686" s="2030"/>
      <c r="AG686" s="2030"/>
      <c r="AH686" s="2030"/>
      <c r="AI686" s="2030"/>
      <c r="AJ686" s="2030"/>
      <c r="AK686" s="2030"/>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30"/>
      <c r="H687" s="2030"/>
      <c r="I687" s="2030"/>
      <c r="J687" s="2030"/>
      <c r="K687" s="2030"/>
      <c r="L687" s="2030"/>
      <c r="M687" s="2030"/>
      <c r="N687" s="2030"/>
      <c r="O687" s="2030"/>
      <c r="P687" s="2030"/>
      <c r="Q687" s="2030"/>
      <c r="R687" s="2030"/>
      <c r="T687" s="35"/>
      <c r="U687" s="12" t="s">
        <v>617</v>
      </c>
      <c r="Z687" s="2262"/>
      <c r="AA687" s="2262"/>
      <c r="AB687" s="2262"/>
      <c r="AC687" s="2262"/>
      <c r="AD687" s="2262"/>
      <c r="AE687" s="2262"/>
      <c r="AF687" s="2262"/>
      <c r="AG687" s="2262"/>
      <c r="AH687" s="2262"/>
      <c r="AI687" s="2262"/>
      <c r="AJ687" s="2262"/>
      <c r="AK687" s="2262"/>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0"/>
      <c r="H688" s="2030"/>
      <c r="I688" s="2030"/>
      <c r="J688" s="2030"/>
      <c r="K688" s="2030"/>
      <c r="L688" s="2030"/>
      <c r="M688" s="2030"/>
      <c r="N688" s="2030"/>
      <c r="O688" s="2030"/>
      <c r="P688" s="2030"/>
      <c r="Q688" s="2030"/>
      <c r="R688" s="2030"/>
      <c r="T688" s="35"/>
      <c r="U688" s="12" t="s">
        <v>17</v>
      </c>
      <c r="Z688" s="2262"/>
      <c r="AA688" s="2262"/>
      <c r="AB688" s="2262"/>
      <c r="AC688" s="2262"/>
      <c r="AD688" s="2262"/>
      <c r="AE688" s="2262"/>
      <c r="AF688" s="2262"/>
      <c r="AG688" s="2262"/>
      <c r="AH688" s="2262"/>
      <c r="AI688" s="2262"/>
      <c r="AJ688" s="2262"/>
      <c r="AK688" s="2262"/>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61"/>
      <c r="H689" s="2261"/>
      <c r="I689" s="2261"/>
      <c r="J689" s="2261"/>
      <c r="K689" s="2261"/>
      <c r="L689" s="2261"/>
      <c r="O689" s="137" t="s">
        <v>212</v>
      </c>
      <c r="P689" s="2083"/>
      <c r="Q689" s="2083"/>
      <c r="R689" s="2083"/>
      <c r="T689" s="35"/>
      <c r="U689" s="12" t="s">
        <v>327</v>
      </c>
      <c r="Z689" s="2261"/>
      <c r="AA689" s="2261"/>
      <c r="AB689" s="2261"/>
      <c r="AC689" s="2261"/>
      <c r="AD689" s="2261"/>
      <c r="AE689" s="2261"/>
      <c r="AH689" s="137" t="s">
        <v>212</v>
      </c>
      <c r="AI689" s="2083"/>
      <c r="AJ689" s="2083"/>
      <c r="AK689" s="2083"/>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0"/>
      <c r="I690" s="2030"/>
      <c r="J690" s="2030"/>
      <c r="K690" s="2030"/>
      <c r="L690" s="2030"/>
      <c r="M690" s="2030"/>
      <c r="N690" s="2030"/>
      <c r="O690" s="2030"/>
      <c r="P690" s="2030"/>
      <c r="Q690" s="2030"/>
      <c r="R690" s="2030"/>
      <c r="T690" s="35"/>
      <c r="U690" s="12" t="s">
        <v>18</v>
      </c>
      <c r="AA690" s="2030"/>
      <c r="AB690" s="2030"/>
      <c r="AC690" s="2030"/>
      <c r="AD690" s="2030"/>
      <c r="AE690" s="2030"/>
      <c r="AF690" s="2030"/>
      <c r="AG690" s="2030"/>
      <c r="AH690" s="2030"/>
      <c r="AI690" s="2030"/>
      <c r="AJ690" s="2030"/>
      <c r="AK690" s="2030"/>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267" t="s">
        <v>708</v>
      </c>
      <c r="O691" s="2267"/>
      <c r="T691" s="35"/>
      <c r="U691" s="12" t="s">
        <v>20</v>
      </c>
      <c r="AG691" s="2267" t="s">
        <v>708</v>
      </c>
      <c r="AH691" s="226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01">
        <f>C647</f>
        <v>0</v>
      </c>
      <c r="H693" s="2001"/>
      <c r="I693" s="2001"/>
      <c r="J693" s="2001"/>
      <c r="K693" s="2001"/>
      <c r="L693" s="2001"/>
      <c r="M693" s="2001"/>
      <c r="N693" s="2001"/>
      <c r="O693" s="2001"/>
      <c r="P693" s="2001"/>
      <c r="Q693" s="2001"/>
      <c r="R693" s="2001"/>
      <c r="T693" s="87" t="s">
        <v>375</v>
      </c>
      <c r="U693" s="12" t="s">
        <v>498</v>
      </c>
      <c r="Z693" s="2001">
        <f>C648</f>
        <v>0</v>
      </c>
      <c r="AA693" s="2001"/>
      <c r="AB693" s="2001"/>
      <c r="AC693" s="2001"/>
      <c r="AD693" s="2001"/>
      <c r="AE693" s="2001"/>
      <c r="AF693" s="2001"/>
      <c r="AG693" s="2001"/>
      <c r="AH693" s="2001"/>
      <c r="AI693" s="2001"/>
      <c r="AJ693" s="2001"/>
      <c r="AK693" s="200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0"/>
      <c r="H694" s="2030"/>
      <c r="I694" s="2030"/>
      <c r="J694" s="2030"/>
      <c r="K694" s="2030"/>
      <c r="L694" s="2030"/>
      <c r="M694" s="2030"/>
      <c r="N694" s="2030"/>
      <c r="O694" s="2030"/>
      <c r="P694" s="2030"/>
      <c r="Q694" s="2030"/>
      <c r="R694" s="2030"/>
      <c r="T694" s="35"/>
      <c r="U694" s="12" t="s">
        <v>90</v>
      </c>
      <c r="Z694" s="2030"/>
      <c r="AA694" s="2030"/>
      <c r="AB694" s="2030"/>
      <c r="AC694" s="2030"/>
      <c r="AD694" s="2030"/>
      <c r="AE694" s="2030"/>
      <c r="AF694" s="2030"/>
      <c r="AG694" s="2030"/>
      <c r="AH694" s="2030"/>
      <c r="AI694" s="2030"/>
      <c r="AJ694" s="2030"/>
      <c r="AK694" s="2030"/>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30"/>
      <c r="H695" s="2030"/>
      <c r="I695" s="2030"/>
      <c r="J695" s="2030"/>
      <c r="K695" s="2030"/>
      <c r="L695" s="2030"/>
      <c r="M695" s="2030"/>
      <c r="N695" s="2030"/>
      <c r="O695" s="2030"/>
      <c r="P695" s="2030"/>
      <c r="Q695" s="2030"/>
      <c r="R695" s="2030"/>
      <c r="U695" s="12" t="s">
        <v>617</v>
      </c>
      <c r="Z695" s="2262"/>
      <c r="AA695" s="2262"/>
      <c r="AB695" s="2262"/>
      <c r="AC695" s="2262"/>
      <c r="AD695" s="2262"/>
      <c r="AE695" s="2262"/>
      <c r="AF695" s="2262"/>
      <c r="AG695" s="2262"/>
      <c r="AH695" s="2262"/>
      <c r="AI695" s="2262"/>
      <c r="AJ695" s="2262"/>
      <c r="AK695" s="2262"/>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0"/>
      <c r="H696" s="2030"/>
      <c r="I696" s="2030"/>
      <c r="J696" s="2030"/>
      <c r="K696" s="2030"/>
      <c r="L696" s="2030"/>
      <c r="M696" s="2030"/>
      <c r="N696" s="2030"/>
      <c r="O696" s="2030"/>
      <c r="P696" s="2030"/>
      <c r="Q696" s="2030"/>
      <c r="R696" s="2030"/>
      <c r="U696" s="12" t="s">
        <v>17</v>
      </c>
      <c r="Z696" s="2262"/>
      <c r="AA696" s="2262"/>
      <c r="AB696" s="2262"/>
      <c r="AC696" s="2262"/>
      <c r="AD696" s="2262"/>
      <c r="AE696" s="2262"/>
      <c r="AF696" s="2262"/>
      <c r="AG696" s="2262"/>
      <c r="AH696" s="2262"/>
      <c r="AI696" s="2262"/>
      <c r="AJ696" s="2262"/>
      <c r="AK696" s="2262"/>
      <c r="AZ696" s="58"/>
      <c r="BA696" s="58"/>
      <c r="BB696" s="58"/>
      <c r="BC696" s="58"/>
      <c r="BD696" s="58"/>
      <c r="BF696" s="454" t="s">
        <v>972</v>
      </c>
      <c r="BG696" s="463">
        <f>SUM(BG671:BG695)</f>
        <v>159</v>
      </c>
      <c r="BH696" s="464">
        <f>SUM(BH671:BH695)</f>
        <v>0.99999999999999989</v>
      </c>
      <c r="BI696" s="464">
        <f>SUM(BI671:BI695)</f>
        <v>0.56981132075471697</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61"/>
      <c r="H697" s="2261"/>
      <c r="I697" s="2261"/>
      <c r="J697" s="2261"/>
      <c r="K697" s="2261"/>
      <c r="L697" s="2261"/>
      <c r="O697" s="137" t="s">
        <v>212</v>
      </c>
      <c r="P697" s="2083"/>
      <c r="Q697" s="2083"/>
      <c r="R697" s="2083"/>
      <c r="U697" s="12" t="s">
        <v>327</v>
      </c>
      <c r="Z697" s="2261"/>
      <c r="AA697" s="2261"/>
      <c r="AB697" s="2261"/>
      <c r="AC697" s="2261"/>
      <c r="AD697" s="2261"/>
      <c r="AE697" s="2261"/>
      <c r="AH697" s="137" t="s">
        <v>212</v>
      </c>
      <c r="AI697" s="2083"/>
      <c r="AJ697" s="2083"/>
      <c r="AK697" s="2083"/>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0"/>
      <c r="I698" s="2030"/>
      <c r="J698" s="2030"/>
      <c r="K698" s="2030"/>
      <c r="L698" s="2030"/>
      <c r="M698" s="2030"/>
      <c r="N698" s="2030"/>
      <c r="O698" s="2030"/>
      <c r="P698" s="2030"/>
      <c r="Q698" s="2030"/>
      <c r="R698" s="2030"/>
      <c r="U698" s="12" t="s">
        <v>18</v>
      </c>
      <c r="AA698" s="2030"/>
      <c r="AB698" s="2030"/>
      <c r="AC698" s="2030"/>
      <c r="AD698" s="2030"/>
      <c r="AE698" s="2030"/>
      <c r="AF698" s="2030"/>
      <c r="AG698" s="2030"/>
      <c r="AH698" s="2030"/>
      <c r="AI698" s="2030"/>
      <c r="AJ698" s="2030"/>
      <c r="AK698" s="203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267" t="s">
        <v>708</v>
      </c>
      <c r="O699" s="2267"/>
      <c r="U699" s="12" t="s">
        <v>20</v>
      </c>
      <c r="AG699" s="2267" t="s">
        <v>708</v>
      </c>
      <c r="AH699" s="226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267" t="s">
        <v>580</v>
      </c>
      <c r="AF703" s="226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49</v>
      </c>
      <c r="BH703" s="461">
        <f>BG703/$BG$728</f>
        <v>0.3081761006289308</v>
      </c>
      <c r="BI703" s="462">
        <f t="shared" ref="BI703:BI727" si="45">IF(BH703=0," ",BH703*AM728)</f>
        <v>0.18495172556429854</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267" t="s">
        <v>708</v>
      </c>
      <c r="AF704" s="226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7</v>
      </c>
      <c r="BH704" s="461">
        <f t="shared" ref="BH704:BH727" si="46">BG704/$BG$728</f>
        <v>4.40251572327044E-2</v>
      </c>
      <c r="BI704" s="462">
        <f t="shared" si="45"/>
        <v>2.20125786163522E-2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3">
        <v>44231</v>
      </c>
      <c r="AF705" s="2353"/>
      <c r="AG705" s="2353"/>
      <c r="AH705" s="2353"/>
      <c r="AI705" s="235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7</v>
      </c>
      <c r="BH705" s="461">
        <f t="shared" si="46"/>
        <v>4.40251572327044E-2</v>
      </c>
      <c r="BI705" s="462">
        <f t="shared" si="45"/>
        <v>1.3210837540307038E-2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0">
        <v>44314</v>
      </c>
      <c r="AF706" s="2360"/>
      <c r="AG706" s="2360"/>
      <c r="AH706" s="2360"/>
      <c r="AI706" s="236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48</v>
      </c>
      <c r="BH706" s="461">
        <f t="shared" si="46"/>
        <v>0.30188679245283018</v>
      </c>
      <c r="BI706" s="462">
        <f t="shared" si="45"/>
        <v>0.18119061848251636</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7</v>
      </c>
      <c r="BH707" s="461">
        <f t="shared" si="46"/>
        <v>4.40251572327044E-2</v>
      </c>
      <c r="BI707" s="462">
        <f t="shared" si="45"/>
        <v>2.20125786163522E-2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3">
        <v>44484</v>
      </c>
      <c r="AF708" s="2353"/>
      <c r="AG708" s="2353"/>
      <c r="AH708" s="2353"/>
      <c r="AI708" s="235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7</v>
      </c>
      <c r="BH708" s="461">
        <f t="shared" si="46"/>
        <v>4.40251572327044E-2</v>
      </c>
      <c r="BI708" s="462">
        <f t="shared" si="45"/>
        <v>1.3204701329007654E-2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63">
        <f>35000000/('Sources and Uses Budget'!C4+'Sources and Uses Budget'!S105)</f>
        <v>0.53822965256630051</v>
      </c>
      <c r="AF709" s="2263"/>
      <c r="AG709" s="2263"/>
      <c r="AH709" s="2263"/>
      <c r="AI709" s="22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14</v>
      </c>
      <c r="BH709" s="461">
        <f t="shared" si="46"/>
        <v>8.8050314465408799E-2</v>
      </c>
      <c r="BI709" s="462">
        <f t="shared" si="45"/>
        <v>5.2825087270527697E-2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1" t="str">
        <f>H334</f>
        <v>CSCDA</v>
      </c>
      <c r="X710" s="2001"/>
      <c r="Y710" s="2001"/>
      <c r="Z710" s="2001"/>
      <c r="AA710" s="2001"/>
      <c r="AB710" s="2001"/>
      <c r="AC710" s="2001"/>
      <c r="AD710" s="2001"/>
      <c r="AE710" s="2001"/>
      <c r="AF710" s="2001"/>
      <c r="AG710" s="2001"/>
      <c r="AH710" s="2001"/>
      <c r="AI710" s="2001"/>
      <c r="AJ710" s="2001"/>
      <c r="AK710" s="200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2</v>
      </c>
      <c r="BH710" s="461">
        <f t="shared" si="46"/>
        <v>1.2578616352201259E-2</v>
      </c>
      <c r="BI710" s="462">
        <f t="shared" si="45"/>
        <v>6.2893081761006293E-3</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2</v>
      </c>
      <c r="BH711" s="461">
        <f t="shared" si="46"/>
        <v>1.2578616352201259E-2</v>
      </c>
      <c r="BI711" s="462">
        <f t="shared" si="45"/>
        <v>3.7713985876385585E-3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267" t="s">
        <v>708</v>
      </c>
      <c r="AF712" s="226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7</v>
      </c>
      <c r="BH712" s="461">
        <f t="shared" si="46"/>
        <v>4.40251572327044E-2</v>
      </c>
      <c r="BI712" s="462">
        <f t="shared" si="45"/>
        <v>3.0825287594049757E-2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30"/>
      <c r="X713" s="2030"/>
      <c r="Y713" s="2030"/>
      <c r="Z713" s="2030"/>
      <c r="AA713" s="2030"/>
      <c r="AB713" s="2030"/>
      <c r="AC713" s="2030"/>
      <c r="AD713" s="2030"/>
      <c r="AE713" s="2030"/>
      <c r="AF713" s="2030"/>
      <c r="AG713" s="2030"/>
      <c r="AH713" s="2030"/>
      <c r="AI713" s="2030"/>
      <c r="AJ713" s="2030"/>
      <c r="AK713" s="203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7</v>
      </c>
      <c r="BH713" s="461">
        <f t="shared" si="46"/>
        <v>4.40251572327044E-2</v>
      </c>
      <c r="BI713" s="462">
        <f t="shared" si="45"/>
        <v>3.0813341301687579E-2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0"/>
      <c r="K714" s="2030"/>
      <c r="L714" s="2030"/>
      <c r="M714" s="2030"/>
      <c r="N714" s="2030"/>
      <c r="O714" s="2030"/>
      <c r="P714" s="2030"/>
      <c r="Q714" s="2030"/>
      <c r="R714" s="2030"/>
      <c r="S714" s="2030"/>
      <c r="T714" s="2030"/>
      <c r="U714" s="2030"/>
      <c r="V714" s="2030"/>
      <c r="W714" s="2030"/>
      <c r="X714" s="203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2</v>
      </c>
      <c r="BH714" s="461">
        <f t="shared" si="46"/>
        <v>1.2578616352201259E-2</v>
      </c>
      <c r="BI714" s="462">
        <f t="shared" si="45"/>
        <v>8.8041812117546168E-3</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61"/>
      <c r="K715" s="2261"/>
      <c r="L715" s="2261"/>
      <c r="M715" s="2261"/>
      <c r="N715" s="2261"/>
      <c r="O715" s="2261"/>
      <c r="P715" s="7" t="s">
        <v>212</v>
      </c>
      <c r="Q715" s="7"/>
      <c r="R715" s="2083"/>
      <c r="S715" s="2083"/>
      <c r="T715" s="208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30" t="s">
        <v>318</v>
      </c>
      <c r="X716" s="2030"/>
      <c r="Y716" s="2030"/>
      <c r="Z716" s="2030"/>
      <c r="AA716" s="2030"/>
      <c r="AB716" s="2030"/>
      <c r="AC716" s="2030"/>
      <c r="AD716" s="2030"/>
      <c r="AE716" s="2030"/>
      <c r="AF716" s="2030"/>
      <c r="AG716" s="2030"/>
      <c r="AH716" s="2030"/>
      <c r="AI716" s="2030"/>
      <c r="AJ716" s="2030"/>
      <c r="AK716" s="203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0" t="s">
        <v>345</v>
      </c>
      <c r="F717" s="2030"/>
      <c r="G717" s="2030"/>
      <c r="H717" s="2030"/>
      <c r="I717" s="2030"/>
      <c r="J717" s="2030"/>
      <c r="K717" s="2030"/>
      <c r="L717" s="2030"/>
      <c r="M717" s="2030"/>
      <c r="N717" s="2030"/>
      <c r="O717" s="2030"/>
      <c r="P717" s="2030"/>
      <c r="Q717" s="2030"/>
      <c r="R717" s="2030"/>
      <c r="S717" s="2030"/>
      <c r="T717" s="2030"/>
      <c r="U717" s="2030"/>
      <c r="V717" s="2030"/>
      <c r="W717" s="2030"/>
      <c r="X717" s="2030"/>
      <c r="Y717" s="2030"/>
      <c r="Z717" s="2030"/>
      <c r="AA717" s="2030"/>
      <c r="AB717" s="2030"/>
      <c r="AC717" s="2030"/>
      <c r="AD717" s="2030"/>
      <c r="AE717" s="2030"/>
      <c r="AF717" s="2030"/>
      <c r="AG717" s="2030"/>
      <c r="AH717" s="2030"/>
      <c r="AI717" s="2030"/>
      <c r="AJ717" s="2030"/>
      <c r="AK717" s="203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8" t="s">
        <v>100</v>
      </c>
      <c r="B719" s="1848"/>
      <c r="C719" s="1848"/>
      <c r="D719" s="1848"/>
      <c r="E719" s="1848"/>
      <c r="F719" s="1848"/>
      <c r="G719" s="1848"/>
      <c r="H719" s="1848"/>
      <c r="I719" s="1848"/>
      <c r="J719" s="1848"/>
      <c r="K719" s="1848"/>
      <c r="L719" s="1848"/>
      <c r="M719" s="1848"/>
      <c r="N719" s="1848"/>
      <c r="O719" s="1848"/>
      <c r="P719" s="1848"/>
      <c r="Q719" s="1848"/>
      <c r="R719" s="1848"/>
      <c r="S719" s="1848"/>
      <c r="T719" s="1848"/>
      <c r="U719" s="1848"/>
      <c r="V719" s="1848"/>
      <c r="W719" s="1848"/>
      <c r="X719" s="1848"/>
      <c r="Y719" s="1848"/>
      <c r="Z719" s="1848"/>
      <c r="AA719" s="1848"/>
      <c r="AB719" s="1848"/>
      <c r="AC719" s="1848"/>
      <c r="AD719" s="1848"/>
      <c r="AE719" s="1848"/>
      <c r="AF719" s="1848"/>
      <c r="AG719" s="1848"/>
      <c r="AH719" s="1848"/>
      <c r="AI719" s="1848"/>
      <c r="AJ719" s="1848"/>
      <c r="AK719" s="1848"/>
      <c r="AL719" s="1848"/>
      <c r="AM719" s="1848"/>
      <c r="AN719" s="1848"/>
      <c r="AO719" s="184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8"/>
      <c r="B720" s="1848"/>
      <c r="C720" s="1848"/>
      <c r="D720" s="1848"/>
      <c r="E720" s="1848"/>
      <c r="F720" s="1848"/>
      <c r="G720" s="1848"/>
      <c r="H720" s="1848"/>
      <c r="I720" s="1848"/>
      <c r="J720" s="1848"/>
      <c r="K720" s="1848"/>
      <c r="L720" s="1848"/>
      <c r="M720" s="1848"/>
      <c r="N720" s="1848"/>
      <c r="O720" s="1848"/>
      <c r="P720" s="1848"/>
      <c r="Q720" s="1848"/>
      <c r="R720" s="1848"/>
      <c r="S720" s="1848"/>
      <c r="T720" s="1848"/>
      <c r="U720" s="1848"/>
      <c r="V720" s="1848"/>
      <c r="W720" s="1848"/>
      <c r="X720" s="1848"/>
      <c r="Y720" s="1848"/>
      <c r="Z720" s="1848"/>
      <c r="AA720" s="1848"/>
      <c r="AB720" s="1848"/>
      <c r="AC720" s="1848"/>
      <c r="AD720" s="1848"/>
      <c r="AE720" s="1848"/>
      <c r="AF720" s="1848"/>
      <c r="AG720" s="1848"/>
      <c r="AH720" s="1848"/>
      <c r="AI720" s="1848"/>
      <c r="AJ720" s="1848"/>
      <c r="AK720" s="1848"/>
      <c r="AL720" s="1848"/>
      <c r="AM720" s="1848"/>
      <c r="AN720" s="1848"/>
      <c r="AO720" s="184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8"/>
      <c r="B721" s="1848"/>
      <c r="C721" s="1848"/>
      <c r="D721" s="1848"/>
      <c r="E721" s="1848"/>
      <c r="F721" s="1848"/>
      <c r="G721" s="1848"/>
      <c r="H721" s="1848"/>
      <c r="I721" s="1848"/>
      <c r="J721" s="1848"/>
      <c r="K721" s="1848"/>
      <c r="L721" s="1848"/>
      <c r="M721" s="1848"/>
      <c r="N721" s="1848"/>
      <c r="O721" s="1848"/>
      <c r="P721" s="1848"/>
      <c r="Q721" s="1848"/>
      <c r="R721" s="1848"/>
      <c r="S721" s="1848"/>
      <c r="T721" s="1848"/>
      <c r="U721" s="1848"/>
      <c r="V721" s="1848"/>
      <c r="W721" s="1848"/>
      <c r="X721" s="1848"/>
      <c r="Y721" s="1848"/>
      <c r="Z721" s="1848"/>
      <c r="AA721" s="1848"/>
      <c r="AB721" s="1848"/>
      <c r="AC721" s="1848"/>
      <c r="AD721" s="1848"/>
      <c r="AE721" s="1848"/>
      <c r="AF721" s="1848"/>
      <c r="AG721" s="1848"/>
      <c r="AH721" s="1848"/>
      <c r="AI721" s="1848"/>
      <c r="AJ721" s="1848"/>
      <c r="AK721" s="1848"/>
      <c r="AL721" s="1848"/>
      <c r="AM721" s="1848"/>
      <c r="AN721" s="1848"/>
      <c r="AO721" s="184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8" t="s">
        <v>409</v>
      </c>
      <c r="C724" s="2229"/>
      <c r="D724" s="2229"/>
      <c r="E724" s="2229"/>
      <c r="F724" s="2230"/>
      <c r="G724" s="2228" t="s">
        <v>293</v>
      </c>
      <c r="H724" s="2229"/>
      <c r="I724" s="2229"/>
      <c r="J724" s="2230"/>
      <c r="K724" s="2354" t="s">
        <v>2172</v>
      </c>
      <c r="L724" s="2355"/>
      <c r="M724" s="2355"/>
      <c r="N724" s="2356"/>
      <c r="O724" s="2228" t="s">
        <v>480</v>
      </c>
      <c r="P724" s="2229"/>
      <c r="Q724" s="2229"/>
      <c r="R724" s="2229"/>
      <c r="S724" s="2230"/>
      <c r="T724" s="2228" t="s">
        <v>294</v>
      </c>
      <c r="U724" s="2229"/>
      <c r="V724" s="2229"/>
      <c r="W724" s="2229"/>
      <c r="X724" s="2230"/>
      <c r="Y724" s="2228" t="s">
        <v>295</v>
      </c>
      <c r="Z724" s="2229"/>
      <c r="AA724" s="2229"/>
      <c r="AB724" s="2230"/>
      <c r="AC724" s="2228" t="s">
        <v>296</v>
      </c>
      <c r="AD724" s="2229"/>
      <c r="AE724" s="2229"/>
      <c r="AF724" s="2229"/>
      <c r="AG724" s="2230"/>
      <c r="AH724" s="2228" t="s">
        <v>410</v>
      </c>
      <c r="AI724" s="2229"/>
      <c r="AJ724" s="2229"/>
      <c r="AK724" s="2229"/>
      <c r="AL724" s="2230"/>
      <c r="AM724" s="2228" t="s">
        <v>684</v>
      </c>
      <c r="AN724" s="2229"/>
      <c r="AO724" s="223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1"/>
      <c r="C725" s="2232"/>
      <c r="D725" s="2232"/>
      <c r="E725" s="2232"/>
      <c r="F725" s="2233"/>
      <c r="G725" s="2231"/>
      <c r="H725" s="2232"/>
      <c r="I725" s="2232"/>
      <c r="J725" s="2233"/>
      <c r="K725" s="2357"/>
      <c r="L725" s="2358"/>
      <c r="M725" s="2358"/>
      <c r="N725" s="2359"/>
      <c r="O725" s="2231"/>
      <c r="P725" s="2232"/>
      <c r="Q725" s="2232"/>
      <c r="R725" s="2232"/>
      <c r="S725" s="2233"/>
      <c r="T725" s="2231"/>
      <c r="U725" s="2232"/>
      <c r="V725" s="2232"/>
      <c r="W725" s="2232"/>
      <c r="X725" s="2233"/>
      <c r="Y725" s="2231"/>
      <c r="Z725" s="2232"/>
      <c r="AA725" s="2232"/>
      <c r="AB725" s="2233"/>
      <c r="AC725" s="2231"/>
      <c r="AD725" s="2232"/>
      <c r="AE725" s="2232"/>
      <c r="AF725" s="2232"/>
      <c r="AG725" s="2233"/>
      <c r="AH725" s="2231"/>
      <c r="AI725" s="2232"/>
      <c r="AJ725" s="2232"/>
      <c r="AK725" s="2232"/>
      <c r="AL725" s="2233"/>
      <c r="AM725" s="2231"/>
      <c r="AN725" s="2232"/>
      <c r="AO725" s="223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1"/>
      <c r="C726" s="2232"/>
      <c r="D726" s="2232"/>
      <c r="E726" s="2232"/>
      <c r="F726" s="2233"/>
      <c r="G726" s="2231"/>
      <c r="H726" s="2232"/>
      <c r="I726" s="2232"/>
      <c r="J726" s="2233"/>
      <c r="K726" s="2357"/>
      <c r="L726" s="2358"/>
      <c r="M726" s="2358"/>
      <c r="N726" s="2359"/>
      <c r="O726" s="2231"/>
      <c r="P726" s="2232"/>
      <c r="Q726" s="2232"/>
      <c r="R726" s="2232"/>
      <c r="S726" s="2233"/>
      <c r="T726" s="2231"/>
      <c r="U726" s="2232"/>
      <c r="V726" s="2232"/>
      <c r="W726" s="2232"/>
      <c r="X726" s="2233"/>
      <c r="Y726" s="2231"/>
      <c r="Z726" s="2232"/>
      <c r="AA726" s="2232"/>
      <c r="AB726" s="2233"/>
      <c r="AC726" s="2231"/>
      <c r="AD726" s="2232"/>
      <c r="AE726" s="2232"/>
      <c r="AF726" s="2232"/>
      <c r="AG726" s="2233"/>
      <c r="AH726" s="2231"/>
      <c r="AI726" s="2232"/>
      <c r="AJ726" s="2232"/>
      <c r="AK726" s="2232"/>
      <c r="AL726" s="2233"/>
      <c r="AM726" s="2231"/>
      <c r="AN726" s="2232"/>
      <c r="AO726" s="223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4"/>
      <c r="C727" s="2235"/>
      <c r="D727" s="2235"/>
      <c r="E727" s="2235"/>
      <c r="F727" s="2236"/>
      <c r="G727" s="2234"/>
      <c r="H727" s="2235"/>
      <c r="I727" s="2235"/>
      <c r="J727" s="2236"/>
      <c r="K727" s="2357"/>
      <c r="L727" s="2358"/>
      <c r="M727" s="2358"/>
      <c r="N727" s="2359"/>
      <c r="O727" s="2234"/>
      <c r="P727" s="2235"/>
      <c r="Q727" s="2235"/>
      <c r="R727" s="2235"/>
      <c r="S727" s="2236"/>
      <c r="T727" s="2234"/>
      <c r="U727" s="2235"/>
      <c r="V727" s="2235"/>
      <c r="W727" s="2235"/>
      <c r="X727" s="2236"/>
      <c r="Y727" s="2234"/>
      <c r="Z727" s="2235"/>
      <c r="AA727" s="2235"/>
      <c r="AB727" s="2236"/>
      <c r="AC727" s="2234"/>
      <c r="AD727" s="2235"/>
      <c r="AE727" s="2235"/>
      <c r="AF727" s="2235"/>
      <c r="AG727" s="2236"/>
      <c r="AH727" s="2234"/>
      <c r="AI727" s="2235"/>
      <c r="AJ727" s="2235"/>
      <c r="AK727" s="2235"/>
      <c r="AL727" s="2236"/>
      <c r="AM727" s="2234"/>
      <c r="AN727" s="2235"/>
      <c r="AO727" s="2236"/>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78" t="s">
        <v>168</v>
      </c>
      <c r="C728" s="2279"/>
      <c r="D728" s="2279"/>
      <c r="E728" s="2279"/>
      <c r="F728" s="2280"/>
      <c r="G728" s="2264">
        <f>56-G737</f>
        <v>49</v>
      </c>
      <c r="H728" s="2265"/>
      <c r="I728" s="2265"/>
      <c r="J728" s="2266"/>
      <c r="K728" s="2240">
        <v>995</v>
      </c>
      <c r="L728" s="2241"/>
      <c r="M728" s="2241"/>
      <c r="N728" s="2242"/>
      <c r="O728" s="2258">
        <v>1538</v>
      </c>
      <c r="P728" s="2259"/>
      <c r="Q728" s="2259"/>
      <c r="R728" s="2259"/>
      <c r="S728" s="2260"/>
      <c r="T728" s="2039">
        <f t="shared" ref="T728:T752" si="47">G728*O728</f>
        <v>75362</v>
      </c>
      <c r="U728" s="2040"/>
      <c r="V728" s="2040"/>
      <c r="W728" s="2040"/>
      <c r="X728" s="2041"/>
      <c r="Y728" s="2258">
        <v>68</v>
      </c>
      <c r="Z728" s="2259"/>
      <c r="AA728" s="2259"/>
      <c r="AB728" s="2260"/>
      <c r="AC728" s="2039">
        <f t="shared" ref="AC728:AC752" si="48">O728+Y728</f>
        <v>1606</v>
      </c>
      <c r="AD728" s="2040"/>
      <c r="AE728" s="2040"/>
      <c r="AF728" s="2040"/>
      <c r="AG728" s="2041"/>
      <c r="AH728" s="2042">
        <v>0.6</v>
      </c>
      <c r="AI728" s="2043"/>
      <c r="AJ728" s="2043"/>
      <c r="AK728" s="2043"/>
      <c r="AL728" s="2044"/>
      <c r="AM728" s="2033">
        <f t="shared" ref="AM728:AM752" si="49">IF($AH728&gt;0,($AC728/$BA670), " ")</f>
        <v>0.60014947683109121</v>
      </c>
      <c r="AN728" s="2034"/>
      <c r="AO728" s="2035"/>
      <c r="AP728" s="239"/>
      <c r="AQ728" s="239"/>
      <c r="AR728" s="239"/>
      <c r="AS728" s="239"/>
      <c r="AT728" s="239"/>
      <c r="AU728" s="239"/>
      <c r="AV728" s="239"/>
      <c r="AW728" s="239"/>
      <c r="AX728" s="239"/>
      <c r="AY728" s="239"/>
      <c r="AZ728" s="58"/>
      <c r="BA728" s="58"/>
      <c r="BB728" s="58"/>
      <c r="BC728" s="58"/>
      <c r="BD728" s="58"/>
      <c r="BE728" s="58"/>
      <c r="BF728" s="58"/>
      <c r="BG728" s="1422">
        <f>SUM(BG703:BG727)</f>
        <v>159</v>
      </c>
      <c r="BH728" s="464">
        <f>SUM(BH703:BH727)</f>
        <v>0.99999999999999989</v>
      </c>
      <c r="BI728" s="464">
        <f>SUM(BI703:BI727)</f>
        <v>0.56991164429059282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78" t="s">
        <v>168</v>
      </c>
      <c r="C729" s="2279"/>
      <c r="D729" s="2279"/>
      <c r="E729" s="2279"/>
      <c r="F729" s="2280"/>
      <c r="G729" s="2264">
        <v>7</v>
      </c>
      <c r="H729" s="2265"/>
      <c r="I729" s="2265"/>
      <c r="J729" s="2266"/>
      <c r="K729" s="2240">
        <v>995</v>
      </c>
      <c r="L729" s="2241"/>
      <c r="M729" s="2241"/>
      <c r="N729" s="2242"/>
      <c r="O729" s="2258">
        <v>1270</v>
      </c>
      <c r="P729" s="2259"/>
      <c r="Q729" s="2259"/>
      <c r="R729" s="2259"/>
      <c r="S729" s="2260"/>
      <c r="T729" s="2039">
        <f t="shared" si="47"/>
        <v>8890</v>
      </c>
      <c r="U729" s="2040"/>
      <c r="V729" s="2040"/>
      <c r="W729" s="2040"/>
      <c r="X729" s="2041"/>
      <c r="Y729" s="2258">
        <v>68</v>
      </c>
      <c r="Z729" s="2259"/>
      <c r="AA729" s="2259"/>
      <c r="AB729" s="2260"/>
      <c r="AC729" s="2039">
        <f t="shared" si="48"/>
        <v>1338</v>
      </c>
      <c r="AD729" s="2040"/>
      <c r="AE729" s="2040"/>
      <c r="AF729" s="2040"/>
      <c r="AG729" s="2041"/>
      <c r="AH729" s="2042">
        <v>0.5</v>
      </c>
      <c r="AI729" s="2043"/>
      <c r="AJ729" s="2043"/>
      <c r="AK729" s="2043"/>
      <c r="AL729" s="2044"/>
      <c r="AM729" s="2033">
        <f t="shared" si="49"/>
        <v>0.5</v>
      </c>
      <c r="AN729" s="2034"/>
      <c r="AO729" s="203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78" t="s">
        <v>168</v>
      </c>
      <c r="C730" s="2279"/>
      <c r="D730" s="2279"/>
      <c r="E730" s="2279"/>
      <c r="F730" s="2280"/>
      <c r="G730" s="2264">
        <v>7</v>
      </c>
      <c r="H730" s="2265"/>
      <c r="I730" s="2265"/>
      <c r="J730" s="2266"/>
      <c r="K730" s="2240">
        <v>995</v>
      </c>
      <c r="L730" s="2241"/>
      <c r="M730" s="2241"/>
      <c r="N730" s="2242"/>
      <c r="O730" s="2258">
        <v>735</v>
      </c>
      <c r="P730" s="2259"/>
      <c r="Q730" s="2259"/>
      <c r="R730" s="2259"/>
      <c r="S730" s="2260"/>
      <c r="T730" s="2039">
        <f t="shared" si="47"/>
        <v>5145</v>
      </c>
      <c r="U730" s="2040"/>
      <c r="V730" s="2040"/>
      <c r="W730" s="2040"/>
      <c r="X730" s="2041"/>
      <c r="Y730" s="2258">
        <v>68</v>
      </c>
      <c r="Z730" s="2259"/>
      <c r="AA730" s="2259"/>
      <c r="AB730" s="2260"/>
      <c r="AC730" s="2039">
        <f t="shared" si="48"/>
        <v>803</v>
      </c>
      <c r="AD730" s="2040"/>
      <c r="AE730" s="2040"/>
      <c r="AF730" s="2040"/>
      <c r="AG730" s="2041"/>
      <c r="AH730" s="2042">
        <v>0.3</v>
      </c>
      <c r="AI730" s="2043"/>
      <c r="AJ730" s="2043"/>
      <c r="AK730" s="2043"/>
      <c r="AL730" s="2044"/>
      <c r="AM730" s="2033">
        <f t="shared" si="49"/>
        <v>0.30007473841554561</v>
      </c>
      <c r="AN730" s="2034"/>
      <c r="AO730" s="203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78" t="s">
        <v>169</v>
      </c>
      <c r="C731" s="2279"/>
      <c r="D731" s="2279"/>
      <c r="E731" s="2279"/>
      <c r="F731" s="2280"/>
      <c r="G731" s="2264">
        <f>55-G738</f>
        <v>48</v>
      </c>
      <c r="H731" s="2265"/>
      <c r="I731" s="2265"/>
      <c r="J731" s="2266"/>
      <c r="K731" s="2240">
        <v>1098</v>
      </c>
      <c r="L731" s="2241"/>
      <c r="M731" s="2241"/>
      <c r="N731" s="2242"/>
      <c r="O731" s="2258">
        <v>1775</v>
      </c>
      <c r="P731" s="2259"/>
      <c r="Q731" s="2259"/>
      <c r="R731" s="2259"/>
      <c r="S731" s="2260"/>
      <c r="T731" s="2039">
        <f t="shared" si="47"/>
        <v>85200</v>
      </c>
      <c r="U731" s="2040"/>
      <c r="V731" s="2040"/>
      <c r="W731" s="2040"/>
      <c r="X731" s="2041"/>
      <c r="Y731" s="2258">
        <v>82</v>
      </c>
      <c r="Z731" s="2259"/>
      <c r="AA731" s="2259"/>
      <c r="AB731" s="2260"/>
      <c r="AC731" s="2039">
        <f t="shared" si="48"/>
        <v>1857</v>
      </c>
      <c r="AD731" s="2040"/>
      <c r="AE731" s="2040"/>
      <c r="AF731" s="2040"/>
      <c r="AG731" s="2041"/>
      <c r="AH731" s="2042">
        <v>0.6</v>
      </c>
      <c r="AI731" s="2043"/>
      <c r="AJ731" s="2043"/>
      <c r="AK731" s="2043"/>
      <c r="AL731" s="2044"/>
      <c r="AM731" s="2033">
        <f t="shared" si="49"/>
        <v>0.60019392372333547</v>
      </c>
      <c r="AN731" s="2034"/>
      <c r="AO731" s="203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78" t="s">
        <v>169</v>
      </c>
      <c r="C732" s="2279"/>
      <c r="D732" s="2279"/>
      <c r="E732" s="2279"/>
      <c r="F732" s="2280"/>
      <c r="G732" s="2264">
        <v>7</v>
      </c>
      <c r="H732" s="2265"/>
      <c r="I732" s="2265"/>
      <c r="J732" s="2266"/>
      <c r="K732" s="2240">
        <v>1098</v>
      </c>
      <c r="L732" s="2241"/>
      <c r="M732" s="2241"/>
      <c r="N732" s="2242"/>
      <c r="O732" s="2258">
        <v>1465</v>
      </c>
      <c r="P732" s="2259"/>
      <c r="Q732" s="2259"/>
      <c r="R732" s="2259"/>
      <c r="S732" s="2260"/>
      <c r="T732" s="2039">
        <f t="shared" si="47"/>
        <v>10255</v>
      </c>
      <c r="U732" s="2040"/>
      <c r="V732" s="2040"/>
      <c r="W732" s="2040"/>
      <c r="X732" s="2041"/>
      <c r="Y732" s="2258">
        <v>82</v>
      </c>
      <c r="Z732" s="2259"/>
      <c r="AA732" s="2259"/>
      <c r="AB732" s="2260"/>
      <c r="AC732" s="2039">
        <f t="shared" si="48"/>
        <v>1547</v>
      </c>
      <c r="AD732" s="2040"/>
      <c r="AE732" s="2040"/>
      <c r="AF732" s="2040"/>
      <c r="AG732" s="2041"/>
      <c r="AH732" s="2042">
        <v>0.5</v>
      </c>
      <c r="AI732" s="2043"/>
      <c r="AJ732" s="2043"/>
      <c r="AK732" s="2043"/>
      <c r="AL732" s="2044"/>
      <c r="AM732" s="2033">
        <f t="shared" si="49"/>
        <v>0.5</v>
      </c>
      <c r="AN732" s="2034"/>
      <c r="AO732" s="203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78" t="s">
        <v>169</v>
      </c>
      <c r="C733" s="2279"/>
      <c r="D733" s="2279"/>
      <c r="E733" s="2279"/>
      <c r="F733" s="2280"/>
      <c r="G733" s="2264">
        <v>7</v>
      </c>
      <c r="H733" s="2265"/>
      <c r="I733" s="2265"/>
      <c r="J733" s="2266"/>
      <c r="K733" s="2240">
        <v>1098</v>
      </c>
      <c r="L733" s="2241"/>
      <c r="M733" s="2241"/>
      <c r="N733" s="2242"/>
      <c r="O733" s="2258">
        <v>846</v>
      </c>
      <c r="P733" s="2259"/>
      <c r="Q733" s="2259"/>
      <c r="R733" s="2259"/>
      <c r="S733" s="2260"/>
      <c r="T733" s="2039">
        <f t="shared" si="47"/>
        <v>5922</v>
      </c>
      <c r="U733" s="2040"/>
      <c r="V733" s="2040"/>
      <c r="W733" s="2040"/>
      <c r="X733" s="2041"/>
      <c r="Y733" s="2258">
        <v>82</v>
      </c>
      <c r="Z733" s="2259"/>
      <c r="AA733" s="2259"/>
      <c r="AB733" s="2260"/>
      <c r="AC733" s="2039">
        <f t="shared" si="48"/>
        <v>928</v>
      </c>
      <c r="AD733" s="2040"/>
      <c r="AE733" s="2040"/>
      <c r="AF733" s="2040"/>
      <c r="AG733" s="2041"/>
      <c r="AH733" s="2042">
        <v>0.3</v>
      </c>
      <c r="AI733" s="2043"/>
      <c r="AJ733" s="2043"/>
      <c r="AK733" s="2043"/>
      <c r="AL733" s="2044"/>
      <c r="AM733" s="2033">
        <f t="shared" si="49"/>
        <v>0.29993535875888816</v>
      </c>
      <c r="AN733" s="2034"/>
      <c r="AO733" s="203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78" t="s">
        <v>170</v>
      </c>
      <c r="C734" s="2279"/>
      <c r="D734" s="2279"/>
      <c r="E734" s="2279"/>
      <c r="F734" s="2280"/>
      <c r="G734" s="2264">
        <f>16-G739</f>
        <v>14</v>
      </c>
      <c r="H734" s="2265"/>
      <c r="I734" s="2265"/>
      <c r="J734" s="2266"/>
      <c r="K734" s="2240">
        <v>1240</v>
      </c>
      <c r="L734" s="2241"/>
      <c r="M734" s="2241"/>
      <c r="N734" s="2242"/>
      <c r="O734" s="2258">
        <v>1978</v>
      </c>
      <c r="P734" s="2259"/>
      <c r="Q734" s="2259"/>
      <c r="R734" s="2259"/>
      <c r="S734" s="2260"/>
      <c r="T734" s="2039">
        <f t="shared" si="47"/>
        <v>27692</v>
      </c>
      <c r="U734" s="2040"/>
      <c r="V734" s="2040"/>
      <c r="W734" s="2040"/>
      <c r="X734" s="2041"/>
      <c r="Y734" s="2258">
        <v>93</v>
      </c>
      <c r="Z734" s="2259"/>
      <c r="AA734" s="2259"/>
      <c r="AB734" s="2260"/>
      <c r="AC734" s="2039">
        <f t="shared" si="48"/>
        <v>2071</v>
      </c>
      <c r="AD734" s="2040"/>
      <c r="AE734" s="2040"/>
      <c r="AF734" s="2040"/>
      <c r="AG734" s="2041"/>
      <c r="AH734" s="2042">
        <v>0.6</v>
      </c>
      <c r="AI734" s="2043"/>
      <c r="AJ734" s="2043"/>
      <c r="AK734" s="2043"/>
      <c r="AL734" s="2044"/>
      <c r="AM734" s="2033">
        <f t="shared" si="49"/>
        <v>0.59994206257242177</v>
      </c>
      <c r="AN734" s="2034"/>
      <c r="AO734" s="203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78" t="s">
        <v>170</v>
      </c>
      <c r="C735" s="2279"/>
      <c r="D735" s="2279"/>
      <c r="E735" s="2279"/>
      <c r="F735" s="2280"/>
      <c r="G735" s="2264">
        <v>2</v>
      </c>
      <c r="H735" s="2265"/>
      <c r="I735" s="2265"/>
      <c r="J735" s="2266"/>
      <c r="K735" s="2240">
        <v>1240</v>
      </c>
      <c r="L735" s="2241"/>
      <c r="M735" s="2241"/>
      <c r="N735" s="2242"/>
      <c r="O735" s="2258">
        <v>1633</v>
      </c>
      <c r="P735" s="2259"/>
      <c r="Q735" s="2259"/>
      <c r="R735" s="2259"/>
      <c r="S735" s="2260"/>
      <c r="T735" s="2039">
        <f t="shared" si="47"/>
        <v>3266</v>
      </c>
      <c r="U735" s="2040"/>
      <c r="V735" s="2040"/>
      <c r="W735" s="2040"/>
      <c r="X735" s="2041"/>
      <c r="Y735" s="2258">
        <v>93</v>
      </c>
      <c r="Z735" s="2259"/>
      <c r="AA735" s="2259"/>
      <c r="AB735" s="2260"/>
      <c r="AC735" s="2039">
        <f t="shared" si="48"/>
        <v>1726</v>
      </c>
      <c r="AD735" s="2040"/>
      <c r="AE735" s="2040"/>
      <c r="AF735" s="2040"/>
      <c r="AG735" s="2041"/>
      <c r="AH735" s="2042">
        <v>0.5</v>
      </c>
      <c r="AI735" s="2043"/>
      <c r="AJ735" s="2043"/>
      <c r="AK735" s="2043"/>
      <c r="AL735" s="2044"/>
      <c r="AM735" s="2033">
        <f t="shared" si="49"/>
        <v>0.5</v>
      </c>
      <c r="AN735" s="2034"/>
      <c r="AO735" s="203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78" t="s">
        <v>170</v>
      </c>
      <c r="C736" s="2279"/>
      <c r="D736" s="2279"/>
      <c r="E736" s="2279"/>
      <c r="F736" s="2280"/>
      <c r="G736" s="2264">
        <v>2</v>
      </c>
      <c r="H736" s="2265"/>
      <c r="I736" s="2265"/>
      <c r="J736" s="2266"/>
      <c r="K736" s="2240">
        <v>1240</v>
      </c>
      <c r="L736" s="2241"/>
      <c r="M736" s="2241"/>
      <c r="N736" s="2242"/>
      <c r="O736" s="2258">
        <v>942</v>
      </c>
      <c r="P736" s="2259"/>
      <c r="Q736" s="2259"/>
      <c r="R736" s="2259"/>
      <c r="S736" s="2260"/>
      <c r="T736" s="2039">
        <f t="shared" si="47"/>
        <v>1884</v>
      </c>
      <c r="U736" s="2040"/>
      <c r="V736" s="2040"/>
      <c r="W736" s="2040"/>
      <c r="X736" s="2041"/>
      <c r="Y736" s="2258">
        <v>93</v>
      </c>
      <c r="Z736" s="2259"/>
      <c r="AA736" s="2259"/>
      <c r="AB736" s="2260"/>
      <c r="AC736" s="2039">
        <f t="shared" si="48"/>
        <v>1035</v>
      </c>
      <c r="AD736" s="2040"/>
      <c r="AE736" s="2040"/>
      <c r="AF736" s="2040"/>
      <c r="AG736" s="2041"/>
      <c r="AH736" s="2042">
        <v>0.3</v>
      </c>
      <c r="AI736" s="2043"/>
      <c r="AJ736" s="2043"/>
      <c r="AK736" s="2043"/>
      <c r="AL736" s="2044"/>
      <c r="AM736" s="2033">
        <f t="shared" si="49"/>
        <v>0.29982618771726538</v>
      </c>
      <c r="AN736" s="2034"/>
      <c r="AO736" s="203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9" t="s">
        <v>168</v>
      </c>
      <c r="C737" s="2220"/>
      <c r="D737" s="2220"/>
      <c r="E737" s="2220"/>
      <c r="F737" s="2221"/>
      <c r="G737" s="2247">
        <v>7</v>
      </c>
      <c r="H737" s="2248"/>
      <c r="I737" s="2248"/>
      <c r="J737" s="2249"/>
      <c r="K737" s="2240">
        <v>995</v>
      </c>
      <c r="L737" s="2241"/>
      <c r="M737" s="2241"/>
      <c r="N737" s="2242"/>
      <c r="O737" s="2222">
        <f>AC728*7/6-Y737</f>
        <v>1805.6666666666667</v>
      </c>
      <c r="P737" s="2223"/>
      <c r="Q737" s="2223"/>
      <c r="R737" s="2223"/>
      <c r="S737" s="2224"/>
      <c r="T737" s="2039">
        <f t="shared" si="47"/>
        <v>12639.666666666668</v>
      </c>
      <c r="U737" s="2040"/>
      <c r="V737" s="2040"/>
      <c r="W737" s="2040"/>
      <c r="X737" s="2041"/>
      <c r="Y737" s="2222">
        <v>68</v>
      </c>
      <c r="Z737" s="2223"/>
      <c r="AA737" s="2223"/>
      <c r="AB737" s="2224"/>
      <c r="AC737" s="2039">
        <f t="shared" si="48"/>
        <v>1873.6666666666667</v>
      </c>
      <c r="AD737" s="2040"/>
      <c r="AE737" s="2040"/>
      <c r="AF737" s="2040"/>
      <c r="AG737" s="2041"/>
      <c r="AH737" s="2049">
        <v>0.7</v>
      </c>
      <c r="AI737" s="2050"/>
      <c r="AJ737" s="2050"/>
      <c r="AK737" s="2050"/>
      <c r="AL737" s="2051"/>
      <c r="AM737" s="2033">
        <f t="shared" si="49"/>
        <v>0.7001743896362731</v>
      </c>
      <c r="AN737" s="2034"/>
      <c r="AO737" s="203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9" t="s">
        <v>169</v>
      </c>
      <c r="C738" s="2220"/>
      <c r="D738" s="2220"/>
      <c r="E738" s="2220"/>
      <c r="F738" s="2221"/>
      <c r="G738" s="2247">
        <v>7</v>
      </c>
      <c r="H738" s="2248"/>
      <c r="I738" s="2248"/>
      <c r="J738" s="2249"/>
      <c r="K738" s="2240">
        <v>1098</v>
      </c>
      <c r="L738" s="2241"/>
      <c r="M738" s="2241"/>
      <c r="N738" s="2242"/>
      <c r="O738" s="2222">
        <f>AC731*7/6-Y738-1</f>
        <v>2083.5</v>
      </c>
      <c r="P738" s="2223"/>
      <c r="Q738" s="2223"/>
      <c r="R738" s="2223"/>
      <c r="S738" s="2224"/>
      <c r="T738" s="2039">
        <f t="shared" si="47"/>
        <v>14584.5</v>
      </c>
      <c r="U738" s="2040"/>
      <c r="V738" s="2040"/>
      <c r="W738" s="2040"/>
      <c r="X738" s="2041"/>
      <c r="Y738" s="2222">
        <v>82</v>
      </c>
      <c r="Z738" s="2223"/>
      <c r="AA738" s="2223"/>
      <c r="AB738" s="2224"/>
      <c r="AC738" s="2039">
        <f t="shared" si="48"/>
        <v>2165.5</v>
      </c>
      <c r="AD738" s="2040"/>
      <c r="AE738" s="2040"/>
      <c r="AF738" s="2040"/>
      <c r="AG738" s="2041"/>
      <c r="AH738" s="2049">
        <v>0.7</v>
      </c>
      <c r="AI738" s="2050"/>
      <c r="AJ738" s="2050"/>
      <c r="AK738" s="2050"/>
      <c r="AL738" s="2051"/>
      <c r="AM738" s="2033">
        <f t="shared" si="49"/>
        <v>0.69990303813833221</v>
      </c>
      <c r="AN738" s="2034"/>
      <c r="AO738" s="203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9" t="s">
        <v>170</v>
      </c>
      <c r="C739" s="2220"/>
      <c r="D739" s="2220"/>
      <c r="E739" s="2220"/>
      <c r="F739" s="2221"/>
      <c r="G739" s="2247">
        <v>2</v>
      </c>
      <c r="H739" s="2248"/>
      <c r="I739" s="2248"/>
      <c r="J739" s="2249"/>
      <c r="K739" s="2240">
        <v>1240</v>
      </c>
      <c r="L739" s="2241"/>
      <c r="M739" s="2241"/>
      <c r="N739" s="2242"/>
      <c r="O739" s="2222">
        <f>AC734*7/6-Y739</f>
        <v>2323.1666666666665</v>
      </c>
      <c r="P739" s="2223"/>
      <c r="Q739" s="2223"/>
      <c r="R739" s="2223"/>
      <c r="S739" s="2224"/>
      <c r="T739" s="2039">
        <f t="shared" si="47"/>
        <v>4646.333333333333</v>
      </c>
      <c r="U739" s="2040"/>
      <c r="V739" s="2040"/>
      <c r="W739" s="2040"/>
      <c r="X739" s="2041"/>
      <c r="Y739" s="2222">
        <v>93</v>
      </c>
      <c r="Z739" s="2223"/>
      <c r="AA739" s="2223"/>
      <c r="AB739" s="2224"/>
      <c r="AC739" s="2039">
        <f t="shared" si="48"/>
        <v>2416.1666666666665</v>
      </c>
      <c r="AD739" s="2040"/>
      <c r="AE739" s="2040"/>
      <c r="AF739" s="2040"/>
      <c r="AG739" s="2041"/>
      <c r="AH739" s="2049">
        <v>0.7</v>
      </c>
      <c r="AI739" s="2050"/>
      <c r="AJ739" s="2050"/>
      <c r="AK739" s="2050"/>
      <c r="AL739" s="2051"/>
      <c r="AM739" s="2033">
        <f t="shared" si="49"/>
        <v>0.69993240633449205</v>
      </c>
      <c r="AN739" s="2034"/>
      <c r="AO739" s="203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9"/>
      <c r="C740" s="2220"/>
      <c r="D740" s="2220"/>
      <c r="E740" s="2220"/>
      <c r="F740" s="2221"/>
      <c r="G740" s="2247"/>
      <c r="H740" s="2248"/>
      <c r="I740" s="2248"/>
      <c r="J740" s="2249"/>
      <c r="K740" s="2240"/>
      <c r="L740" s="2241"/>
      <c r="M740" s="2241"/>
      <c r="N740" s="2242"/>
      <c r="O740" s="2222"/>
      <c r="P740" s="2223"/>
      <c r="Q740" s="2223"/>
      <c r="R740" s="2223"/>
      <c r="S740" s="2224"/>
      <c r="T740" s="2039">
        <f t="shared" si="47"/>
        <v>0</v>
      </c>
      <c r="U740" s="2040"/>
      <c r="V740" s="2040"/>
      <c r="W740" s="2040"/>
      <c r="X740" s="2041"/>
      <c r="Y740" s="2222">
        <v>0</v>
      </c>
      <c r="Z740" s="2223"/>
      <c r="AA740" s="2223"/>
      <c r="AB740" s="2224"/>
      <c r="AC740" s="2039">
        <f t="shared" si="48"/>
        <v>0</v>
      </c>
      <c r="AD740" s="2040"/>
      <c r="AE740" s="2040"/>
      <c r="AF740" s="2040"/>
      <c r="AG740" s="2041"/>
      <c r="AH740" s="2049">
        <v>0</v>
      </c>
      <c r="AI740" s="2050"/>
      <c r="AJ740" s="2050"/>
      <c r="AK740" s="2050"/>
      <c r="AL740" s="2051"/>
      <c r="AM740" s="2033" t="str">
        <f t="shared" si="49"/>
        <v xml:space="preserve"> </v>
      </c>
      <c r="AN740" s="2034"/>
      <c r="AO740" s="203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9"/>
      <c r="C741" s="2220"/>
      <c r="D741" s="2220"/>
      <c r="E741" s="2220"/>
      <c r="F741" s="2221"/>
      <c r="G741" s="2247"/>
      <c r="H741" s="2248"/>
      <c r="I741" s="2248"/>
      <c r="J741" s="2249"/>
      <c r="K741" s="2240"/>
      <c r="L741" s="2241"/>
      <c r="M741" s="2241"/>
      <c r="N741" s="2242"/>
      <c r="O741" s="2222"/>
      <c r="P741" s="2223"/>
      <c r="Q741" s="2223"/>
      <c r="R741" s="2223"/>
      <c r="S741" s="2224"/>
      <c r="T741" s="2039">
        <f t="shared" si="47"/>
        <v>0</v>
      </c>
      <c r="U741" s="2040"/>
      <c r="V741" s="2040"/>
      <c r="W741" s="2040"/>
      <c r="X741" s="2041"/>
      <c r="Y741" s="2222">
        <v>0</v>
      </c>
      <c r="Z741" s="2223"/>
      <c r="AA741" s="2223"/>
      <c r="AB741" s="2224"/>
      <c r="AC741" s="2039">
        <f t="shared" si="48"/>
        <v>0</v>
      </c>
      <c r="AD741" s="2040"/>
      <c r="AE741" s="2040"/>
      <c r="AF741" s="2040"/>
      <c r="AG741" s="2041"/>
      <c r="AH741" s="2049">
        <v>0</v>
      </c>
      <c r="AI741" s="2050"/>
      <c r="AJ741" s="2050"/>
      <c r="AK741" s="2050"/>
      <c r="AL741" s="2051"/>
      <c r="AM741" s="2033" t="str">
        <f t="shared" si="49"/>
        <v xml:space="preserve"> </v>
      </c>
      <c r="AN741" s="2034"/>
      <c r="AO741" s="203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9"/>
      <c r="C742" s="2220"/>
      <c r="D742" s="2220"/>
      <c r="E742" s="2220"/>
      <c r="F742" s="2221"/>
      <c r="G742" s="2247"/>
      <c r="H742" s="2248"/>
      <c r="I742" s="2248"/>
      <c r="J742" s="2249"/>
      <c r="K742" s="2240"/>
      <c r="L742" s="2241"/>
      <c r="M742" s="2241"/>
      <c r="N742" s="2242"/>
      <c r="O742" s="2222"/>
      <c r="P742" s="2223"/>
      <c r="Q742" s="2223"/>
      <c r="R742" s="2223"/>
      <c r="S742" s="2224"/>
      <c r="T742" s="2039">
        <f t="shared" si="47"/>
        <v>0</v>
      </c>
      <c r="U742" s="2040"/>
      <c r="V742" s="2040"/>
      <c r="W742" s="2040"/>
      <c r="X742" s="2041"/>
      <c r="Y742" s="2222">
        <v>0</v>
      </c>
      <c r="Z742" s="2223"/>
      <c r="AA742" s="2223"/>
      <c r="AB742" s="2224"/>
      <c r="AC742" s="2039">
        <f t="shared" si="48"/>
        <v>0</v>
      </c>
      <c r="AD742" s="2040"/>
      <c r="AE742" s="2040"/>
      <c r="AF742" s="2040"/>
      <c r="AG742" s="2041"/>
      <c r="AH742" s="2049">
        <v>0</v>
      </c>
      <c r="AI742" s="2050"/>
      <c r="AJ742" s="2050"/>
      <c r="AK742" s="2050"/>
      <c r="AL742" s="2051"/>
      <c r="AM742" s="2033" t="str">
        <f t="shared" si="49"/>
        <v xml:space="preserve"> </v>
      </c>
      <c r="AN742" s="2034"/>
      <c r="AO742" s="203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9"/>
      <c r="C743" s="2220"/>
      <c r="D743" s="2220"/>
      <c r="E743" s="2220"/>
      <c r="F743" s="2221"/>
      <c r="G743" s="2247"/>
      <c r="H743" s="2248"/>
      <c r="I743" s="2248"/>
      <c r="J743" s="2249"/>
      <c r="K743" s="2240"/>
      <c r="L743" s="2241"/>
      <c r="M743" s="2241"/>
      <c r="N743" s="2242"/>
      <c r="O743" s="2222"/>
      <c r="P743" s="2223"/>
      <c r="Q743" s="2223"/>
      <c r="R743" s="2223"/>
      <c r="S743" s="2224"/>
      <c r="T743" s="2039">
        <f t="shared" si="47"/>
        <v>0</v>
      </c>
      <c r="U743" s="2040"/>
      <c r="V743" s="2040"/>
      <c r="W743" s="2040"/>
      <c r="X743" s="2041"/>
      <c r="Y743" s="2222">
        <v>0</v>
      </c>
      <c r="Z743" s="2223"/>
      <c r="AA743" s="2223"/>
      <c r="AB743" s="2224"/>
      <c r="AC743" s="2039">
        <f t="shared" si="48"/>
        <v>0</v>
      </c>
      <c r="AD743" s="2040"/>
      <c r="AE743" s="2040"/>
      <c r="AF743" s="2040"/>
      <c r="AG743" s="2041"/>
      <c r="AH743" s="2049">
        <v>0</v>
      </c>
      <c r="AI743" s="2050"/>
      <c r="AJ743" s="2050"/>
      <c r="AK743" s="2050"/>
      <c r="AL743" s="2051"/>
      <c r="AM743" s="2033" t="str">
        <f t="shared" si="49"/>
        <v xml:space="preserve"> </v>
      </c>
      <c r="AN743" s="2034"/>
      <c r="AO743" s="203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9"/>
      <c r="C744" s="2220"/>
      <c r="D744" s="2220"/>
      <c r="E744" s="2220"/>
      <c r="F744" s="2221"/>
      <c r="G744" s="2247"/>
      <c r="H744" s="2248"/>
      <c r="I744" s="2248"/>
      <c r="J744" s="2249"/>
      <c r="K744" s="2240"/>
      <c r="L744" s="2241"/>
      <c r="M744" s="2241"/>
      <c r="N744" s="2242"/>
      <c r="O744" s="2222"/>
      <c r="P744" s="2223"/>
      <c r="Q744" s="2223"/>
      <c r="R744" s="2223"/>
      <c r="S744" s="2224"/>
      <c r="T744" s="2039">
        <f t="shared" si="47"/>
        <v>0</v>
      </c>
      <c r="U744" s="2040"/>
      <c r="V744" s="2040"/>
      <c r="W744" s="2040"/>
      <c r="X744" s="2041"/>
      <c r="Y744" s="2222">
        <v>0</v>
      </c>
      <c r="Z744" s="2223"/>
      <c r="AA744" s="2223"/>
      <c r="AB744" s="2224"/>
      <c r="AC744" s="2039">
        <f t="shared" si="48"/>
        <v>0</v>
      </c>
      <c r="AD744" s="2040"/>
      <c r="AE744" s="2040"/>
      <c r="AF744" s="2040"/>
      <c r="AG744" s="2041"/>
      <c r="AH744" s="2049">
        <v>0</v>
      </c>
      <c r="AI744" s="2050"/>
      <c r="AJ744" s="2050"/>
      <c r="AK744" s="2050"/>
      <c r="AL744" s="2051"/>
      <c r="AM744" s="2033" t="str">
        <f t="shared" si="49"/>
        <v xml:space="preserve"> </v>
      </c>
      <c r="AN744" s="2034"/>
      <c r="AO744" s="203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9"/>
      <c r="C745" s="2220"/>
      <c r="D745" s="2220"/>
      <c r="E745" s="2220"/>
      <c r="F745" s="2221"/>
      <c r="G745" s="2247"/>
      <c r="H745" s="2248"/>
      <c r="I745" s="2248"/>
      <c r="J745" s="2249"/>
      <c r="K745" s="2240"/>
      <c r="L745" s="2241"/>
      <c r="M745" s="2241"/>
      <c r="N745" s="2242"/>
      <c r="O745" s="2222"/>
      <c r="P745" s="2223"/>
      <c r="Q745" s="2223"/>
      <c r="R745" s="2223"/>
      <c r="S745" s="2224"/>
      <c r="T745" s="2039">
        <f t="shared" si="47"/>
        <v>0</v>
      </c>
      <c r="U745" s="2040"/>
      <c r="V745" s="2040"/>
      <c r="W745" s="2040"/>
      <c r="X745" s="2041"/>
      <c r="Y745" s="2222">
        <v>0</v>
      </c>
      <c r="Z745" s="2223"/>
      <c r="AA745" s="2223"/>
      <c r="AB745" s="2224"/>
      <c r="AC745" s="2039">
        <f t="shared" si="48"/>
        <v>0</v>
      </c>
      <c r="AD745" s="2040"/>
      <c r="AE745" s="2040"/>
      <c r="AF745" s="2040"/>
      <c r="AG745" s="2041"/>
      <c r="AH745" s="2049">
        <v>0</v>
      </c>
      <c r="AI745" s="2050"/>
      <c r="AJ745" s="2050"/>
      <c r="AK745" s="2050"/>
      <c r="AL745" s="2051"/>
      <c r="AM745" s="2033" t="str">
        <f t="shared" si="49"/>
        <v xml:space="preserve"> </v>
      </c>
      <c r="AN745" s="2034"/>
      <c r="AO745" s="203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9"/>
      <c r="C746" s="2220"/>
      <c r="D746" s="2220"/>
      <c r="E746" s="2220"/>
      <c r="F746" s="2221"/>
      <c r="G746" s="2247"/>
      <c r="H746" s="2248"/>
      <c r="I746" s="2248"/>
      <c r="J746" s="2249"/>
      <c r="K746" s="2240"/>
      <c r="L746" s="2241"/>
      <c r="M746" s="2241"/>
      <c r="N746" s="2242"/>
      <c r="O746" s="2222"/>
      <c r="P746" s="2223"/>
      <c r="Q746" s="2223"/>
      <c r="R746" s="2223"/>
      <c r="S746" s="2224"/>
      <c r="T746" s="2039">
        <f t="shared" si="47"/>
        <v>0</v>
      </c>
      <c r="U746" s="2040"/>
      <c r="V746" s="2040"/>
      <c r="W746" s="2040"/>
      <c r="X746" s="2041"/>
      <c r="Y746" s="2222">
        <v>0</v>
      </c>
      <c r="Z746" s="2223"/>
      <c r="AA746" s="2223"/>
      <c r="AB746" s="2224"/>
      <c r="AC746" s="2039">
        <f t="shared" si="48"/>
        <v>0</v>
      </c>
      <c r="AD746" s="2040"/>
      <c r="AE746" s="2040"/>
      <c r="AF746" s="2040"/>
      <c r="AG746" s="2041"/>
      <c r="AH746" s="2049">
        <v>0</v>
      </c>
      <c r="AI746" s="2050"/>
      <c r="AJ746" s="2050"/>
      <c r="AK746" s="2050"/>
      <c r="AL746" s="2051"/>
      <c r="AM746" s="2033" t="str">
        <f t="shared" si="49"/>
        <v xml:space="preserve"> </v>
      </c>
      <c r="AN746" s="2034"/>
      <c r="AO746" s="203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9"/>
      <c r="C747" s="2220"/>
      <c r="D747" s="2220"/>
      <c r="E747" s="2220"/>
      <c r="F747" s="2221"/>
      <c r="G747" s="2247"/>
      <c r="H747" s="2248"/>
      <c r="I747" s="2248"/>
      <c r="J747" s="2249"/>
      <c r="K747" s="2240"/>
      <c r="L747" s="2241"/>
      <c r="M747" s="2241"/>
      <c r="N747" s="2242"/>
      <c r="O747" s="2222"/>
      <c r="P747" s="2223"/>
      <c r="Q747" s="2223"/>
      <c r="R747" s="2223"/>
      <c r="S747" s="2224"/>
      <c r="T747" s="2039">
        <f t="shared" si="47"/>
        <v>0</v>
      </c>
      <c r="U747" s="2040"/>
      <c r="V747" s="2040"/>
      <c r="W747" s="2040"/>
      <c r="X747" s="2041"/>
      <c r="Y747" s="2222">
        <v>0</v>
      </c>
      <c r="Z747" s="2223"/>
      <c r="AA747" s="2223"/>
      <c r="AB747" s="2224"/>
      <c r="AC747" s="2039">
        <f t="shared" si="48"/>
        <v>0</v>
      </c>
      <c r="AD747" s="2040"/>
      <c r="AE747" s="2040"/>
      <c r="AF747" s="2040"/>
      <c r="AG747" s="2041"/>
      <c r="AH747" s="2049">
        <v>0</v>
      </c>
      <c r="AI747" s="2050"/>
      <c r="AJ747" s="2050"/>
      <c r="AK747" s="2050"/>
      <c r="AL747" s="2051"/>
      <c r="AM747" s="2033" t="str">
        <f t="shared" si="49"/>
        <v xml:space="preserve"> </v>
      </c>
      <c r="AN747" s="2034"/>
      <c r="AO747" s="203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9"/>
      <c r="C748" s="2220"/>
      <c r="D748" s="2220"/>
      <c r="E748" s="2220"/>
      <c r="F748" s="2221"/>
      <c r="G748" s="2247"/>
      <c r="H748" s="2248"/>
      <c r="I748" s="2248"/>
      <c r="J748" s="2249"/>
      <c r="K748" s="2240"/>
      <c r="L748" s="2241"/>
      <c r="M748" s="2241"/>
      <c r="N748" s="2242"/>
      <c r="O748" s="2222"/>
      <c r="P748" s="2223"/>
      <c r="Q748" s="2223"/>
      <c r="R748" s="2223"/>
      <c r="S748" s="2224"/>
      <c r="T748" s="2039">
        <f t="shared" si="47"/>
        <v>0</v>
      </c>
      <c r="U748" s="2040"/>
      <c r="V748" s="2040"/>
      <c r="W748" s="2040"/>
      <c r="X748" s="2041"/>
      <c r="Y748" s="2222">
        <v>0</v>
      </c>
      <c r="Z748" s="2223"/>
      <c r="AA748" s="2223"/>
      <c r="AB748" s="2224"/>
      <c r="AC748" s="2039">
        <f t="shared" si="48"/>
        <v>0</v>
      </c>
      <c r="AD748" s="2040"/>
      <c r="AE748" s="2040"/>
      <c r="AF748" s="2040"/>
      <c r="AG748" s="2041"/>
      <c r="AH748" s="2049">
        <v>0</v>
      </c>
      <c r="AI748" s="2050"/>
      <c r="AJ748" s="2050"/>
      <c r="AK748" s="2050"/>
      <c r="AL748" s="2051"/>
      <c r="AM748" s="2033" t="str">
        <f t="shared" si="49"/>
        <v xml:space="preserve"> </v>
      </c>
      <c r="AN748" s="2034"/>
      <c r="AO748" s="203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9"/>
      <c r="C749" s="2220"/>
      <c r="D749" s="2220"/>
      <c r="E749" s="2220"/>
      <c r="F749" s="2221"/>
      <c r="G749" s="2247"/>
      <c r="H749" s="2248"/>
      <c r="I749" s="2248"/>
      <c r="J749" s="2249"/>
      <c r="K749" s="2240"/>
      <c r="L749" s="2241"/>
      <c r="M749" s="2241"/>
      <c r="N749" s="2242"/>
      <c r="O749" s="2222"/>
      <c r="P749" s="2223"/>
      <c r="Q749" s="2223"/>
      <c r="R749" s="2223"/>
      <c r="S749" s="2224"/>
      <c r="T749" s="2039">
        <f t="shared" si="47"/>
        <v>0</v>
      </c>
      <c r="U749" s="2040"/>
      <c r="V749" s="2040"/>
      <c r="W749" s="2040"/>
      <c r="X749" s="2041"/>
      <c r="Y749" s="2222">
        <v>0</v>
      </c>
      <c r="Z749" s="2223"/>
      <c r="AA749" s="2223"/>
      <c r="AB749" s="2224"/>
      <c r="AC749" s="2039">
        <f t="shared" si="48"/>
        <v>0</v>
      </c>
      <c r="AD749" s="2040"/>
      <c r="AE749" s="2040"/>
      <c r="AF749" s="2040"/>
      <c r="AG749" s="2041"/>
      <c r="AH749" s="2049">
        <v>0</v>
      </c>
      <c r="AI749" s="2050"/>
      <c r="AJ749" s="2050"/>
      <c r="AK749" s="2050"/>
      <c r="AL749" s="2051"/>
      <c r="AM749" s="2033" t="str">
        <f t="shared" si="49"/>
        <v xml:space="preserve"> </v>
      </c>
      <c r="AN749" s="2034"/>
      <c r="AO749" s="203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9"/>
      <c r="C750" s="2220"/>
      <c r="D750" s="2220"/>
      <c r="E750" s="2220"/>
      <c r="F750" s="2221"/>
      <c r="G750" s="2247"/>
      <c r="H750" s="2248"/>
      <c r="I750" s="2248"/>
      <c r="J750" s="2249"/>
      <c r="K750" s="2240"/>
      <c r="L750" s="2241"/>
      <c r="M750" s="2241"/>
      <c r="N750" s="2242"/>
      <c r="O750" s="2222"/>
      <c r="P750" s="2223"/>
      <c r="Q750" s="2223"/>
      <c r="R750" s="2223"/>
      <c r="S750" s="2224"/>
      <c r="T750" s="2039">
        <f t="shared" si="47"/>
        <v>0</v>
      </c>
      <c r="U750" s="2040"/>
      <c r="V750" s="2040"/>
      <c r="W750" s="2040"/>
      <c r="X750" s="2041"/>
      <c r="Y750" s="2222">
        <v>0</v>
      </c>
      <c r="Z750" s="2223"/>
      <c r="AA750" s="2223"/>
      <c r="AB750" s="2224"/>
      <c r="AC750" s="2039">
        <f t="shared" si="48"/>
        <v>0</v>
      </c>
      <c r="AD750" s="2040"/>
      <c r="AE750" s="2040"/>
      <c r="AF750" s="2040"/>
      <c r="AG750" s="2041"/>
      <c r="AH750" s="2049">
        <v>0</v>
      </c>
      <c r="AI750" s="2050"/>
      <c r="AJ750" s="2050"/>
      <c r="AK750" s="2050"/>
      <c r="AL750" s="2051"/>
      <c r="AM750" s="2033" t="str">
        <f t="shared" si="49"/>
        <v xml:space="preserve"> </v>
      </c>
      <c r="AN750" s="2034"/>
      <c r="AO750" s="203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9"/>
      <c r="C751" s="2220"/>
      <c r="D751" s="2220"/>
      <c r="E751" s="2220"/>
      <c r="F751" s="2221"/>
      <c r="G751" s="2247"/>
      <c r="H751" s="2248"/>
      <c r="I751" s="2248"/>
      <c r="J751" s="2249"/>
      <c r="K751" s="2240"/>
      <c r="L751" s="2241"/>
      <c r="M751" s="2241"/>
      <c r="N751" s="2242"/>
      <c r="O751" s="2222"/>
      <c r="P751" s="2223"/>
      <c r="Q751" s="2223"/>
      <c r="R751" s="2223"/>
      <c r="S751" s="2224"/>
      <c r="T751" s="2039">
        <f t="shared" si="47"/>
        <v>0</v>
      </c>
      <c r="U751" s="2040"/>
      <c r="V751" s="2040"/>
      <c r="W751" s="2040"/>
      <c r="X751" s="2041"/>
      <c r="Y751" s="2222">
        <v>0</v>
      </c>
      <c r="Z751" s="2223"/>
      <c r="AA751" s="2223"/>
      <c r="AB751" s="2224"/>
      <c r="AC751" s="2039">
        <f t="shared" si="48"/>
        <v>0</v>
      </c>
      <c r="AD751" s="2040"/>
      <c r="AE751" s="2040"/>
      <c r="AF751" s="2040"/>
      <c r="AG751" s="2041"/>
      <c r="AH751" s="2049">
        <v>0</v>
      </c>
      <c r="AI751" s="2050"/>
      <c r="AJ751" s="2050"/>
      <c r="AK751" s="2050"/>
      <c r="AL751" s="2051"/>
      <c r="AM751" s="2033" t="str">
        <f t="shared" si="49"/>
        <v xml:space="preserve"> </v>
      </c>
      <c r="AN751" s="2034"/>
      <c r="AO751" s="203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9"/>
      <c r="C752" s="2220"/>
      <c r="D752" s="2220"/>
      <c r="E752" s="2220"/>
      <c r="F752" s="2221"/>
      <c r="G752" s="2247"/>
      <c r="H752" s="2248"/>
      <c r="I752" s="2248"/>
      <c r="J752" s="2249"/>
      <c r="K752" s="2240"/>
      <c r="L752" s="2241"/>
      <c r="M752" s="2241"/>
      <c r="N752" s="2242"/>
      <c r="O752" s="2222"/>
      <c r="P752" s="2223"/>
      <c r="Q752" s="2223"/>
      <c r="R752" s="2223"/>
      <c r="S752" s="2224"/>
      <c r="T752" s="2039">
        <f t="shared" si="47"/>
        <v>0</v>
      </c>
      <c r="U752" s="2040"/>
      <c r="V752" s="2040"/>
      <c r="W752" s="2040"/>
      <c r="X752" s="2041"/>
      <c r="Y752" s="2222">
        <v>0</v>
      </c>
      <c r="Z752" s="2223"/>
      <c r="AA752" s="2223"/>
      <c r="AB752" s="2224"/>
      <c r="AC752" s="2039">
        <f t="shared" si="48"/>
        <v>0</v>
      </c>
      <c r="AD752" s="2040"/>
      <c r="AE752" s="2040"/>
      <c r="AF752" s="2040"/>
      <c r="AG752" s="2041"/>
      <c r="AH752" s="2049">
        <v>0</v>
      </c>
      <c r="AI752" s="2050"/>
      <c r="AJ752" s="2050"/>
      <c r="AK752" s="2050"/>
      <c r="AL752" s="2051"/>
      <c r="AM752" s="2033" t="str">
        <f t="shared" si="49"/>
        <v xml:space="preserve"> </v>
      </c>
      <c r="AN752" s="2034"/>
      <c r="AO752" s="203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52" t="s">
        <v>130</v>
      </c>
      <c r="C753" s="2253"/>
      <c r="D753" s="2253"/>
      <c r="E753" s="2253"/>
      <c r="F753" s="2254"/>
      <c r="G753" s="2420">
        <f>SUM(G728:J752)</f>
        <v>159</v>
      </c>
      <c r="H753" s="2421"/>
      <c r="I753" s="2421"/>
      <c r="J753" s="2422"/>
      <c r="O753" s="1587" t="s">
        <v>129</v>
      </c>
      <c r="P753" s="1588"/>
      <c r="Q753" s="1588"/>
      <c r="R753" s="1588"/>
      <c r="S753" s="1589"/>
      <c r="T753" s="2039">
        <f>SUM(T728:X752)</f>
        <v>255486.5</v>
      </c>
      <c r="U753" s="2040"/>
      <c r="V753" s="2040"/>
      <c r="W753" s="2040"/>
      <c r="X753" s="2041"/>
      <c r="AC753" s="1591" t="s">
        <v>973</v>
      </c>
      <c r="AD753" s="1590"/>
      <c r="AE753" s="1590"/>
      <c r="AF753" s="1590"/>
      <c r="AG753" s="1592"/>
      <c r="AH753" s="2273">
        <f>BI696</f>
        <v>0.56981132075471697</v>
      </c>
      <c r="AI753" s="2274"/>
      <c r="AJ753" s="2274"/>
      <c r="AK753" s="2274"/>
      <c r="AL753" s="2275"/>
      <c r="AM753" s="2273">
        <f>BI728</f>
        <v>0.56991164429059282</v>
      </c>
      <c r="AN753" s="2274"/>
      <c r="AO753" s="227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15" t="s">
        <v>628</v>
      </c>
      <c r="AG755" s="2415"/>
      <c r="AH755" s="2415"/>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8" t="s">
        <v>409</v>
      </c>
      <c r="K768" s="2229"/>
      <c r="L768" s="2229"/>
      <c r="M768" s="2229"/>
      <c r="N768" s="2230"/>
      <c r="O768" s="2370" t="s">
        <v>293</v>
      </c>
      <c r="P768" s="2370"/>
      <c r="Q768" s="2370"/>
      <c r="R768" s="2370"/>
      <c r="S768" s="2370"/>
      <c r="T768" s="2354" t="s">
        <v>2172</v>
      </c>
      <c r="U768" s="2355"/>
      <c r="V768" s="2355"/>
      <c r="W768" s="2356"/>
      <c r="X768" s="2228" t="s">
        <v>480</v>
      </c>
      <c r="Y768" s="2229"/>
      <c r="Z768" s="2229"/>
      <c r="AA768" s="2229"/>
      <c r="AB768" s="2230"/>
      <c r="AC768" s="2228" t="s">
        <v>294</v>
      </c>
      <c r="AD768" s="2229"/>
      <c r="AE768" s="2229"/>
      <c r="AF768" s="2229"/>
      <c r="AG768" s="2230"/>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1"/>
      <c r="K769" s="2232"/>
      <c r="L769" s="2232"/>
      <c r="M769" s="2232"/>
      <c r="N769" s="2233"/>
      <c r="O769" s="2370"/>
      <c r="P769" s="2370"/>
      <c r="Q769" s="2370"/>
      <c r="R769" s="2370"/>
      <c r="S769" s="2370"/>
      <c r="T769" s="2357"/>
      <c r="U769" s="2358"/>
      <c r="V769" s="2358"/>
      <c r="W769" s="2359"/>
      <c r="X769" s="2231"/>
      <c r="Y769" s="2232"/>
      <c r="Z769" s="2232"/>
      <c r="AA769" s="2232"/>
      <c r="AB769" s="2233"/>
      <c r="AC769" s="2231"/>
      <c r="AD769" s="2232"/>
      <c r="AE769" s="2232"/>
      <c r="AF769" s="2232"/>
      <c r="AG769" s="2233"/>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1"/>
      <c r="K770" s="2232"/>
      <c r="L770" s="2232"/>
      <c r="M770" s="2232"/>
      <c r="N770" s="2233"/>
      <c r="O770" s="2370"/>
      <c r="P770" s="2370"/>
      <c r="Q770" s="2370"/>
      <c r="R770" s="2370"/>
      <c r="S770" s="2370"/>
      <c r="T770" s="2357"/>
      <c r="U770" s="2358"/>
      <c r="V770" s="2358"/>
      <c r="W770" s="2359"/>
      <c r="X770" s="2231"/>
      <c r="Y770" s="2232"/>
      <c r="Z770" s="2232"/>
      <c r="AA770" s="2232"/>
      <c r="AB770" s="2233"/>
      <c r="AC770" s="2231"/>
      <c r="AD770" s="2232"/>
      <c r="AE770" s="2232"/>
      <c r="AF770" s="2232"/>
      <c r="AG770" s="2233"/>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4"/>
      <c r="K771" s="2235"/>
      <c r="L771" s="2235"/>
      <c r="M771" s="2235"/>
      <c r="N771" s="2236"/>
      <c r="O771" s="2370"/>
      <c r="P771" s="2370"/>
      <c r="Q771" s="2370"/>
      <c r="R771" s="2370"/>
      <c r="S771" s="2370"/>
      <c r="T771" s="2417"/>
      <c r="U771" s="2418"/>
      <c r="V771" s="2418"/>
      <c r="W771" s="2419"/>
      <c r="X771" s="2234"/>
      <c r="Y771" s="2235"/>
      <c r="Z771" s="2235"/>
      <c r="AA771" s="2235"/>
      <c r="AB771" s="2236"/>
      <c r="AC771" s="2234"/>
      <c r="AD771" s="2235"/>
      <c r="AE771" s="2235"/>
      <c r="AF771" s="2235"/>
      <c r="AG771" s="2236"/>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78" t="s">
        <v>169</v>
      </c>
      <c r="K772" s="2279"/>
      <c r="L772" s="2279"/>
      <c r="M772" s="2279"/>
      <c r="N772" s="2280"/>
      <c r="O772" s="2369">
        <v>1</v>
      </c>
      <c r="P772" s="2369"/>
      <c r="Q772" s="2369"/>
      <c r="R772" s="2369"/>
      <c r="S772" s="2369"/>
      <c r="T772" s="2240">
        <v>1098</v>
      </c>
      <c r="U772" s="2241"/>
      <c r="V772" s="2241"/>
      <c r="W772" s="2242"/>
      <c r="X772" s="2222"/>
      <c r="Y772" s="2223"/>
      <c r="Z772" s="2223"/>
      <c r="AA772" s="2223"/>
      <c r="AB772" s="2224"/>
      <c r="AC772" s="2039">
        <f>X772*O772</f>
        <v>0</v>
      </c>
      <c r="AD772" s="2040"/>
      <c r="AE772" s="2040"/>
      <c r="AF772" s="2040"/>
      <c r="AG772" s="2041"/>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9"/>
      <c r="K773" s="2220"/>
      <c r="L773" s="2220"/>
      <c r="M773" s="2220"/>
      <c r="N773" s="2221"/>
      <c r="O773" s="2251"/>
      <c r="P773" s="2251"/>
      <c r="Q773" s="2251"/>
      <c r="R773" s="2251"/>
      <c r="S773" s="2251"/>
      <c r="T773" s="2240"/>
      <c r="U773" s="2241"/>
      <c r="V773" s="2241"/>
      <c r="W773" s="2242"/>
      <c r="X773" s="2222"/>
      <c r="Y773" s="2223"/>
      <c r="Z773" s="2223"/>
      <c r="AA773" s="2223"/>
      <c r="AB773" s="2224"/>
      <c r="AC773" s="2039">
        <f>X773*O773</f>
        <v>0</v>
      </c>
      <c r="AD773" s="2040"/>
      <c r="AE773" s="2040"/>
      <c r="AF773" s="2040"/>
      <c r="AG773" s="2041"/>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9"/>
      <c r="K774" s="2220"/>
      <c r="L774" s="2220"/>
      <c r="M774" s="2220"/>
      <c r="N774" s="2221"/>
      <c r="O774" s="2251"/>
      <c r="P774" s="2251"/>
      <c r="Q774" s="2251"/>
      <c r="R774" s="2251"/>
      <c r="S774" s="2251"/>
      <c r="T774" s="2240"/>
      <c r="U774" s="2241"/>
      <c r="V774" s="2241"/>
      <c r="W774" s="2242"/>
      <c r="X774" s="2222"/>
      <c r="Y774" s="2223"/>
      <c r="Z774" s="2223"/>
      <c r="AA774" s="2223"/>
      <c r="AB774" s="2224"/>
      <c r="AC774" s="2039">
        <f>X774*O774</f>
        <v>0</v>
      </c>
      <c r="AD774" s="2040"/>
      <c r="AE774" s="2040"/>
      <c r="AF774" s="2040"/>
      <c r="AG774" s="2041"/>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9"/>
      <c r="K775" s="2220"/>
      <c r="L775" s="2220"/>
      <c r="M775" s="2220"/>
      <c r="N775" s="2221"/>
      <c r="O775" s="2251"/>
      <c r="P775" s="2251"/>
      <c r="Q775" s="2251"/>
      <c r="R775" s="2251"/>
      <c r="S775" s="2251"/>
      <c r="T775" s="2240"/>
      <c r="U775" s="2241"/>
      <c r="V775" s="2241"/>
      <c r="W775" s="2242"/>
      <c r="X775" s="2222"/>
      <c r="Y775" s="2223"/>
      <c r="Z775" s="2223"/>
      <c r="AA775" s="2223"/>
      <c r="AB775" s="2224"/>
      <c r="AC775" s="2039">
        <f>X775*O775</f>
        <v>0</v>
      </c>
      <c r="AD775" s="2040"/>
      <c r="AE775" s="2040"/>
      <c r="AF775" s="2040"/>
      <c r="AG775" s="2041"/>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52" t="s">
        <v>130</v>
      </c>
      <c r="K776" s="2253"/>
      <c r="L776" s="2253"/>
      <c r="M776" s="2253"/>
      <c r="N776" s="2254"/>
      <c r="O776" s="2255">
        <f>SUM(O772:S775)</f>
        <v>1</v>
      </c>
      <c r="P776" s="2256"/>
      <c r="Q776" s="2256"/>
      <c r="R776" s="2256"/>
      <c r="S776" s="2257"/>
      <c r="X776" s="2225" t="s">
        <v>129</v>
      </c>
      <c r="Y776" s="2226"/>
      <c r="Z776" s="2226"/>
      <c r="AA776" s="2226"/>
      <c r="AB776" s="2227"/>
      <c r="AC776" s="2039">
        <f>SUM(AC772:AG775)</f>
        <v>0</v>
      </c>
      <c r="AD776" s="2040"/>
      <c r="AE776" s="2040"/>
      <c r="AF776" s="2040"/>
      <c r="AG776" s="2041"/>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76" t="s">
        <v>708</v>
      </c>
      <c r="K778" s="2276"/>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8" t="s">
        <v>409</v>
      </c>
      <c r="K782" s="2229"/>
      <c r="L782" s="2229"/>
      <c r="M782" s="2229"/>
      <c r="N782" s="2230"/>
      <c r="O782" s="2370" t="s">
        <v>293</v>
      </c>
      <c r="P782" s="2370"/>
      <c r="Q782" s="2370"/>
      <c r="R782" s="2370"/>
      <c r="S782" s="2370"/>
      <c r="T782" s="2354" t="s">
        <v>2172</v>
      </c>
      <c r="U782" s="2355"/>
      <c r="V782" s="2355"/>
      <c r="W782" s="2356"/>
      <c r="X782" s="2228" t="s">
        <v>480</v>
      </c>
      <c r="Y782" s="2229"/>
      <c r="Z782" s="2229"/>
      <c r="AA782" s="2229"/>
      <c r="AB782" s="2230"/>
      <c r="AC782" s="2228" t="s">
        <v>294</v>
      </c>
      <c r="AD782" s="2229"/>
      <c r="AE782" s="2229"/>
      <c r="AF782" s="2229"/>
      <c r="AG782" s="2230"/>
      <c r="AH782" s="2277" t="s">
        <v>2464</v>
      </c>
      <c r="AI782" s="2229"/>
      <c r="AJ782" s="2229"/>
      <c r="AK782" s="2229"/>
      <c r="AL782" s="223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1"/>
      <c r="K783" s="2232"/>
      <c r="L783" s="2232"/>
      <c r="M783" s="2232"/>
      <c r="N783" s="2233"/>
      <c r="O783" s="2370"/>
      <c r="P783" s="2370"/>
      <c r="Q783" s="2370"/>
      <c r="R783" s="2370"/>
      <c r="S783" s="2370"/>
      <c r="T783" s="2357"/>
      <c r="U783" s="2358"/>
      <c r="V783" s="2358"/>
      <c r="W783" s="2359"/>
      <c r="X783" s="2231"/>
      <c r="Y783" s="2232"/>
      <c r="Z783" s="2232"/>
      <c r="AA783" s="2232"/>
      <c r="AB783" s="2233"/>
      <c r="AC783" s="2231"/>
      <c r="AD783" s="2232"/>
      <c r="AE783" s="2232"/>
      <c r="AF783" s="2232"/>
      <c r="AG783" s="2233"/>
      <c r="AH783" s="2231"/>
      <c r="AI783" s="2232"/>
      <c r="AJ783" s="2232"/>
      <c r="AK783" s="2232"/>
      <c r="AL783" s="223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1"/>
      <c r="K784" s="2232"/>
      <c r="L784" s="2232"/>
      <c r="M784" s="2232"/>
      <c r="N784" s="2233"/>
      <c r="O784" s="2370"/>
      <c r="P784" s="2370"/>
      <c r="Q784" s="2370"/>
      <c r="R784" s="2370"/>
      <c r="S784" s="2370"/>
      <c r="T784" s="2357"/>
      <c r="U784" s="2358"/>
      <c r="V784" s="2358"/>
      <c r="W784" s="2359"/>
      <c r="X784" s="2231"/>
      <c r="Y784" s="2232"/>
      <c r="Z784" s="2232"/>
      <c r="AA784" s="2232"/>
      <c r="AB784" s="2233"/>
      <c r="AC784" s="2231"/>
      <c r="AD784" s="2232"/>
      <c r="AE784" s="2232"/>
      <c r="AF784" s="2232"/>
      <c r="AG784" s="2233"/>
      <c r="AH784" s="2231"/>
      <c r="AI784" s="2232"/>
      <c r="AJ784" s="2232"/>
      <c r="AK784" s="2232"/>
      <c r="AL784" s="223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4"/>
      <c r="K785" s="2235"/>
      <c r="L785" s="2235"/>
      <c r="M785" s="2235"/>
      <c r="N785" s="2236"/>
      <c r="O785" s="2370"/>
      <c r="P785" s="2370"/>
      <c r="Q785" s="2370"/>
      <c r="R785" s="2370"/>
      <c r="S785" s="2370"/>
      <c r="T785" s="2417"/>
      <c r="U785" s="2418"/>
      <c r="V785" s="2418"/>
      <c r="W785" s="2419"/>
      <c r="X785" s="2234"/>
      <c r="Y785" s="2235"/>
      <c r="Z785" s="2235"/>
      <c r="AA785" s="2235"/>
      <c r="AB785" s="2236"/>
      <c r="AC785" s="2234"/>
      <c r="AD785" s="2235"/>
      <c r="AE785" s="2235"/>
      <c r="AF785" s="2235"/>
      <c r="AG785" s="2236"/>
      <c r="AH785" s="2234"/>
      <c r="AI785" s="2235"/>
      <c r="AJ785" s="2235"/>
      <c r="AK785" s="2235"/>
      <c r="AL785" s="223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9"/>
      <c r="K786" s="2220"/>
      <c r="L786" s="2220"/>
      <c r="M786" s="2220"/>
      <c r="N786" s="2221"/>
      <c r="O786" s="2251"/>
      <c r="P786" s="2251"/>
      <c r="Q786" s="2251"/>
      <c r="R786" s="2251"/>
      <c r="S786" s="2251"/>
      <c r="T786" s="2240"/>
      <c r="U786" s="2241"/>
      <c r="V786" s="2241"/>
      <c r="W786" s="2242"/>
      <c r="X786" s="2222"/>
      <c r="Y786" s="2223"/>
      <c r="Z786" s="2223"/>
      <c r="AA786" s="2223"/>
      <c r="AB786" s="2224"/>
      <c r="AC786" s="2039">
        <f t="shared" ref="AC786:AC795" si="50">X786*O786</f>
        <v>0</v>
      </c>
      <c r="AD786" s="2040"/>
      <c r="AE786" s="2040"/>
      <c r="AF786" s="2040"/>
      <c r="AG786" s="2041"/>
      <c r="AH786" s="2049"/>
      <c r="AI786" s="2050"/>
      <c r="AJ786" s="2050"/>
      <c r="AK786" s="2050"/>
      <c r="AL786" s="205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9"/>
      <c r="K787" s="2220"/>
      <c r="L787" s="2220"/>
      <c r="M787" s="2220"/>
      <c r="N787" s="2221"/>
      <c r="O787" s="2251"/>
      <c r="P787" s="2251"/>
      <c r="Q787" s="2251"/>
      <c r="R787" s="2251"/>
      <c r="S787" s="2251"/>
      <c r="T787" s="2240"/>
      <c r="U787" s="2241"/>
      <c r="V787" s="2241"/>
      <c r="W787" s="2242"/>
      <c r="X787" s="2222"/>
      <c r="Y787" s="2223"/>
      <c r="Z787" s="2223"/>
      <c r="AA787" s="2223"/>
      <c r="AB787" s="2224"/>
      <c r="AC787" s="2039">
        <f t="shared" si="50"/>
        <v>0</v>
      </c>
      <c r="AD787" s="2040"/>
      <c r="AE787" s="2040"/>
      <c r="AF787" s="2040"/>
      <c r="AG787" s="2041"/>
      <c r="AH787" s="2049"/>
      <c r="AI787" s="2050"/>
      <c r="AJ787" s="2050"/>
      <c r="AK787" s="2050"/>
      <c r="AL787" s="205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9"/>
      <c r="K788" s="2220"/>
      <c r="L788" s="2220"/>
      <c r="M788" s="2220"/>
      <c r="N788" s="2221"/>
      <c r="O788" s="2251"/>
      <c r="P788" s="2251"/>
      <c r="Q788" s="2251"/>
      <c r="R788" s="2251"/>
      <c r="S788" s="2251"/>
      <c r="T788" s="2240"/>
      <c r="U788" s="2241"/>
      <c r="V788" s="2241"/>
      <c r="W788" s="2242"/>
      <c r="X788" s="2222"/>
      <c r="Y788" s="2223"/>
      <c r="Z788" s="2223"/>
      <c r="AA788" s="2223"/>
      <c r="AB788" s="2224"/>
      <c r="AC788" s="2039">
        <f t="shared" si="50"/>
        <v>0</v>
      </c>
      <c r="AD788" s="2040"/>
      <c r="AE788" s="2040"/>
      <c r="AF788" s="2040"/>
      <c r="AG788" s="2041"/>
      <c r="AH788" s="2049"/>
      <c r="AI788" s="2050"/>
      <c r="AJ788" s="2050"/>
      <c r="AK788" s="2050"/>
      <c r="AL788" s="205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9"/>
      <c r="K789" s="2220"/>
      <c r="L789" s="2220"/>
      <c r="M789" s="2220"/>
      <c r="N789" s="2221"/>
      <c r="O789" s="2251"/>
      <c r="P789" s="2251"/>
      <c r="Q789" s="2251"/>
      <c r="R789" s="2251"/>
      <c r="S789" s="2251"/>
      <c r="T789" s="2240"/>
      <c r="U789" s="2241"/>
      <c r="V789" s="2241"/>
      <c r="W789" s="2242"/>
      <c r="X789" s="2222"/>
      <c r="Y789" s="2223"/>
      <c r="Z789" s="2223"/>
      <c r="AA789" s="2223"/>
      <c r="AB789" s="2224"/>
      <c r="AC789" s="2039">
        <f t="shared" si="50"/>
        <v>0</v>
      </c>
      <c r="AD789" s="2040"/>
      <c r="AE789" s="2040"/>
      <c r="AF789" s="2040"/>
      <c r="AG789" s="2041"/>
      <c r="AH789" s="2049"/>
      <c r="AI789" s="2050"/>
      <c r="AJ789" s="2050"/>
      <c r="AK789" s="2050"/>
      <c r="AL789" s="205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9"/>
      <c r="K790" s="2220"/>
      <c r="L790" s="2220"/>
      <c r="M790" s="2220"/>
      <c r="N790" s="2221"/>
      <c r="O790" s="2251"/>
      <c r="P790" s="2251"/>
      <c r="Q790" s="2251"/>
      <c r="R790" s="2251"/>
      <c r="S790" s="2251"/>
      <c r="T790" s="2240"/>
      <c r="U790" s="2241"/>
      <c r="V790" s="2241"/>
      <c r="W790" s="2242"/>
      <c r="X790" s="2222"/>
      <c r="Y790" s="2223"/>
      <c r="Z790" s="2223"/>
      <c r="AA790" s="2223"/>
      <c r="AB790" s="2224"/>
      <c r="AC790" s="2039">
        <f t="shared" si="50"/>
        <v>0</v>
      </c>
      <c r="AD790" s="2040"/>
      <c r="AE790" s="2040"/>
      <c r="AF790" s="2040"/>
      <c r="AG790" s="2041"/>
      <c r="AH790" s="2049"/>
      <c r="AI790" s="2050"/>
      <c r="AJ790" s="2050"/>
      <c r="AK790" s="2050"/>
      <c r="AL790" s="205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9"/>
      <c r="K791" s="2220"/>
      <c r="L791" s="2220"/>
      <c r="M791" s="2220"/>
      <c r="N791" s="2221"/>
      <c r="O791" s="2251"/>
      <c r="P791" s="2251"/>
      <c r="Q791" s="2251"/>
      <c r="R791" s="2251"/>
      <c r="S791" s="2251"/>
      <c r="T791" s="2240"/>
      <c r="U791" s="2241"/>
      <c r="V791" s="2241"/>
      <c r="W791" s="2242"/>
      <c r="X791" s="2222"/>
      <c r="Y791" s="2223"/>
      <c r="Z791" s="2223"/>
      <c r="AA791" s="2223"/>
      <c r="AB791" s="2224"/>
      <c r="AC791" s="2039">
        <f t="shared" si="50"/>
        <v>0</v>
      </c>
      <c r="AD791" s="2040"/>
      <c r="AE791" s="2040"/>
      <c r="AF791" s="2040"/>
      <c r="AG791" s="2041"/>
      <c r="AH791" s="2049"/>
      <c r="AI791" s="2050"/>
      <c r="AJ791" s="2050"/>
      <c r="AK791" s="2050"/>
      <c r="AL791" s="205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9"/>
      <c r="K792" s="2220"/>
      <c r="L792" s="2220"/>
      <c r="M792" s="2220"/>
      <c r="N792" s="2221"/>
      <c r="O792" s="2251"/>
      <c r="P792" s="2251"/>
      <c r="Q792" s="2251"/>
      <c r="R792" s="2251"/>
      <c r="S792" s="2251"/>
      <c r="T792" s="2240"/>
      <c r="U792" s="2241"/>
      <c r="V792" s="2241"/>
      <c r="W792" s="2242"/>
      <c r="X792" s="2222"/>
      <c r="Y792" s="2223"/>
      <c r="Z792" s="2223"/>
      <c r="AA792" s="2223"/>
      <c r="AB792" s="2224"/>
      <c r="AC792" s="2039">
        <f t="shared" si="50"/>
        <v>0</v>
      </c>
      <c r="AD792" s="2040"/>
      <c r="AE792" s="2040"/>
      <c r="AF792" s="2040"/>
      <c r="AG792" s="2041"/>
      <c r="AH792" s="2049"/>
      <c r="AI792" s="2050"/>
      <c r="AJ792" s="2050"/>
      <c r="AK792" s="2050"/>
      <c r="AL792" s="205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9"/>
      <c r="K793" s="2220"/>
      <c r="L793" s="2220"/>
      <c r="M793" s="2220"/>
      <c r="N793" s="2221"/>
      <c r="O793" s="2251"/>
      <c r="P793" s="2251"/>
      <c r="Q793" s="2251"/>
      <c r="R793" s="2251"/>
      <c r="S793" s="2251"/>
      <c r="T793" s="2240"/>
      <c r="U793" s="2241"/>
      <c r="V793" s="2241"/>
      <c r="W793" s="2242"/>
      <c r="X793" s="2222"/>
      <c r="Y793" s="2223"/>
      <c r="Z793" s="2223"/>
      <c r="AA793" s="2223"/>
      <c r="AB793" s="2224"/>
      <c r="AC793" s="2039">
        <f t="shared" si="50"/>
        <v>0</v>
      </c>
      <c r="AD793" s="2040"/>
      <c r="AE793" s="2040"/>
      <c r="AF793" s="2040"/>
      <c r="AG793" s="2041"/>
      <c r="AH793" s="2049"/>
      <c r="AI793" s="2050"/>
      <c r="AJ793" s="2050"/>
      <c r="AK793" s="2050"/>
      <c r="AL793" s="205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9"/>
      <c r="K794" s="2220"/>
      <c r="L794" s="2220"/>
      <c r="M794" s="2220"/>
      <c r="N794" s="2221"/>
      <c r="O794" s="2251"/>
      <c r="P794" s="2251"/>
      <c r="Q794" s="2251"/>
      <c r="R794" s="2251"/>
      <c r="S794" s="2251"/>
      <c r="T794" s="2240"/>
      <c r="U794" s="2241"/>
      <c r="V794" s="2241"/>
      <c r="W794" s="2242"/>
      <c r="X794" s="2222"/>
      <c r="Y794" s="2223"/>
      <c r="Z794" s="2223"/>
      <c r="AA794" s="2223"/>
      <c r="AB794" s="2224"/>
      <c r="AC794" s="2039">
        <f t="shared" si="50"/>
        <v>0</v>
      </c>
      <c r="AD794" s="2040"/>
      <c r="AE794" s="2040"/>
      <c r="AF794" s="2040"/>
      <c r="AG794" s="2041"/>
      <c r="AH794" s="2049"/>
      <c r="AI794" s="2050"/>
      <c r="AJ794" s="2050"/>
      <c r="AK794" s="2050"/>
      <c r="AL794" s="205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9"/>
      <c r="K795" s="2220"/>
      <c r="L795" s="2220"/>
      <c r="M795" s="2220"/>
      <c r="N795" s="2221"/>
      <c r="O795" s="2251"/>
      <c r="P795" s="2251"/>
      <c r="Q795" s="2251"/>
      <c r="R795" s="2251"/>
      <c r="S795" s="2251"/>
      <c r="T795" s="2240"/>
      <c r="U795" s="2241"/>
      <c r="V795" s="2241"/>
      <c r="W795" s="2242"/>
      <c r="X795" s="2222"/>
      <c r="Y795" s="2223"/>
      <c r="Z795" s="2223"/>
      <c r="AA795" s="2223"/>
      <c r="AB795" s="2224"/>
      <c r="AC795" s="2039">
        <f t="shared" si="50"/>
        <v>0</v>
      </c>
      <c r="AD795" s="2040"/>
      <c r="AE795" s="2040"/>
      <c r="AF795" s="2040"/>
      <c r="AG795" s="2041"/>
      <c r="AH795" s="2049"/>
      <c r="AI795" s="2050"/>
      <c r="AJ795" s="2050"/>
      <c r="AK795" s="2050"/>
      <c r="AL795" s="205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52" t="s">
        <v>130</v>
      </c>
      <c r="K796" s="2253"/>
      <c r="L796" s="2253"/>
      <c r="M796" s="2253"/>
      <c r="N796" s="2254"/>
      <c r="O796" s="2425">
        <f>SUM(O786:S795)</f>
        <v>0</v>
      </c>
      <c r="P796" s="2425"/>
      <c r="Q796" s="2425"/>
      <c r="R796" s="2425"/>
      <c r="S796" s="2425"/>
      <c r="X796" s="1604" t="s">
        <v>129</v>
      </c>
      <c r="Y796" s="1605"/>
      <c r="Z796" s="1605"/>
      <c r="AA796" s="1605"/>
      <c r="AB796" s="1606"/>
      <c r="AC796" s="2039">
        <f>SUM(AC786:AG795)</f>
        <v>0</v>
      </c>
      <c r="AD796" s="2040"/>
      <c r="AE796" s="2040"/>
      <c r="AF796" s="2040"/>
      <c r="AG796" s="204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9">
        <f>T753+AC776+AC796</f>
        <v>255486.5</v>
      </c>
      <c r="Z798" s="2339"/>
      <c r="AA798" s="2339"/>
      <c r="AB798" s="2339"/>
      <c r="AC798" s="233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9">
        <f>(T753+AC776+AC796)*12</f>
        <v>3065838</v>
      </c>
      <c r="Z799" s="2339"/>
      <c r="AA799" s="2339"/>
      <c r="AB799" s="2339"/>
      <c r="AC799" s="2339"/>
      <c r="AZ799" s="58"/>
      <c r="BA799" s="51" t="s">
        <v>669</v>
      </c>
      <c r="BB799" s="51"/>
      <c r="BC799" s="51"/>
      <c r="BD799" s="51"/>
      <c r="BE799" s="51"/>
      <c r="BF799" s="51"/>
      <c r="BG799" s="51"/>
      <c r="BH799" s="51"/>
      <c r="BI799" s="51"/>
      <c r="BJ799" s="51"/>
      <c r="BK799" s="51"/>
      <c r="BL799" s="51"/>
      <c r="BM799" s="51"/>
      <c r="BN799" s="2367" t="s">
        <v>504</v>
      </c>
      <c r="BO799" s="2368"/>
      <c r="BP799" s="58"/>
      <c r="BQ799" s="58"/>
      <c r="BR799" s="58"/>
      <c r="BS799" s="51" t="s">
        <v>671</v>
      </c>
      <c r="BT799" s="51"/>
      <c r="BU799" s="51"/>
      <c r="BV799" s="51"/>
      <c r="BW799" s="51"/>
      <c r="BX799" s="51"/>
      <c r="BY799" s="51"/>
      <c r="BZ799" s="51"/>
      <c r="CA799" s="51"/>
      <c r="CB799" s="2364" t="str">
        <f>T189</f>
        <v>Santa Barbara</v>
      </c>
      <c r="CC799" s="2365"/>
      <c r="CD799" s="2365"/>
      <c r="CE799" s="2365"/>
      <c r="CF799" s="2365"/>
      <c r="CG799" s="2365"/>
      <c r="CH799" s="236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25"/>
      <c r="AA804" s="2326"/>
      <c r="AB804" s="2326"/>
      <c r="AC804" s="2326"/>
      <c r="AD804" s="2326"/>
      <c r="AE804" s="232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4"/>
      <c r="AA805" s="2326"/>
      <c r="AB805" s="2326"/>
      <c r="AC805" s="2326"/>
      <c r="AD805" s="2326"/>
      <c r="AE805" s="232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6">
        <v>0</v>
      </c>
      <c r="AA806" s="2299"/>
      <c r="AB806" s="2299"/>
      <c r="AC806" s="2299"/>
      <c r="AD806" s="2299"/>
      <c r="AE806" s="233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56">
        <f>'Subsidy Contract Calculation'!I30</f>
        <v>0</v>
      </c>
      <c r="AA807" s="2057"/>
      <c r="AB807" s="2057"/>
      <c r="AC807" s="2057"/>
      <c r="AD807" s="2057"/>
      <c r="AE807" s="205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6">
        <v>47700</v>
      </c>
      <c r="AA811" s="2037"/>
      <c r="AB811" s="2037"/>
      <c r="AC811" s="2037"/>
      <c r="AD811" s="2037"/>
      <c r="AE811" s="203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6"/>
      <c r="AA812" s="2037"/>
      <c r="AB812" s="2037"/>
      <c r="AC812" s="2037"/>
      <c r="AD812" s="2037"/>
      <c r="AE812" s="203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6"/>
      <c r="AA813" s="2037"/>
      <c r="AB813" s="2037"/>
      <c r="AC813" s="2037"/>
      <c r="AD813" s="2037"/>
      <c r="AE813" s="203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6" t="s">
        <v>2597</v>
      </c>
      <c r="Q814" s="2373"/>
      <c r="R814" s="2373"/>
      <c r="S814" s="2373"/>
      <c r="T814" s="2373"/>
      <c r="U814" s="2373"/>
      <c r="V814" s="2373"/>
      <c r="W814" s="2373"/>
      <c r="X814" s="2373"/>
      <c r="Y814" s="2374"/>
      <c r="Z814" s="2036">
        <v>8000</v>
      </c>
      <c r="AA814" s="2037"/>
      <c r="AB814" s="2037"/>
      <c r="AC814" s="2037"/>
      <c r="AD814" s="2037"/>
      <c r="AE814" s="203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56">
        <f>SUM(Z811:AE814)</f>
        <v>55700</v>
      </c>
      <c r="AA815" s="2057"/>
      <c r="AB815" s="2057"/>
      <c r="AC815" s="2057"/>
      <c r="AD815" s="2057"/>
      <c r="AE815" s="205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056">
        <f>Z815+Y799+Z807</f>
        <v>3121538</v>
      </c>
      <c r="AA816" s="2057"/>
      <c r="AB816" s="2057"/>
      <c r="AC816" s="2057"/>
      <c r="AD816" s="2057"/>
      <c r="AE816" s="205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8" t="s">
        <v>131</v>
      </c>
      <c r="N821" s="2268"/>
      <c r="O821" s="2268"/>
      <c r="P821" s="2269"/>
      <c r="Q821" s="2272" t="s">
        <v>300</v>
      </c>
      <c r="R821" s="2272"/>
      <c r="S821" s="2272"/>
      <c r="T821" s="2272"/>
      <c r="U821" s="2272" t="s">
        <v>301</v>
      </c>
      <c r="V821" s="2272"/>
      <c r="W821" s="2272"/>
      <c r="X821" s="2272"/>
      <c r="Y821" s="2272" t="s">
        <v>302</v>
      </c>
      <c r="Z821" s="2272"/>
      <c r="AA821" s="2272"/>
      <c r="AB821" s="2272"/>
      <c r="AC821" s="2272" t="s">
        <v>373</v>
      </c>
      <c r="AD821" s="2272"/>
      <c r="AE821" s="2272"/>
      <c r="AF821" s="2272"/>
      <c r="AG821" s="2340" t="s">
        <v>346</v>
      </c>
      <c r="AH821" s="2340"/>
      <c r="AI821" s="2340"/>
      <c r="AJ821" s="234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0"/>
      <c r="N822" s="2270"/>
      <c r="O822" s="2270"/>
      <c r="P822" s="2271"/>
      <c r="Q822" s="2272"/>
      <c r="R822" s="2272"/>
      <c r="S822" s="2272"/>
      <c r="T822" s="2272"/>
      <c r="U822" s="2272"/>
      <c r="V822" s="2272"/>
      <c r="W822" s="2272"/>
      <c r="X822" s="2272"/>
      <c r="Y822" s="2272"/>
      <c r="Z822" s="2272"/>
      <c r="AA822" s="2272"/>
      <c r="AB822" s="2272"/>
      <c r="AC822" s="2272"/>
      <c r="AD822" s="2272"/>
      <c r="AE822" s="2272"/>
      <c r="AF822" s="2272"/>
      <c r="AG822" s="2340"/>
      <c r="AH822" s="2340"/>
      <c r="AI822" s="2340"/>
      <c r="AJ822" s="234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7" t="s">
        <v>43</v>
      </c>
      <c r="D823" s="2378"/>
      <c r="E823" s="2378"/>
      <c r="F823" s="2378"/>
      <c r="G823" s="2378"/>
      <c r="H823" s="2378"/>
      <c r="I823" s="80"/>
      <c r="J823" s="80"/>
      <c r="K823" s="80"/>
      <c r="L823" s="81"/>
      <c r="M823" s="2250"/>
      <c r="N823" s="2250"/>
      <c r="O823" s="2250"/>
      <c r="P823" s="2250"/>
      <c r="Q823" s="2250"/>
      <c r="R823" s="2250"/>
      <c r="S823" s="2250"/>
      <c r="T823" s="2250"/>
      <c r="U823" s="2250">
        <v>6.38</v>
      </c>
      <c r="V823" s="2250"/>
      <c r="W823" s="2250"/>
      <c r="X823" s="2250"/>
      <c r="Y823" s="2250">
        <v>8.9700000000000006</v>
      </c>
      <c r="Z823" s="2250"/>
      <c r="AA823" s="2250"/>
      <c r="AB823" s="2250"/>
      <c r="AC823" s="2002">
        <v>8.49</v>
      </c>
      <c r="AD823" s="2003"/>
      <c r="AE823" s="2003"/>
      <c r="AF823" s="2004"/>
      <c r="AG823" s="2002"/>
      <c r="AH823" s="2003"/>
      <c r="AI823" s="2003"/>
      <c r="AJ823" s="200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306" t="s">
        <v>44</v>
      </c>
      <c r="D824" s="2307"/>
      <c r="E824" s="2307"/>
      <c r="F824" s="2307"/>
      <c r="G824" s="2307"/>
      <c r="H824" s="2307"/>
      <c r="I824" s="77"/>
      <c r="J824" s="77"/>
      <c r="K824" s="77"/>
      <c r="L824" s="78"/>
      <c r="M824" s="2250"/>
      <c r="N824" s="2250"/>
      <c r="O824" s="2250"/>
      <c r="P824" s="2250"/>
      <c r="Q824" s="2250"/>
      <c r="R824" s="2250"/>
      <c r="S824" s="2250"/>
      <c r="T824" s="2250"/>
      <c r="U824" s="2250">
        <v>15.62</v>
      </c>
      <c r="V824" s="2250"/>
      <c r="W824" s="2250"/>
      <c r="X824" s="2250"/>
      <c r="Y824" s="2250">
        <v>18.97</v>
      </c>
      <c r="Z824" s="2250"/>
      <c r="AA824" s="2250"/>
      <c r="AB824" s="2250"/>
      <c r="AC824" s="2002">
        <v>24.37</v>
      </c>
      <c r="AD824" s="2003"/>
      <c r="AE824" s="2003"/>
      <c r="AF824" s="2004"/>
      <c r="AG824" s="2002"/>
      <c r="AH824" s="2003"/>
      <c r="AI824" s="2003"/>
      <c r="AJ824" s="200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306" t="s">
        <v>45</v>
      </c>
      <c r="D825" s="2307"/>
      <c r="E825" s="2307"/>
      <c r="F825" s="2307"/>
      <c r="G825" s="2307"/>
      <c r="H825" s="2307"/>
      <c r="I825" s="96"/>
      <c r="J825" s="96"/>
      <c r="K825" s="96"/>
      <c r="L825" s="97"/>
      <c r="M825" s="2250"/>
      <c r="N825" s="2250"/>
      <c r="O825" s="2250"/>
      <c r="P825" s="2250"/>
      <c r="Q825" s="2250"/>
      <c r="R825" s="2250"/>
      <c r="S825" s="2250"/>
      <c r="T825" s="2250"/>
      <c r="U825" s="2250">
        <v>10.81</v>
      </c>
      <c r="V825" s="2250"/>
      <c r="W825" s="2250"/>
      <c r="X825" s="2250"/>
      <c r="Y825" s="2250">
        <v>12.35</v>
      </c>
      <c r="Z825" s="2250"/>
      <c r="AA825" s="2250"/>
      <c r="AB825" s="2250"/>
      <c r="AC825" s="2002">
        <v>13.45</v>
      </c>
      <c r="AD825" s="2003"/>
      <c r="AE825" s="2003"/>
      <c r="AF825" s="2004"/>
      <c r="AG825" s="2002"/>
      <c r="AH825" s="2003"/>
      <c r="AI825" s="2003"/>
      <c r="AJ825" s="200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306" t="s">
        <v>824</v>
      </c>
      <c r="D826" s="2307"/>
      <c r="E826" s="2307"/>
      <c r="F826" s="2307"/>
      <c r="G826" s="2307"/>
      <c r="H826" s="2307"/>
      <c r="I826" s="96"/>
      <c r="J826" s="96"/>
      <c r="K826" s="96"/>
      <c r="L826" s="97"/>
      <c r="M826" s="2250"/>
      <c r="N826" s="2250"/>
      <c r="O826" s="2250"/>
      <c r="P826" s="2250"/>
      <c r="Q826" s="2250"/>
      <c r="R826" s="2250"/>
      <c r="S826" s="2250"/>
      <c r="T826" s="2250"/>
      <c r="U826" s="2250">
        <v>7.12</v>
      </c>
      <c r="V826" s="2250"/>
      <c r="W826" s="2250"/>
      <c r="X826" s="2250"/>
      <c r="Y826" s="2250">
        <v>8.8800000000000008</v>
      </c>
      <c r="Z826" s="2250"/>
      <c r="AA826" s="2250"/>
      <c r="AB826" s="2250"/>
      <c r="AC826" s="2002">
        <v>9.82</v>
      </c>
      <c r="AD826" s="2003"/>
      <c r="AE826" s="2003"/>
      <c r="AF826" s="2004"/>
      <c r="AG826" s="2002"/>
      <c r="AH826" s="2003"/>
      <c r="AI826" s="2003"/>
      <c r="AJ826" s="200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306" t="s">
        <v>494</v>
      </c>
      <c r="D827" s="2307"/>
      <c r="E827" s="2307"/>
      <c r="F827" s="2307"/>
      <c r="G827" s="2307"/>
      <c r="H827" s="2307"/>
      <c r="I827" s="96"/>
      <c r="J827" s="96"/>
      <c r="K827" s="96"/>
      <c r="L827" s="97"/>
      <c r="M827" s="2250"/>
      <c r="N827" s="2250"/>
      <c r="O827" s="2250"/>
      <c r="P827" s="2250"/>
      <c r="Q827" s="2250"/>
      <c r="R827" s="2250"/>
      <c r="S827" s="2250"/>
      <c r="T827" s="2250"/>
      <c r="U827" s="2250">
        <v>0.12</v>
      </c>
      <c r="V827" s="2250"/>
      <c r="W827" s="2250"/>
      <c r="X827" s="2250"/>
      <c r="Y827" s="2250">
        <v>0.03</v>
      </c>
      <c r="Z827" s="2250"/>
      <c r="AA827" s="2250"/>
      <c r="AB827" s="2250"/>
      <c r="AC827" s="2002"/>
      <c r="AD827" s="2003"/>
      <c r="AE827" s="2003"/>
      <c r="AF827" s="2004"/>
      <c r="AG827" s="2002"/>
      <c r="AH827" s="2003"/>
      <c r="AI827" s="2003"/>
      <c r="AJ827" s="200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3" t="s">
        <v>845</v>
      </c>
      <c r="D828" s="2307"/>
      <c r="E828" s="2307"/>
      <c r="F828" s="2307"/>
      <c r="G828" s="2307"/>
      <c r="H828" s="2307"/>
      <c r="I828" s="96"/>
      <c r="J828" s="96"/>
      <c r="K828" s="96"/>
      <c r="L828" s="97"/>
      <c r="M828" s="2250"/>
      <c r="N828" s="2250"/>
      <c r="O828" s="2250"/>
      <c r="P828" s="2250"/>
      <c r="Q828" s="2250"/>
      <c r="R828" s="2250"/>
      <c r="S828" s="2250"/>
      <c r="T828" s="2250"/>
      <c r="U828" s="2250"/>
      <c r="V828" s="2250"/>
      <c r="W828" s="2250"/>
      <c r="X828" s="2250"/>
      <c r="Y828" s="2250"/>
      <c r="Z828" s="2250"/>
      <c r="AA828" s="2250"/>
      <c r="AB828" s="2250"/>
      <c r="AC828" s="2002"/>
      <c r="AD828" s="2003"/>
      <c r="AE828" s="2003"/>
      <c r="AF828" s="2004"/>
      <c r="AG828" s="2002"/>
      <c r="AH828" s="2003"/>
      <c r="AI828" s="2003"/>
      <c r="AJ828" s="200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8" t="s">
        <v>345</v>
      </c>
      <c r="G829" s="2309"/>
      <c r="H829" s="2309"/>
      <c r="I829" s="2309"/>
      <c r="J829" s="2309"/>
      <c r="K829" s="2309"/>
      <c r="L829" s="2310"/>
      <c r="M829" s="2250"/>
      <c r="N829" s="2250"/>
      <c r="O829" s="2250"/>
      <c r="P829" s="2250"/>
      <c r="Q829" s="2250"/>
      <c r="R829" s="2250"/>
      <c r="S829" s="2250"/>
      <c r="T829" s="2250"/>
      <c r="U829" s="2250">
        <v>27.72</v>
      </c>
      <c r="V829" s="2250"/>
      <c r="W829" s="2250"/>
      <c r="X829" s="2250"/>
      <c r="Y829" s="2250">
        <v>32.340000000000003</v>
      </c>
      <c r="Z829" s="2250"/>
      <c r="AA829" s="2250"/>
      <c r="AB829" s="2250"/>
      <c r="AC829" s="2002">
        <v>36.69</v>
      </c>
      <c r="AD829" s="2003"/>
      <c r="AE829" s="2003"/>
      <c r="AF829" s="2004"/>
      <c r="AG829" s="2002"/>
      <c r="AH829" s="2003"/>
      <c r="AI829" s="2003"/>
      <c r="AJ829" s="200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52" t="s">
        <v>129</v>
      </c>
      <c r="D830" s="2253"/>
      <c r="E830" s="2253"/>
      <c r="F830" s="2253"/>
      <c r="G830" s="2253"/>
      <c r="H830" s="2253"/>
      <c r="I830" s="2253"/>
      <c r="J830" s="2253"/>
      <c r="K830" s="2253"/>
      <c r="L830" s="2254"/>
      <c r="M830" s="2304">
        <f>SUM(M823:P829)</f>
        <v>0</v>
      </c>
      <c r="N830" s="2304"/>
      <c r="O830" s="2304"/>
      <c r="P830" s="2304"/>
      <c r="Q830" s="2304">
        <f>SUM(Q823:T829)</f>
        <v>0</v>
      </c>
      <c r="R830" s="2304"/>
      <c r="S830" s="2304"/>
      <c r="T830" s="2304"/>
      <c r="U830" s="2304">
        <f>SUM(U823:X829)</f>
        <v>67.77</v>
      </c>
      <c r="V830" s="2304"/>
      <c r="W830" s="2304"/>
      <c r="X830" s="2304"/>
      <c r="Y830" s="2304">
        <f>SUM(Y823:AB829)</f>
        <v>81.540000000000006</v>
      </c>
      <c r="Z830" s="2304"/>
      <c r="AA830" s="2304"/>
      <c r="AB830" s="2304"/>
      <c r="AC830" s="2304">
        <f>SUM(AC823:AF829)</f>
        <v>92.82</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12" t="s">
        <v>2561</v>
      </c>
      <c r="D835" s="2413"/>
      <c r="E835" s="2413"/>
      <c r="F835" s="2413"/>
      <c r="G835" s="2413"/>
      <c r="H835" s="2413"/>
      <c r="I835" s="2413"/>
      <c r="J835" s="2413"/>
      <c r="K835" s="2413"/>
      <c r="L835" s="2413"/>
      <c r="M835" s="2413"/>
      <c r="N835" s="2413"/>
      <c r="O835" s="2413"/>
      <c r="P835" s="2413"/>
      <c r="Q835" s="2413"/>
      <c r="R835" s="2413"/>
      <c r="S835" s="2413"/>
      <c r="T835" s="2413"/>
      <c r="U835" s="2413"/>
      <c r="V835" s="2413"/>
      <c r="W835" s="2413"/>
      <c r="X835" s="2413"/>
      <c r="Y835" s="2413"/>
      <c r="Z835" s="2413"/>
      <c r="AA835" s="2413"/>
      <c r="AB835" s="2413"/>
      <c r="AC835" s="2413"/>
      <c r="AD835" s="2413"/>
      <c r="AE835" s="2413"/>
      <c r="AF835" s="2413"/>
      <c r="AG835" s="2413"/>
      <c r="AH835" s="2413"/>
      <c r="AI835" s="2413"/>
      <c r="AJ835" s="241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55">
        <v>15200</v>
      </c>
      <c r="X840" s="2055"/>
      <c r="Y840" s="2055"/>
      <c r="Z840" s="2055"/>
      <c r="AA840" s="2055"/>
      <c r="AB840" s="2055"/>
      <c r="AC840" s="205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55">
        <v>4500</v>
      </c>
      <c r="X841" s="2055"/>
      <c r="Y841" s="2055"/>
      <c r="Z841" s="2055"/>
      <c r="AA841" s="2055"/>
      <c r="AB841" s="2055"/>
      <c r="AC841" s="205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55">
        <v>15000</v>
      </c>
      <c r="X842" s="2055"/>
      <c r="Y842" s="2055"/>
      <c r="Z842" s="2055"/>
      <c r="AA842" s="2055"/>
      <c r="AB842" s="2055"/>
      <c r="AC842" s="205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55">
        <v>17600</v>
      </c>
      <c r="X843" s="2055"/>
      <c r="Y843" s="2055"/>
      <c r="Z843" s="2055"/>
      <c r="AA843" s="2055"/>
      <c r="AB843" s="2055"/>
      <c r="AC843" s="205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9" t="s">
        <v>2591</v>
      </c>
      <c r="N844" s="2309"/>
      <c r="O844" s="2309"/>
      <c r="P844" s="2309"/>
      <c r="Q844" s="2309"/>
      <c r="R844" s="2309"/>
      <c r="S844" s="2309"/>
      <c r="T844" s="2309"/>
      <c r="U844" s="2309"/>
      <c r="V844" s="2310"/>
      <c r="W844" s="2055">
        <f>12000+20000</f>
        <v>32000</v>
      </c>
      <c r="X844" s="2055"/>
      <c r="Y844" s="2055"/>
      <c r="Z844" s="2055"/>
      <c r="AA844" s="2055"/>
      <c r="AB844" s="2055"/>
      <c r="AC844" s="205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2">
        <f>ROUNDDOWN(BC932*2,2)</f>
        <v>0</v>
      </c>
      <c r="BJ844" s="2302"/>
      <c r="BK844" s="2302"/>
      <c r="BL844" s="2302"/>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56">
        <f>SUM(W840:AC844)</f>
        <v>84300</v>
      </c>
      <c r="X845" s="2057"/>
      <c r="Y845" s="2057"/>
      <c r="Z845" s="2057"/>
      <c r="AA845" s="2057"/>
      <c r="AB845" s="2057"/>
      <c r="AC845" s="205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52" t="s">
        <v>357</v>
      </c>
      <c r="K847" s="2253"/>
      <c r="L847" s="2253"/>
      <c r="M847" s="2253"/>
      <c r="N847" s="2253"/>
      <c r="O847" s="2253"/>
      <c r="P847" s="2253"/>
      <c r="Q847" s="2253"/>
      <c r="R847" s="2253"/>
      <c r="S847" s="2253"/>
      <c r="T847" s="2253"/>
      <c r="U847" s="2253"/>
      <c r="V847" s="2254"/>
      <c r="W847" s="2036">
        <f>101906+25537</f>
        <v>127443</v>
      </c>
      <c r="X847" s="2037"/>
      <c r="Y847" s="2037"/>
      <c r="Z847" s="2037"/>
      <c r="AA847" s="2037"/>
      <c r="AB847" s="2037"/>
      <c r="AC847" s="2038"/>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41"/>
      <c r="X849" s="2341"/>
      <c r="Y849" s="2341"/>
      <c r="Z849" s="2341"/>
      <c r="AA849" s="2341"/>
      <c r="AB849" s="2341"/>
      <c r="AC849" s="234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41">
        <v>1000</v>
      </c>
      <c r="X850" s="2341"/>
      <c r="Y850" s="2341"/>
      <c r="Z850" s="2341"/>
      <c r="AA850" s="2341"/>
      <c r="AB850" s="2341"/>
      <c r="AC850" s="234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41">
        <v>41828</v>
      </c>
      <c r="X851" s="2341"/>
      <c r="Y851" s="2341"/>
      <c r="Z851" s="2341"/>
      <c r="AA851" s="2341"/>
      <c r="AB851" s="2341"/>
      <c r="AC851" s="234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5"/>
      <c r="BH851" s="2305"/>
      <c r="BI851" s="2305"/>
      <c r="BJ851" s="2305"/>
      <c r="BK851" s="2305"/>
      <c r="BL851" s="2305"/>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41">
        <v>152000</v>
      </c>
      <c r="X852" s="2341"/>
      <c r="Y852" s="2341"/>
      <c r="Z852" s="2341"/>
      <c r="AA852" s="2341"/>
      <c r="AB852" s="2341"/>
      <c r="AC852" s="234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409">
        <f>SUM(W849:AC852)</f>
        <v>194828</v>
      </c>
      <c r="X853" s="2409"/>
      <c r="Y853" s="2409"/>
      <c r="Z853" s="2409"/>
      <c r="AA853" s="2409"/>
      <c r="AB853" s="2409"/>
      <c r="AC853" s="24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8">
        <f>SUM(AZ821:AZ849)</f>
        <v>0</v>
      </c>
      <c r="BA854" s="2408"/>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79">
        <v>209380</v>
      </c>
      <c r="X855" s="2380"/>
      <c r="Y855" s="2380"/>
      <c r="Z855" s="2380"/>
      <c r="AA855" s="2380"/>
      <c r="AB855" s="2380"/>
      <c r="AC855" s="2381"/>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402">
        <v>3.5</v>
      </c>
      <c r="U856" s="2403"/>
      <c r="V856" s="2404"/>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79">
        <v>60000</v>
      </c>
      <c r="X857" s="2380"/>
      <c r="Y857" s="2380"/>
      <c r="Z857" s="2380"/>
      <c r="AA857" s="2380"/>
      <c r="AB857" s="2380"/>
      <c r="AC857" s="238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402">
        <v>1</v>
      </c>
      <c r="U858" s="2403"/>
      <c r="V858" s="2404"/>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8" t="s">
        <v>345</v>
      </c>
      <c r="N859" s="2309"/>
      <c r="O859" s="2309"/>
      <c r="P859" s="2309"/>
      <c r="Q859" s="2309"/>
      <c r="R859" s="2309"/>
      <c r="S859" s="2309"/>
      <c r="T859" s="2309"/>
      <c r="U859" s="2309"/>
      <c r="V859" s="2310"/>
      <c r="W859" s="2379"/>
      <c r="X859" s="2380"/>
      <c r="Y859" s="2380"/>
      <c r="Z859" s="2380"/>
      <c r="AA859" s="2380"/>
      <c r="AB859" s="2380"/>
      <c r="AC859" s="238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42">
        <f>SUM(W855:AC859)</f>
        <v>269380</v>
      </c>
      <c r="X860" s="2343"/>
      <c r="Y860" s="2343"/>
      <c r="Z860" s="2343"/>
      <c r="AA860" s="2343"/>
      <c r="AB860" s="2343"/>
      <c r="AC860" s="2344"/>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79">
        <v>50400</v>
      </c>
      <c r="X861" s="2380"/>
      <c r="Y861" s="2380"/>
      <c r="Z861" s="2380"/>
      <c r="AA861" s="2380"/>
      <c r="AB861" s="2380"/>
      <c r="AC861" s="238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55">
        <v>20000</v>
      </c>
      <c r="X863" s="2055"/>
      <c r="Y863" s="2055"/>
      <c r="Z863" s="2055"/>
      <c r="AA863" s="2055"/>
      <c r="AB863" s="2055"/>
      <c r="AC863" s="205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55">
        <v>38000</v>
      </c>
      <c r="X864" s="2055"/>
      <c r="Y864" s="2055"/>
      <c r="Z864" s="2055"/>
      <c r="AA864" s="2055"/>
      <c r="AB864" s="2055"/>
      <c r="AC864" s="205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55">
        <v>96000</v>
      </c>
      <c r="X865" s="2055"/>
      <c r="Y865" s="2055"/>
      <c r="Z865" s="2055"/>
      <c r="AA865" s="2055"/>
      <c r="AB865" s="2055"/>
      <c r="AC865" s="205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55">
        <v>12800</v>
      </c>
      <c r="X866" s="2055"/>
      <c r="Y866" s="2055"/>
      <c r="Z866" s="2055"/>
      <c r="AA866" s="2055"/>
      <c r="AB866" s="2055"/>
      <c r="AC866" s="205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55">
        <v>32000</v>
      </c>
      <c r="X867" s="2055"/>
      <c r="Y867" s="2055"/>
      <c r="Z867" s="2055"/>
      <c r="AA867" s="2055"/>
      <c r="AB867" s="2055"/>
      <c r="AC867" s="205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55"/>
      <c r="X868" s="2055"/>
      <c r="Y868" s="2055"/>
      <c r="Z868" s="2055"/>
      <c r="AA868" s="2055"/>
      <c r="AB868" s="2055"/>
      <c r="AC868" s="205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9"/>
      <c r="N869" s="2309"/>
      <c r="O869" s="2309"/>
      <c r="P869" s="2309"/>
      <c r="Q869" s="2309"/>
      <c r="R869" s="2309"/>
      <c r="S869" s="2309"/>
      <c r="T869" s="2309"/>
      <c r="U869" s="2309"/>
      <c r="V869" s="2310"/>
      <c r="W869" s="2055"/>
      <c r="X869" s="2055"/>
      <c r="Y869" s="2055"/>
      <c r="Z869" s="2055"/>
      <c r="AA869" s="2055"/>
      <c r="AB869" s="2055"/>
      <c r="AC869" s="205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39">
        <f>SUM(W863:AC869)</f>
        <v>198800</v>
      </c>
      <c r="X870" s="2339"/>
      <c r="Y870" s="2339"/>
      <c r="Z870" s="2339"/>
      <c r="AA870" s="2339"/>
      <c r="AB870" s="2339"/>
      <c r="AC870" s="233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308" t="s">
        <v>345</v>
      </c>
      <c r="N872" s="2309"/>
      <c r="O872" s="2309"/>
      <c r="P872" s="2309"/>
      <c r="Q872" s="2309"/>
      <c r="R872" s="2309"/>
      <c r="S872" s="2309"/>
      <c r="T872" s="2309"/>
      <c r="U872" s="2309"/>
      <c r="V872" s="2310"/>
      <c r="W872" s="2036"/>
      <c r="X872" s="2037"/>
      <c r="Y872" s="2037"/>
      <c r="Z872" s="2037"/>
      <c r="AA872" s="2037"/>
      <c r="AB872" s="2037"/>
      <c r="AC872" s="2038"/>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308" t="s">
        <v>345</v>
      </c>
      <c r="N873" s="2309"/>
      <c r="O873" s="2309"/>
      <c r="P873" s="2309"/>
      <c r="Q873" s="2309"/>
      <c r="R873" s="2309"/>
      <c r="S873" s="2309"/>
      <c r="T873" s="2309"/>
      <c r="U873" s="2309"/>
      <c r="V873" s="2310"/>
      <c r="W873" s="2036"/>
      <c r="X873" s="2037"/>
      <c r="Y873" s="2037"/>
      <c r="Z873" s="2037"/>
      <c r="AA873" s="2037"/>
      <c r="AB873" s="2037"/>
      <c r="AC873" s="2038"/>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8" t="s">
        <v>345</v>
      </c>
      <c r="N874" s="2309"/>
      <c r="O874" s="2309"/>
      <c r="P874" s="2309"/>
      <c r="Q874" s="2309"/>
      <c r="R874" s="2309"/>
      <c r="S874" s="2309"/>
      <c r="T874" s="2309"/>
      <c r="U874" s="2309"/>
      <c r="V874" s="2310"/>
      <c r="W874" s="2036"/>
      <c r="X874" s="2037"/>
      <c r="Y874" s="2037"/>
      <c r="Z874" s="2037"/>
      <c r="AA874" s="2037"/>
      <c r="AB874" s="2037"/>
      <c r="AC874" s="203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8" t="s">
        <v>345</v>
      </c>
      <c r="N875" s="2309"/>
      <c r="O875" s="2309"/>
      <c r="P875" s="2309"/>
      <c r="Q875" s="2309"/>
      <c r="R875" s="2309"/>
      <c r="S875" s="2309"/>
      <c r="T875" s="2309"/>
      <c r="U875" s="2309"/>
      <c r="V875" s="2310"/>
      <c r="W875" s="2036"/>
      <c r="X875" s="2037"/>
      <c r="Y875" s="2037"/>
      <c r="Z875" s="2037"/>
      <c r="AA875" s="2037"/>
      <c r="AB875" s="2037"/>
      <c r="AC875" s="203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8" t="s">
        <v>345</v>
      </c>
      <c r="N876" s="2309"/>
      <c r="O876" s="2309"/>
      <c r="P876" s="2309"/>
      <c r="Q876" s="2309"/>
      <c r="R876" s="2309"/>
      <c r="S876" s="2309"/>
      <c r="T876" s="2309"/>
      <c r="U876" s="2309"/>
      <c r="V876" s="2310"/>
      <c r="W876" s="2036"/>
      <c r="X876" s="2037"/>
      <c r="Y876" s="2037"/>
      <c r="Z876" s="2037"/>
      <c r="AA876" s="2037"/>
      <c r="AB876" s="2037"/>
      <c r="AC876" s="203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56">
        <f>SUM(W872:AC876)</f>
        <v>0</v>
      </c>
      <c r="X877" s="2057"/>
      <c r="Y877" s="2057"/>
      <c r="Z877" s="2057"/>
      <c r="AA877" s="2057"/>
      <c r="AB877" s="2057"/>
      <c r="AC877" s="205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057">
        <f>W845+W853+W860+W861+W870+W877+W847</f>
        <v>925151</v>
      </c>
      <c r="AD881" s="2057"/>
      <c r="AE881" s="2057"/>
      <c r="AF881" s="2057"/>
      <c r="AG881" s="2057"/>
      <c r="AH881" s="205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400">
        <f>O796+O776+G753</f>
        <v>160</v>
      </c>
      <c r="AD882" s="2400"/>
      <c r="AE882" s="2400"/>
      <c r="AF882" s="2400"/>
      <c r="AG882" s="2400"/>
      <c r="AH882" s="240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98" t="s">
        <v>33</v>
      </c>
      <c r="F883" s="2398"/>
      <c r="G883" s="2398"/>
      <c r="H883" s="2398"/>
      <c r="I883" s="2398"/>
      <c r="J883" s="2398"/>
      <c r="K883" s="2398"/>
      <c r="L883" s="2398"/>
      <c r="M883" s="2398"/>
      <c r="N883" s="2398"/>
      <c r="O883" s="2398"/>
      <c r="P883" s="2398"/>
      <c r="Q883" s="2398"/>
      <c r="R883" s="2398"/>
      <c r="S883" s="2398"/>
      <c r="T883" s="2398"/>
      <c r="U883" s="2398"/>
      <c r="V883" s="2398"/>
      <c r="W883" s="2398"/>
      <c r="X883" s="2398"/>
      <c r="Y883" s="2398"/>
      <c r="Z883" s="2398"/>
      <c r="AA883" s="2398"/>
      <c r="AB883" s="2399"/>
      <c r="AC883" s="2339">
        <f>IF(ISERROR((ROUNDDOWN(AC881/AC882,0))),0,(ROUNDDOWN(AC881/AC882,0)))</f>
        <v>5782</v>
      </c>
      <c r="AD883" s="2339"/>
      <c r="AE883" s="2339"/>
      <c r="AF883" s="2339"/>
      <c r="AG883" s="2339"/>
      <c r="AH883" s="233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405">
        <f>'Sources and Uses Budget'!C75</f>
        <v>1294276</v>
      </c>
      <c r="AD884" s="2406"/>
      <c r="AE884" s="2406"/>
      <c r="AF884" s="2406"/>
      <c r="AG884" s="2406"/>
      <c r="AH884" s="240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38"/>
      <c r="AD885" s="2055"/>
      <c r="AE885" s="2055"/>
      <c r="AF885" s="2055"/>
      <c r="AG885" s="2055"/>
      <c r="AH885" s="205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37">
        <f>'Service Amenities Budget'!G35</f>
        <v>31200</v>
      </c>
      <c r="AD886" s="2037"/>
      <c r="AE886" s="2037"/>
      <c r="AF886" s="2037"/>
      <c r="AG886" s="2037"/>
      <c r="AH886" s="203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37">
        <f>48000</f>
        <v>48000</v>
      </c>
      <c r="AD887" s="2037"/>
      <c r="AE887" s="2037"/>
      <c r="AF887" s="2037"/>
      <c r="AG887" s="2037"/>
      <c r="AH887" s="203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02"/>
      <c r="AD888" s="2003"/>
      <c r="AE888" s="2003"/>
      <c r="AF888" s="2003"/>
      <c r="AG888" s="2003"/>
      <c r="AH888" s="200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37"/>
      <c r="AD889" s="2037"/>
      <c r="AE889" s="2037"/>
      <c r="AF889" s="2037"/>
      <c r="AG889" s="2037"/>
      <c r="AH889" s="2038"/>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37">
        <v>24000</v>
      </c>
      <c r="AD890" s="2037"/>
      <c r="AE890" s="2037"/>
      <c r="AF890" s="2037"/>
      <c r="AG890" s="2037"/>
      <c r="AH890" s="203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7" t="s">
        <v>1039</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55"/>
      <c r="AD891" s="2055"/>
      <c r="AE891" s="2055"/>
      <c r="AF891" s="2055"/>
      <c r="AG891" s="2055"/>
      <c r="AH891" s="205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7" t="s">
        <v>1039</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55"/>
      <c r="AD892" s="2055"/>
      <c r="AE892" s="2055"/>
      <c r="AF892" s="2055"/>
      <c r="AG892" s="2055"/>
      <c r="AH892" s="205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36"/>
      <c r="AA896" s="2037"/>
      <c r="AB896" s="2037"/>
      <c r="AC896" s="2037"/>
      <c r="AD896" s="2037"/>
      <c r="AE896" s="2038"/>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36"/>
      <c r="AA897" s="2037"/>
      <c r="AB897" s="2037"/>
      <c r="AC897" s="2037"/>
      <c r="AD897" s="2037"/>
      <c r="AE897" s="203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36"/>
      <c r="AA898" s="2037"/>
      <c r="AB898" s="2037"/>
      <c r="AC898" s="2037"/>
      <c r="AD898" s="2037"/>
      <c r="AE898" s="203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56">
        <f>Z896-(Z897+Z898)</f>
        <v>0</v>
      </c>
      <c r="AA899" s="2057"/>
      <c r="AB899" s="2057"/>
      <c r="AC899" s="2057"/>
      <c r="AD899" s="2057"/>
      <c r="AE899" s="2058"/>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88"/>
      <c r="BE901" s="2388"/>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411"/>
      <c r="BE902" s="2411"/>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3"/>
      <c r="BE903" s="230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3"/>
      <c r="BE904" s="230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3"/>
      <c r="BE905" s="230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88"/>
      <c r="BE906" s="230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92" t="s">
        <v>101</v>
      </c>
      <c r="B907" s="2392"/>
      <c r="C907" s="2392"/>
      <c r="D907" s="2392"/>
      <c r="E907" s="2392"/>
      <c r="F907" s="2392"/>
      <c r="G907" s="2392"/>
      <c r="H907" s="2392"/>
      <c r="I907" s="2392"/>
      <c r="J907" s="2392"/>
      <c r="K907" s="2392"/>
      <c r="L907" s="2392"/>
      <c r="M907" s="2392"/>
      <c r="N907" s="2392"/>
      <c r="O907" s="2392"/>
      <c r="P907" s="2392"/>
      <c r="Q907" s="2392"/>
      <c r="R907" s="2392"/>
      <c r="S907" s="2392"/>
      <c r="T907" s="2392"/>
      <c r="U907" s="2392"/>
      <c r="V907" s="2392"/>
      <c r="W907" s="2392"/>
      <c r="X907" s="2392"/>
      <c r="Y907" s="2392"/>
      <c r="Z907" s="2392"/>
      <c r="AA907" s="2392"/>
      <c r="AB907" s="2392"/>
      <c r="AC907" s="2392"/>
      <c r="AD907" s="2392"/>
      <c r="AE907" s="2392"/>
      <c r="AF907" s="2392"/>
      <c r="AG907" s="2392"/>
      <c r="AH907" s="2392"/>
      <c r="AI907" s="2392"/>
      <c r="AJ907" s="2392"/>
      <c r="AK907" s="2392"/>
      <c r="AL907" s="2392"/>
      <c r="AM907" s="144"/>
      <c r="AN907" s="144"/>
      <c r="AO907" s="144"/>
      <c r="AP907" s="144"/>
      <c r="AQ907" s="144"/>
      <c r="AR907" s="144"/>
      <c r="AS907" s="144"/>
      <c r="AT907" s="144"/>
      <c r="AU907" s="144"/>
      <c r="AV907" s="144"/>
      <c r="AW907" s="144"/>
      <c r="AX907" s="144"/>
      <c r="AY907" s="144"/>
      <c r="AZ907" s="61"/>
      <c r="BA907" s="25"/>
      <c r="BB907" s="127"/>
      <c r="BC907" s="1609"/>
      <c r="BD907" s="2410"/>
      <c r="BE907" s="2410"/>
      <c r="BF907" s="2410"/>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93"/>
      <c r="B908" s="2393"/>
      <c r="C908" s="2393"/>
      <c r="D908" s="2393"/>
      <c r="E908" s="2393"/>
      <c r="F908" s="2393"/>
      <c r="G908" s="2393"/>
      <c r="H908" s="2393"/>
      <c r="I908" s="2393"/>
      <c r="J908" s="2393"/>
      <c r="K908" s="2393"/>
      <c r="L908" s="2393"/>
      <c r="M908" s="2393"/>
      <c r="N908" s="2393"/>
      <c r="O908" s="2393"/>
      <c r="P908" s="2393"/>
      <c r="Q908" s="2393"/>
      <c r="R908" s="2393"/>
      <c r="S908" s="2393"/>
      <c r="T908" s="2393"/>
      <c r="U908" s="2393"/>
      <c r="V908" s="2393"/>
      <c r="W908" s="2393"/>
      <c r="X908" s="2393"/>
      <c r="Y908" s="2393"/>
      <c r="Z908" s="2393"/>
      <c r="AA908" s="2393"/>
      <c r="AB908" s="2393"/>
      <c r="AC908" s="2393"/>
      <c r="AD908" s="2393"/>
      <c r="AE908" s="2393"/>
      <c r="AF908" s="2393"/>
      <c r="AG908" s="2393"/>
      <c r="AH908" s="2393"/>
      <c r="AI908" s="2393"/>
      <c r="AJ908" s="2393"/>
      <c r="AK908" s="2393"/>
      <c r="AL908" s="2393"/>
      <c r="AM908" s="144"/>
      <c r="AN908" s="144"/>
      <c r="AO908" s="144"/>
      <c r="AP908" s="144"/>
      <c r="AQ908" s="144"/>
      <c r="AR908" s="144"/>
      <c r="AS908" s="144"/>
      <c r="AT908" s="144"/>
      <c r="AU908" s="144"/>
      <c r="AV908" s="144"/>
      <c r="AW908" s="144"/>
      <c r="AX908" s="144"/>
      <c r="AY908" s="144"/>
      <c r="AZ908" s="61"/>
      <c r="BA908" s="25"/>
      <c r="BB908" s="127"/>
      <c r="BC908" s="1609"/>
      <c r="BD908" s="2407"/>
      <c r="BE908" s="2407"/>
      <c r="BF908" s="2407"/>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3"/>
      <c r="BE909" s="230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88"/>
      <c r="BE910" s="230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4" t="s">
        <v>854</v>
      </c>
      <c r="G912" s="2075"/>
      <c r="H912" s="2075"/>
      <c r="I912" s="2075"/>
      <c r="J912" s="2075"/>
      <c r="K912" s="2075"/>
      <c r="L912" s="2075"/>
      <c r="M912" s="2075"/>
      <c r="N912" s="2075"/>
      <c r="O912" s="2075"/>
      <c r="P912" s="2075"/>
      <c r="Q912" s="2075"/>
      <c r="R912" s="2075"/>
      <c r="S912" s="2075"/>
      <c r="T912" s="2076"/>
      <c r="U912" s="2065" t="s">
        <v>32</v>
      </c>
      <c r="V912" s="2066"/>
      <c r="W912" s="2066"/>
      <c r="X912" s="2066"/>
      <c r="Y912" s="2066"/>
      <c r="Z912" s="2066"/>
      <c r="AA912" s="73"/>
      <c r="AB912" s="161"/>
      <c r="AC912" s="161"/>
      <c r="AD912" s="161"/>
      <c r="AE912" s="161"/>
      <c r="AF912" s="162"/>
      <c r="AZ912" s="61"/>
      <c r="BA912" s="1608"/>
      <c r="BB912" s="127"/>
      <c r="BC912" s="127"/>
      <c r="BD912" s="2388"/>
      <c r="BE912" s="230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8" t="s">
        <v>883</v>
      </c>
      <c r="G913" s="2069"/>
      <c r="H913" s="2069"/>
      <c r="I913" s="2069"/>
      <c r="J913" s="2069"/>
      <c r="K913" s="2069"/>
      <c r="L913" s="2069"/>
      <c r="M913" s="2069"/>
      <c r="N913" s="2069"/>
      <c r="O913" s="2069"/>
      <c r="P913" s="2069"/>
      <c r="Q913" s="2069"/>
      <c r="R913" s="2069"/>
      <c r="S913" s="2069"/>
      <c r="T913" s="2070"/>
      <c r="U913" s="2068"/>
      <c r="V913" s="2069"/>
      <c r="W913" s="2069"/>
      <c r="X913" s="2069"/>
      <c r="Y913" s="2069"/>
      <c r="Z913" s="206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71"/>
      <c r="G914" s="2072"/>
      <c r="H914" s="2072"/>
      <c r="I914" s="2072"/>
      <c r="J914" s="2072"/>
      <c r="K914" s="2072"/>
      <c r="L914" s="2072"/>
      <c r="M914" s="2072"/>
      <c r="N914" s="2072"/>
      <c r="O914" s="2072"/>
      <c r="P914" s="2072"/>
      <c r="Q914" s="2072"/>
      <c r="R914" s="2072"/>
      <c r="S914" s="2072"/>
      <c r="T914" s="2073"/>
      <c r="U914" s="2071"/>
      <c r="V914" s="2072"/>
      <c r="W914" s="2072"/>
      <c r="X914" s="2072"/>
      <c r="Y914" s="2072"/>
      <c r="Z914" s="2072"/>
      <c r="AA914" s="164"/>
      <c r="AB914" s="2321" t="s">
        <v>412</v>
      </c>
      <c r="AC914" s="2321"/>
      <c r="AD914" s="2321"/>
      <c r="AE914" s="2321"/>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8" t="s">
        <v>580</v>
      </c>
      <c r="V915" s="2319"/>
      <c r="W915" s="2319"/>
      <c r="X915" s="2319"/>
      <c r="Y915" s="2319"/>
      <c r="Z915" s="2320"/>
      <c r="AA915" s="2244">
        <f>AM564</f>
        <v>35000000</v>
      </c>
      <c r="AB915" s="2245"/>
      <c r="AC915" s="2245"/>
      <c r="AD915" s="2245"/>
      <c r="AE915" s="2245"/>
      <c r="AF915" s="224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8" t="s">
        <v>580</v>
      </c>
      <c r="V916" s="2319"/>
      <c r="W916" s="2319"/>
      <c r="X916" s="2319"/>
      <c r="Y916" s="2319"/>
      <c r="Z916" s="2320"/>
      <c r="AA916" s="2244">
        <f>AM565</f>
        <v>19187591</v>
      </c>
      <c r="AB916" s="2245"/>
      <c r="AC916" s="2245"/>
      <c r="AD916" s="2245"/>
      <c r="AE916" s="2245"/>
      <c r="AF916" s="224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8" t="s">
        <v>628</v>
      </c>
      <c r="V917" s="2319"/>
      <c r="W917" s="2319"/>
      <c r="X917" s="2319"/>
      <c r="Y917" s="2319"/>
      <c r="Z917" s="2320"/>
      <c r="AA917" s="2244"/>
      <c r="AB917" s="2245"/>
      <c r="AC917" s="2245"/>
      <c r="AD917" s="2245"/>
      <c r="AE917" s="2245"/>
      <c r="AF917" s="224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8" t="s">
        <v>628</v>
      </c>
      <c r="V918" s="2319"/>
      <c r="W918" s="2319"/>
      <c r="X918" s="2319"/>
      <c r="Y918" s="2319"/>
      <c r="Z918" s="2320"/>
      <c r="AA918" s="2244"/>
      <c r="AB918" s="2245"/>
      <c r="AC918" s="2245"/>
      <c r="AD918" s="2245"/>
      <c r="AE918" s="2245"/>
      <c r="AF918" s="224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8" t="s">
        <v>628</v>
      </c>
      <c r="V919" s="2319"/>
      <c r="W919" s="2319"/>
      <c r="X919" s="2319"/>
      <c r="Y919" s="2319"/>
      <c r="Z919" s="2320"/>
      <c r="AA919" s="2244"/>
      <c r="AB919" s="2245"/>
      <c r="AC919" s="2245"/>
      <c r="AD919" s="2245"/>
      <c r="AE919" s="2245"/>
      <c r="AF919" s="224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8" t="s">
        <v>628</v>
      </c>
      <c r="V920" s="2319"/>
      <c r="W920" s="2319"/>
      <c r="X920" s="2319"/>
      <c r="Y920" s="2319"/>
      <c r="Z920" s="2320"/>
      <c r="AA920" s="2244"/>
      <c r="AB920" s="2245"/>
      <c r="AC920" s="2245"/>
      <c r="AD920" s="2245"/>
      <c r="AE920" s="2245"/>
      <c r="AF920" s="224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8" t="s">
        <v>628</v>
      </c>
      <c r="V921" s="2319"/>
      <c r="W921" s="2319"/>
      <c r="X921" s="2319"/>
      <c r="Y921" s="2319"/>
      <c r="Z921" s="2320"/>
      <c r="AA921" s="2244"/>
      <c r="AB921" s="2245"/>
      <c r="AC921" s="2245"/>
      <c r="AD921" s="2245"/>
      <c r="AE921" s="2245"/>
      <c r="AF921" s="224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8" t="s">
        <v>628</v>
      </c>
      <c r="V922" s="2319"/>
      <c r="W922" s="2319"/>
      <c r="X922" s="2319"/>
      <c r="Y922" s="2319"/>
      <c r="Z922" s="2320"/>
      <c r="AA922" s="2244"/>
      <c r="AB922" s="2245"/>
      <c r="AC922" s="2245"/>
      <c r="AD922" s="2245"/>
      <c r="AE922" s="2245"/>
      <c r="AF922" s="224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8" t="s">
        <v>628</v>
      </c>
      <c r="V923" s="2319"/>
      <c r="W923" s="2319"/>
      <c r="X923" s="2319"/>
      <c r="Y923" s="2319"/>
      <c r="Z923" s="2320"/>
      <c r="AA923" s="2244"/>
      <c r="AB923" s="2245"/>
      <c r="AC923" s="2245"/>
      <c r="AD923" s="2245"/>
      <c r="AE923" s="2245"/>
      <c r="AF923" s="224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8" t="s">
        <v>628</v>
      </c>
      <c r="V924" s="2319"/>
      <c r="W924" s="2319"/>
      <c r="X924" s="2319"/>
      <c r="Y924" s="2319"/>
      <c r="Z924" s="2320"/>
      <c r="AA924" s="2244"/>
      <c r="AB924" s="2245"/>
      <c r="AC924" s="2245"/>
      <c r="AD924" s="2245"/>
      <c r="AE924" s="2245"/>
      <c r="AF924" s="224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18" t="s">
        <v>628</v>
      </c>
      <c r="V925" s="2319"/>
      <c r="W925" s="2319"/>
      <c r="X925" s="2319"/>
      <c r="Y925" s="2319"/>
      <c r="Z925" s="2320"/>
      <c r="AA925" s="2244"/>
      <c r="AB925" s="2245"/>
      <c r="AC925" s="2245"/>
      <c r="AD925" s="2245"/>
      <c r="AE925" s="2245"/>
      <c r="AF925" s="224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8" t="s">
        <v>628</v>
      </c>
      <c r="V926" s="2319"/>
      <c r="W926" s="2319"/>
      <c r="X926" s="2319"/>
      <c r="Y926" s="2319"/>
      <c r="Z926" s="2320"/>
      <c r="AA926" s="2244"/>
      <c r="AB926" s="2245"/>
      <c r="AC926" s="2245"/>
      <c r="AD926" s="2245"/>
      <c r="AE926" s="2245"/>
      <c r="AF926" s="224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8" t="s">
        <v>628</v>
      </c>
      <c r="V927" s="2319"/>
      <c r="W927" s="2319"/>
      <c r="X927" s="2319"/>
      <c r="Y927" s="2319"/>
      <c r="Z927" s="2320"/>
      <c r="AA927" s="2244"/>
      <c r="AB927" s="2245"/>
      <c r="AC927" s="2245"/>
      <c r="AD927" s="2245"/>
      <c r="AE927" s="2245"/>
      <c r="AF927" s="224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18" t="s">
        <v>628</v>
      </c>
      <c r="V928" s="2319"/>
      <c r="W928" s="2319"/>
      <c r="X928" s="2319"/>
      <c r="Y928" s="2319"/>
      <c r="Z928" s="2320"/>
      <c r="AA928" s="2244"/>
      <c r="AB928" s="2245"/>
      <c r="AC928" s="2245"/>
      <c r="AD928" s="2245"/>
      <c r="AE928" s="2245"/>
      <c r="AF928" s="224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18" t="s">
        <v>628</v>
      </c>
      <c r="V929" s="2319"/>
      <c r="W929" s="2319"/>
      <c r="X929" s="2319"/>
      <c r="Y929" s="2319"/>
      <c r="Z929" s="2320"/>
      <c r="AA929" s="2244"/>
      <c r="AB929" s="2245"/>
      <c r="AC929" s="2245"/>
      <c r="AD929" s="2245"/>
      <c r="AE929" s="2245"/>
      <c r="AF929" s="224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8" t="s">
        <v>708</v>
      </c>
      <c r="Q930" s="2319"/>
      <c r="R930" s="2319"/>
      <c r="S930" s="2319"/>
      <c r="T930" s="2320"/>
      <c r="U930" s="2318" t="s">
        <v>628</v>
      </c>
      <c r="V930" s="2319"/>
      <c r="W930" s="2319"/>
      <c r="X930" s="2319"/>
      <c r="Y930" s="2319"/>
      <c r="Z930" s="2320"/>
      <c r="AA930" s="2244"/>
      <c r="AB930" s="2245"/>
      <c r="AC930" s="2245"/>
      <c r="AD930" s="2245"/>
      <c r="AE930" s="2245"/>
      <c r="AF930" s="224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6" t="s">
        <v>2590</v>
      </c>
      <c r="J931" s="2337"/>
      <c r="K931" s="2337"/>
      <c r="L931" s="2337"/>
      <c r="M931" s="2337"/>
      <c r="N931" s="2337"/>
      <c r="O931" s="2337"/>
      <c r="P931" s="2337"/>
      <c r="Q931" s="2337"/>
      <c r="R931" s="2337"/>
      <c r="S931" s="2337"/>
      <c r="T931" s="2338"/>
      <c r="U931" s="2318" t="s">
        <v>580</v>
      </c>
      <c r="V931" s="2319"/>
      <c r="W931" s="2319"/>
      <c r="X931" s="2319"/>
      <c r="Y931" s="2319"/>
      <c r="Z931" s="2320"/>
      <c r="AA931" s="2244">
        <v>7000000</v>
      </c>
      <c r="AB931" s="2245"/>
      <c r="AC931" s="2245"/>
      <c r="AD931" s="2245"/>
      <c r="AE931" s="2245"/>
      <c r="AF931" s="224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2" t="s">
        <v>345</v>
      </c>
      <c r="J932" s="2373"/>
      <c r="K932" s="2373"/>
      <c r="L932" s="2373"/>
      <c r="M932" s="2373"/>
      <c r="N932" s="2373"/>
      <c r="O932" s="2373"/>
      <c r="P932" s="2373"/>
      <c r="Q932" s="2373"/>
      <c r="R932" s="2373"/>
      <c r="S932" s="2373"/>
      <c r="T932" s="2374"/>
      <c r="U932" s="2318" t="s">
        <v>628</v>
      </c>
      <c r="V932" s="2319"/>
      <c r="W932" s="2319"/>
      <c r="X932" s="2319"/>
      <c r="Y932" s="2319"/>
      <c r="Z932" s="2320"/>
      <c r="AA932" s="2244"/>
      <c r="AB932" s="2245"/>
      <c r="AC932" s="2245"/>
      <c r="AD932" s="2245"/>
      <c r="AE932" s="2245"/>
      <c r="AF932" s="224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2" t="s">
        <v>345</v>
      </c>
      <c r="J933" s="2373"/>
      <c r="K933" s="2373"/>
      <c r="L933" s="2373"/>
      <c r="M933" s="2373"/>
      <c r="N933" s="2373"/>
      <c r="O933" s="2373"/>
      <c r="P933" s="2373"/>
      <c r="Q933" s="2373"/>
      <c r="R933" s="2373"/>
      <c r="S933" s="2373"/>
      <c r="T933" s="2374"/>
      <c r="U933" s="2318" t="s">
        <v>628</v>
      </c>
      <c r="V933" s="2319"/>
      <c r="W933" s="2319"/>
      <c r="X933" s="2319"/>
      <c r="Y933" s="2319"/>
      <c r="Z933" s="2320"/>
      <c r="AA933" s="2244"/>
      <c r="AB933" s="2245"/>
      <c r="AC933" s="2245"/>
      <c r="AD933" s="2245"/>
      <c r="AE933" s="2245"/>
      <c r="AF933" s="224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2" t="s">
        <v>345</v>
      </c>
      <c r="J934" s="2373"/>
      <c r="K934" s="2373"/>
      <c r="L934" s="2373"/>
      <c r="M934" s="2373"/>
      <c r="N934" s="2373"/>
      <c r="O934" s="2373"/>
      <c r="P934" s="2373"/>
      <c r="Q934" s="2373"/>
      <c r="R934" s="2373"/>
      <c r="S934" s="2373"/>
      <c r="T934" s="2374"/>
      <c r="U934" s="2318" t="s">
        <v>628</v>
      </c>
      <c r="V934" s="2319"/>
      <c r="W934" s="2319"/>
      <c r="X934" s="2319"/>
      <c r="Y934" s="2319"/>
      <c r="Z934" s="2320"/>
      <c r="AA934" s="2244"/>
      <c r="AB934" s="2245"/>
      <c r="AC934" s="2245"/>
      <c r="AD934" s="2245"/>
      <c r="AE934" s="2245"/>
      <c r="AF934" s="224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1"/>
      <c r="N939" s="2299"/>
      <c r="O939" s="2299"/>
      <c r="P939" s="2299"/>
      <c r="Q939" s="2299"/>
      <c r="R939" s="2299"/>
      <c r="S939" s="2332"/>
      <c r="U939" s="103" t="s">
        <v>11</v>
      </c>
      <c r="V939" s="77"/>
      <c r="W939" s="77"/>
      <c r="X939" s="77"/>
      <c r="Y939" s="77"/>
      <c r="Z939" s="77"/>
      <c r="AA939" s="77"/>
      <c r="AB939" s="77"/>
      <c r="AC939" s="77"/>
      <c r="AD939" s="78"/>
      <c r="AE939" s="2331"/>
      <c r="AF939" s="2299"/>
      <c r="AG939" s="2299"/>
      <c r="AH939" s="2299"/>
      <c r="AI939" s="2299"/>
      <c r="AJ939" s="2299"/>
      <c r="AK939" s="233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82"/>
      <c r="N940" s="2383"/>
      <c r="O940" s="2383"/>
      <c r="P940" s="2383"/>
      <c r="Q940" s="2383"/>
      <c r="R940" s="2383"/>
      <c r="S940" s="2384"/>
      <c r="U940" s="103" t="s">
        <v>12</v>
      </c>
      <c r="V940" s="77"/>
      <c r="W940" s="77"/>
      <c r="X940" s="77"/>
      <c r="Y940" s="77"/>
      <c r="Z940" s="77"/>
      <c r="AA940" s="77"/>
      <c r="AB940" s="77"/>
      <c r="AC940" s="77"/>
      <c r="AD940" s="78"/>
      <c r="AE940" s="2382"/>
      <c r="AF940" s="2383"/>
      <c r="AG940" s="2383"/>
      <c r="AH940" s="2383"/>
      <c r="AI940" s="2383"/>
      <c r="AJ940" s="2383"/>
      <c r="AK940" s="238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22" t="s">
        <v>318</v>
      </c>
      <c r="K941" s="2323"/>
      <c r="L941" s="2323"/>
      <c r="M941" s="2323"/>
      <c r="N941" s="2323"/>
      <c r="O941" s="2323"/>
      <c r="P941" s="2323"/>
      <c r="Q941" s="2323"/>
      <c r="R941" s="2323"/>
      <c r="S941" s="2324"/>
      <c r="U941" s="103" t="s">
        <v>949</v>
      </c>
      <c r="V941" s="77"/>
      <c r="W941" s="77"/>
      <c r="AB941" s="2322" t="s">
        <v>318</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4"/>
      <c r="N942" s="2329"/>
      <c r="O942" s="2329"/>
      <c r="P942" s="2329"/>
      <c r="Q942" s="2329"/>
      <c r="R942" s="2329"/>
      <c r="S942" s="2330"/>
      <c r="U942" s="103" t="s">
        <v>13</v>
      </c>
      <c r="V942" s="77"/>
      <c r="W942" s="77"/>
      <c r="X942" s="77"/>
      <c r="Y942" s="77"/>
      <c r="Z942" s="77"/>
      <c r="AA942" s="77"/>
      <c r="AB942" s="77"/>
      <c r="AC942" s="77"/>
      <c r="AD942" s="78"/>
      <c r="AE942" s="2328"/>
      <c r="AF942" s="2329"/>
      <c r="AG942" s="2329"/>
      <c r="AH942" s="2329"/>
      <c r="AI942" s="2329"/>
      <c r="AJ942" s="2329"/>
      <c r="AK942" s="233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5"/>
      <c r="N943" s="2326"/>
      <c r="O943" s="2326"/>
      <c r="P943" s="2326"/>
      <c r="Q943" s="2326"/>
      <c r="R943" s="2326"/>
      <c r="S943" s="2327"/>
      <c r="U943" s="103" t="s">
        <v>14</v>
      </c>
      <c r="V943" s="77"/>
      <c r="W943" s="77"/>
      <c r="X943" s="77"/>
      <c r="Y943" s="77"/>
      <c r="Z943" s="77"/>
      <c r="AA943" s="77"/>
      <c r="AB943" s="77"/>
      <c r="AC943" s="77"/>
      <c r="AD943" s="78"/>
      <c r="AE943" s="2325"/>
      <c r="AF943" s="2326"/>
      <c r="AG943" s="2326"/>
      <c r="AH943" s="2326"/>
      <c r="AI943" s="2326"/>
      <c r="AJ943" s="2326"/>
      <c r="AK943" s="232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44"/>
      <c r="N944" s="2245"/>
      <c r="O944" s="2245"/>
      <c r="P944" s="2245"/>
      <c r="Q944" s="2245"/>
      <c r="R944" s="2245"/>
      <c r="S944" s="2246"/>
      <c r="U944" s="103" t="s">
        <v>15</v>
      </c>
      <c r="V944" s="77"/>
      <c r="W944" s="77"/>
      <c r="X944" s="77"/>
      <c r="Y944" s="77"/>
      <c r="Z944" s="77"/>
      <c r="AA944" s="77"/>
      <c r="AB944" s="77"/>
      <c r="AC944" s="77"/>
      <c r="AD944" s="78"/>
      <c r="AE944" s="2244"/>
      <c r="AF944" s="2245"/>
      <c r="AG944" s="2245"/>
      <c r="AH944" s="2245"/>
      <c r="AI944" s="2245"/>
      <c r="AJ944" s="2245"/>
      <c r="AK944" s="224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44"/>
      <c r="N945" s="2245"/>
      <c r="O945" s="2245"/>
      <c r="P945" s="2245"/>
      <c r="Q945" s="2245"/>
      <c r="R945" s="2245"/>
      <c r="S945" s="2246"/>
      <c r="U945" s="103" t="s">
        <v>16</v>
      </c>
      <c r="V945" s="77"/>
      <c r="W945" s="77"/>
      <c r="X945" s="77"/>
      <c r="Y945" s="77"/>
      <c r="Z945" s="77"/>
      <c r="AA945" s="77"/>
      <c r="AB945" s="77"/>
      <c r="AC945" s="77"/>
      <c r="AD945" s="78"/>
      <c r="AE945" s="2244"/>
      <c r="AF945" s="2245"/>
      <c r="AG945" s="2245"/>
      <c r="AH945" s="2245"/>
      <c r="AI945" s="2245"/>
      <c r="AJ945" s="2245"/>
      <c r="AK945" s="224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98"/>
      <c r="N946" s="2099"/>
      <c r="O946" s="2099"/>
      <c r="P946" s="2099"/>
      <c r="Q946" s="2099"/>
      <c r="R946" s="2099"/>
      <c r="S946" s="2100"/>
      <c r="U946" s="103" t="s">
        <v>607</v>
      </c>
      <c r="V946" s="77"/>
      <c r="W946" s="77"/>
      <c r="X946" s="77"/>
      <c r="Y946" s="77"/>
      <c r="Z946" s="77"/>
      <c r="AA946" s="77"/>
      <c r="AB946" s="77"/>
      <c r="AC946" s="77"/>
      <c r="AD946" s="78"/>
      <c r="AE946" s="2098"/>
      <c r="AF946" s="2099"/>
      <c r="AG946" s="2099"/>
      <c r="AH946" s="2099"/>
      <c r="AI946" s="2099"/>
      <c r="AJ946" s="2099"/>
      <c r="AK946" s="210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15"/>
      <c r="N951" s="2316"/>
      <c r="O951" s="2316"/>
      <c r="P951" s="2316"/>
      <c r="Q951" s="2316"/>
      <c r="R951" s="2316"/>
      <c r="S951" s="2317"/>
      <c r="T951" s="103" t="s">
        <v>852</v>
      </c>
      <c r="U951" s="77"/>
      <c r="V951" s="77"/>
      <c r="W951" s="77"/>
      <c r="X951" s="77"/>
      <c r="Y951" s="77"/>
      <c r="Z951" s="78"/>
      <c r="AA951" s="2315"/>
      <c r="AB951" s="2316"/>
      <c r="AC951" s="2316"/>
      <c r="AD951" s="2316"/>
      <c r="AE951" s="2316"/>
      <c r="AF951" s="2316"/>
      <c r="AG951" s="23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15"/>
      <c r="N952" s="2316"/>
      <c r="O952" s="2316"/>
      <c r="P952" s="2316"/>
      <c r="Q952" s="2316"/>
      <c r="R952" s="2316"/>
      <c r="S952" s="2317"/>
      <c r="T952" s="103" t="s">
        <v>851</v>
      </c>
      <c r="U952" s="77"/>
      <c r="V952" s="77"/>
      <c r="W952" s="77"/>
      <c r="X952" s="77"/>
      <c r="Y952" s="77"/>
      <c r="Z952" s="78"/>
      <c r="AA952" s="2315"/>
      <c r="AB952" s="2316"/>
      <c r="AC952" s="2316"/>
      <c r="AD952" s="2316"/>
      <c r="AE952" s="2316"/>
      <c r="AF952" s="2316"/>
      <c r="AG952" s="23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45" t="s">
        <v>628</v>
      </c>
      <c r="N953" s="2346"/>
      <c r="O953" s="2346"/>
      <c r="P953" s="2346"/>
      <c r="Q953" s="2346"/>
      <c r="R953" s="2346"/>
      <c r="S953" s="2347"/>
      <c r="T953" s="76" t="s">
        <v>348</v>
      </c>
      <c r="U953" s="77"/>
      <c r="V953" s="77"/>
      <c r="W953" s="77"/>
      <c r="X953" s="77"/>
      <c r="Y953" s="77"/>
      <c r="Z953" s="78"/>
      <c r="AA953" s="2315"/>
      <c r="AB953" s="2316"/>
      <c r="AC953" s="2316"/>
      <c r="AD953" s="2316"/>
      <c r="AE953" s="2316"/>
      <c r="AF953" s="2316"/>
      <c r="AG953" s="23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15"/>
      <c r="N954" s="2316"/>
      <c r="O954" s="2316"/>
      <c r="P954" s="2316"/>
      <c r="Q954" s="2316"/>
      <c r="R954" s="2316"/>
      <c r="S954" s="2317"/>
      <c r="T954" s="76" t="s">
        <v>349</v>
      </c>
      <c r="U954" s="77"/>
      <c r="V954" s="77"/>
      <c r="W954" s="77"/>
      <c r="X954" s="77"/>
      <c r="Y954" s="77"/>
      <c r="Z954" s="78"/>
      <c r="AA954" s="2315"/>
      <c r="AB954" s="2316"/>
      <c r="AC954" s="2316"/>
      <c r="AD954" s="2316"/>
      <c r="AE954" s="2316"/>
      <c r="AF954" s="2316"/>
      <c r="AG954" s="23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15"/>
      <c r="N955" s="2316"/>
      <c r="O955" s="2316"/>
      <c r="P955" s="2316"/>
      <c r="Q955" s="2316"/>
      <c r="R955" s="2316"/>
      <c r="S955" s="2317"/>
      <c r="T955" s="76" t="s">
        <v>396</v>
      </c>
      <c r="U955" s="77"/>
      <c r="V955" s="77"/>
      <c r="W955" s="77"/>
      <c r="X955" s="77"/>
      <c r="Y955" s="77"/>
      <c r="Z955" s="78"/>
      <c r="AA955" s="2315"/>
      <c r="AB955" s="2316"/>
      <c r="AC955" s="2316"/>
      <c r="AD955" s="2316"/>
      <c r="AE955" s="2316"/>
      <c r="AF955" s="2316"/>
      <c r="AG955" s="23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95" t="s">
        <v>318</v>
      </c>
      <c r="N956" s="2396"/>
      <c r="O956" s="2396"/>
      <c r="P956" s="2396"/>
      <c r="Q956" s="2396"/>
      <c r="R956" s="2396"/>
      <c r="S956" s="2397"/>
      <c r="T956" s="2333"/>
      <c r="U956" s="2334"/>
      <c r="V956" s="2334"/>
      <c r="W956" s="2334"/>
      <c r="X956" s="2334"/>
      <c r="Y956" s="2334"/>
      <c r="Z956" s="2335"/>
      <c r="AA956" s="2315"/>
      <c r="AB956" s="2316"/>
      <c r="AC956" s="2316"/>
      <c r="AD956" s="2316"/>
      <c r="AE956" s="2316"/>
      <c r="AF956" s="2316"/>
      <c r="AG956" s="23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15"/>
      <c r="N957" s="2316"/>
      <c r="O957" s="2316"/>
      <c r="P957" s="2316"/>
      <c r="Q957" s="2316"/>
      <c r="R957" s="2316"/>
      <c r="S957" s="2317"/>
      <c r="T957" s="2333"/>
      <c r="U957" s="2334"/>
      <c r="V957" s="2334"/>
      <c r="W957" s="2334"/>
      <c r="X957" s="2334"/>
      <c r="Y957" s="2334"/>
      <c r="Z957" s="2335"/>
      <c r="AA957" s="2315"/>
      <c r="AB957" s="2316"/>
      <c r="AC957" s="2316"/>
      <c r="AD957" s="2316"/>
      <c r="AE957" s="2316"/>
      <c r="AF957" s="2316"/>
      <c r="AG957" s="23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75" t="s">
        <v>708</v>
      </c>
      <c r="P958" s="2376"/>
      <c r="Q958" s="139"/>
      <c r="R958" s="139"/>
      <c r="S958" s="140"/>
      <c r="T958" s="71" t="s">
        <v>175</v>
      </c>
      <c r="U958" s="72"/>
      <c r="V958" s="72"/>
      <c r="W958" s="2308" t="s">
        <v>345</v>
      </c>
      <c r="X958" s="2309"/>
      <c r="Y958" s="2309"/>
      <c r="Z958" s="2309"/>
      <c r="AA958" s="2309"/>
      <c r="AB958" s="2309"/>
      <c r="AC958" s="2309"/>
      <c r="AD958" s="2309"/>
      <c r="AE958" s="2309"/>
      <c r="AF958" s="2309"/>
      <c r="AG958" s="231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77" t="s">
        <v>34</v>
      </c>
      <c r="G959" s="2378"/>
      <c r="H959" s="2378"/>
      <c r="I959" s="2378"/>
      <c r="J959" s="2378"/>
      <c r="K959" s="2378"/>
      <c r="L959" s="2378"/>
      <c r="M959" s="2315"/>
      <c r="N959" s="2316"/>
      <c r="O959" s="2316"/>
      <c r="P959" s="2316"/>
      <c r="Q959" s="2316"/>
      <c r="R959" s="2316"/>
      <c r="S959" s="2317"/>
      <c r="T959" s="79"/>
      <c r="U959" s="80"/>
      <c r="V959" s="80"/>
      <c r="W959" s="80"/>
      <c r="X959" s="80"/>
      <c r="Y959" s="80"/>
      <c r="Z959" s="188" t="s">
        <v>139</v>
      </c>
      <c r="AA959" s="2389"/>
      <c r="AB959" s="2390"/>
      <c r="AC959" s="2390"/>
      <c r="AD959" s="2390"/>
      <c r="AE959" s="2390"/>
      <c r="AF959" s="2390"/>
      <c r="AG959" s="239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43" t="s">
        <v>583</v>
      </c>
      <c r="B963" s="2243"/>
      <c r="C963" s="2243"/>
      <c r="D963" s="2243"/>
      <c r="E963" s="2243"/>
      <c r="F963" s="2243"/>
      <c r="G963" s="2243"/>
      <c r="H963" s="2243"/>
      <c r="I963" s="2243"/>
      <c r="J963" s="2243"/>
      <c r="K963" s="2243"/>
      <c r="L963" s="2243"/>
      <c r="M963" s="2243"/>
      <c r="N963" s="2243"/>
      <c r="O963" s="2243"/>
      <c r="P963" s="2243"/>
      <c r="Q963" s="2243"/>
      <c r="R963" s="2243"/>
      <c r="S963" s="2243"/>
      <c r="T963" s="2243"/>
      <c r="U963" s="2243"/>
      <c r="V963" s="2243"/>
      <c r="W963" s="2243"/>
      <c r="X963" s="2243"/>
      <c r="Y963" s="2243"/>
      <c r="Z963" s="2243"/>
      <c r="AA963" s="2243"/>
      <c r="AB963" s="2243"/>
      <c r="AC963" s="2243"/>
      <c r="AD963" s="2243"/>
      <c r="AE963" s="2243"/>
      <c r="AF963" s="2243"/>
      <c r="AG963" s="2243"/>
      <c r="AH963" s="2243"/>
      <c r="AI963" s="2243"/>
      <c r="AJ963" s="2243"/>
      <c r="AK963" s="2243"/>
      <c r="AL963" s="2243"/>
      <c r="AM963" s="2243"/>
      <c r="AN963" s="2243"/>
      <c r="AO963" s="2243"/>
      <c r="AP963" s="2243"/>
      <c r="AQ963" s="2243"/>
      <c r="AR963" s="2243"/>
      <c r="AS963" s="224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43"/>
      <c r="B964" s="2243"/>
      <c r="C964" s="2243"/>
      <c r="D964" s="2243"/>
      <c r="E964" s="2243"/>
      <c r="F964" s="2243"/>
      <c r="G964" s="2243"/>
      <c r="H964" s="2243"/>
      <c r="I964" s="2243"/>
      <c r="J964" s="2243"/>
      <c r="K964" s="2243"/>
      <c r="L964" s="2243"/>
      <c r="M964" s="2243"/>
      <c r="N964" s="2243"/>
      <c r="O964" s="2243"/>
      <c r="P964" s="2243"/>
      <c r="Q964" s="2243"/>
      <c r="R964" s="2243"/>
      <c r="S964" s="2243"/>
      <c r="T964" s="2243"/>
      <c r="U964" s="2243"/>
      <c r="V964" s="2243"/>
      <c r="W964" s="2243"/>
      <c r="X964" s="2243"/>
      <c r="Y964" s="2243"/>
      <c r="Z964" s="2243"/>
      <c r="AA964" s="2243"/>
      <c r="AB964" s="2243"/>
      <c r="AC964" s="2243"/>
      <c r="AD964" s="2243"/>
      <c r="AE964" s="2243"/>
      <c r="AF964" s="2243"/>
      <c r="AG964" s="2243"/>
      <c r="AH964" s="2243"/>
      <c r="AI964" s="2243"/>
      <c r="AJ964" s="2243"/>
      <c r="AK964" s="2243"/>
      <c r="AL964" s="2243"/>
      <c r="AM964" s="2243"/>
      <c r="AN964" s="2243"/>
      <c r="AO964" s="2243"/>
      <c r="AP964" s="2243"/>
      <c r="AQ964" s="2243"/>
      <c r="AR964" s="2243"/>
      <c r="AS964" s="224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05"/>
      <c r="BH965" s="2305"/>
      <c r="BI965" s="2305"/>
      <c r="BJ965" s="2305"/>
      <c r="BK965" s="2305"/>
      <c r="BL965" s="2305"/>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092" t="s">
        <v>675</v>
      </c>
      <c r="E968" s="2093"/>
      <c r="F968" s="2093"/>
      <c r="G968" s="2093"/>
      <c r="H968" s="2093"/>
      <c r="I968" s="2093"/>
      <c r="J968" s="2093"/>
      <c r="K968" s="2093"/>
      <c r="L968" s="2093"/>
      <c r="M968" s="2093"/>
      <c r="N968" s="2093"/>
      <c r="O968" s="2093"/>
      <c r="P968" s="2093"/>
      <c r="Q968" s="2094"/>
      <c r="R968" s="2092" t="s">
        <v>676</v>
      </c>
      <c r="S968" s="2093"/>
      <c r="T968" s="2093"/>
      <c r="U968" s="2093"/>
      <c r="V968" s="2093"/>
      <c r="W968" s="2093"/>
      <c r="X968" s="2093"/>
      <c r="Y968" s="2093"/>
      <c r="Z968" s="2093"/>
      <c r="AA968" s="2094"/>
      <c r="AB968" s="2092" t="s">
        <v>677</v>
      </c>
      <c r="AC968" s="2093"/>
      <c r="AD968" s="2093"/>
      <c r="AE968" s="2093"/>
      <c r="AF968" s="2093"/>
      <c r="AG968" s="2093"/>
      <c r="AH968" s="2093"/>
      <c r="AI968" s="2094"/>
      <c r="AJ968" s="2092" t="s">
        <v>678</v>
      </c>
      <c r="AK968" s="2093"/>
      <c r="AL968" s="2093"/>
      <c r="AM968" s="2093"/>
      <c r="AN968" s="2093"/>
      <c r="AO968" s="2093"/>
      <c r="AP968" s="2093"/>
      <c r="AQ968" s="2094"/>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02" t="s">
        <v>670</v>
      </c>
      <c r="E969" s="2103"/>
      <c r="F969" s="2103"/>
      <c r="G969" s="2103"/>
      <c r="H969" s="2103"/>
      <c r="I969" s="2103"/>
      <c r="J969" s="2103"/>
      <c r="K969" s="2103"/>
      <c r="L969" s="2103"/>
      <c r="M969" s="2103"/>
      <c r="N969" s="2103"/>
      <c r="O969" s="2103"/>
      <c r="P969" s="2103"/>
      <c r="Q969" s="2104"/>
      <c r="R969" s="2163">
        <f>IF(ISNA(IF($BN$799="4%",(INDEX($BP$809:$BT$866,MATCH($CB$799,$BO$809:$BO$866,0),MATCH(D969,$BP$808:$BT$808,0))),(INDEX($BW$809:$CA$866,MATCH($CB$799,$BV$809:$BV$866,0),MATCH(D969,$BW$808:$CA$808,0))))),0,IF($BN$799="4%",(INDEX($BP$809:$BT$866,MATCH($CB$799,$BO$809:$BO$866,0),MATCH(D969,$BP$808:$BT$808,0))),(INDEX($BW$809:$CA$866,MATCH($CB$799,$BV$809:$BV$866,0),MATCH(D969,$BW$808:$CA$808,0)))))</f>
        <v>303706</v>
      </c>
      <c r="S969" s="2163"/>
      <c r="T969" s="2163"/>
      <c r="U969" s="2163"/>
      <c r="V969" s="2163"/>
      <c r="W969" s="2163"/>
      <c r="X969" s="2163"/>
      <c r="Y969" s="2163"/>
      <c r="Z969" s="2163"/>
      <c r="AA969" s="2163"/>
      <c r="AB969" s="2095">
        <f>BN663</f>
        <v>0</v>
      </c>
      <c r="AC969" s="2096"/>
      <c r="AD969" s="2096"/>
      <c r="AE969" s="2096"/>
      <c r="AF969" s="2096"/>
      <c r="AG969" s="2096"/>
      <c r="AH969" s="2096"/>
      <c r="AI969" s="2097"/>
      <c r="AJ969" s="2105">
        <f>IF(ISERROR((R969*AB969)),0,(R969*AB969))</f>
        <v>0</v>
      </c>
      <c r="AK969" s="2106"/>
      <c r="AL969" s="2106"/>
      <c r="AM969" s="2106"/>
      <c r="AN969" s="2106"/>
      <c r="AO969" s="2106"/>
      <c r="AP969" s="2106"/>
      <c r="AQ969" s="2107"/>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02" t="s">
        <v>336</v>
      </c>
      <c r="E970" s="2103"/>
      <c r="F970" s="2103"/>
      <c r="G970" s="2103"/>
      <c r="H970" s="2103"/>
      <c r="I970" s="2103"/>
      <c r="J970" s="2103"/>
      <c r="K970" s="2103"/>
      <c r="L970" s="2103"/>
      <c r="M970" s="2103"/>
      <c r="N970" s="2103"/>
      <c r="O970" s="2103"/>
      <c r="P970" s="2103"/>
      <c r="Q970" s="2104"/>
      <c r="R970" s="2163">
        <f>IF(ISNA(IF($BN$799="4%",(INDEX($BP$809:$BT$866,MATCH($CB$799,$BO$809:$BO$866,0),MATCH(D970,$BP$808:$BT$808,0))),(INDEX($BW$809:$CA$866,MATCH($CB$799,$BV$809:$BV$866,0),MATCH(D970,$BW$808:$CA$808,0))))),0,IF($BN$799="4%",(INDEX($BP$809:$BT$866,MATCH($CB$799,$BO$809:$BO$866,0),MATCH(D970,$BP$808:$BT$808,0))),(INDEX($BW$809:$CA$866,MATCH($CB$799,$BV$809:$BV$866,0),MATCH(D970,$BW$808:$CA$808,0)))))</f>
        <v>350170</v>
      </c>
      <c r="S970" s="2163"/>
      <c r="T970" s="2163"/>
      <c r="U970" s="2163"/>
      <c r="V970" s="2163"/>
      <c r="W970" s="2163"/>
      <c r="X970" s="2163"/>
      <c r="Y970" s="2163"/>
      <c r="Z970" s="2163"/>
      <c r="AA970" s="2163"/>
      <c r="AB970" s="2095">
        <f>BS663</f>
        <v>0</v>
      </c>
      <c r="AC970" s="2096"/>
      <c r="AD970" s="2096"/>
      <c r="AE970" s="2096"/>
      <c r="AF970" s="2096"/>
      <c r="AG970" s="2096"/>
      <c r="AH970" s="2096"/>
      <c r="AI970" s="2097"/>
      <c r="AJ970" s="2105">
        <f>IF(ISERROR((R970*AB970)),0,(R970*AB970))</f>
        <v>0</v>
      </c>
      <c r="AK970" s="2106"/>
      <c r="AL970" s="2106"/>
      <c r="AM970" s="2106"/>
      <c r="AN970" s="2106"/>
      <c r="AO970" s="2106"/>
      <c r="AP970" s="2106"/>
      <c r="AQ970" s="2107"/>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02" t="s">
        <v>168</v>
      </c>
      <c r="E971" s="2103"/>
      <c r="F971" s="2103"/>
      <c r="G971" s="2103"/>
      <c r="H971" s="2103"/>
      <c r="I971" s="2103"/>
      <c r="J971" s="2103"/>
      <c r="K971" s="2103"/>
      <c r="L971" s="2103"/>
      <c r="M971" s="2103"/>
      <c r="N971" s="2103"/>
      <c r="O971" s="2103"/>
      <c r="P971" s="2103"/>
      <c r="Q971" s="2104"/>
      <c r="R971" s="2163">
        <f>IF(ISNA(IF($BN$799="4%",(INDEX($BP$809:$BT$866,MATCH($CB$799,$BO$809:$BO$866,0),MATCH(D971,$BP$808:$BT$808,0))),(INDEX($BW$809:$CA$866,MATCH($CB$799,$BV$809:$BV$866,0),MATCH(D971,$BW$808:$CA$808,0))))),0,IF($BN$799="4%",(INDEX($BP$809:$BT$866,MATCH($CB$799,$BO$809:$BO$866,0),MATCH(D971,$BP$808:$BT$808,0))),(INDEX($BW$809:$CA$866,MATCH($CB$799,$BV$809:$BV$866,0),MATCH(D971,$BW$808:$CA$808,0)))))</f>
        <v>422400</v>
      </c>
      <c r="S971" s="2163"/>
      <c r="T971" s="2163"/>
      <c r="U971" s="2163"/>
      <c r="V971" s="2163"/>
      <c r="W971" s="2163"/>
      <c r="X971" s="2163"/>
      <c r="Y971" s="2163"/>
      <c r="Z971" s="2163"/>
      <c r="AA971" s="2163"/>
      <c r="AB971" s="2095">
        <f>BX663</f>
        <v>70</v>
      </c>
      <c r="AC971" s="2096"/>
      <c r="AD971" s="2096"/>
      <c r="AE971" s="2096"/>
      <c r="AF971" s="2096"/>
      <c r="AG971" s="2096"/>
      <c r="AH971" s="2096"/>
      <c r="AI971" s="2097"/>
      <c r="AJ971" s="2105">
        <f>IF(ISERROR((R971*AB971)),0,(R971*AB971))</f>
        <v>29568000</v>
      </c>
      <c r="AK971" s="2106"/>
      <c r="AL971" s="2106"/>
      <c r="AM971" s="2106"/>
      <c r="AN971" s="2106"/>
      <c r="AO971" s="2106"/>
      <c r="AP971" s="2106"/>
      <c r="AQ971" s="2107"/>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02" t="s">
        <v>169</v>
      </c>
      <c r="E972" s="2103"/>
      <c r="F972" s="2103"/>
      <c r="G972" s="2103"/>
      <c r="H972" s="2103"/>
      <c r="I972" s="2103"/>
      <c r="J972" s="2103"/>
      <c r="K972" s="2103"/>
      <c r="L972" s="2103"/>
      <c r="M972" s="2103"/>
      <c r="N972" s="2103"/>
      <c r="O972" s="2103"/>
      <c r="P972" s="2103"/>
      <c r="Q972" s="2104"/>
      <c r="R972" s="2163">
        <f>IF(ISNA(IF($BN$799="4%",(INDEX($BP$809:$BT$866,MATCH($CB$799,$BO$809:$BO$866,0),MATCH(D972,$BP$808:$BT$808,0))),(INDEX($BW$809:$CA$866,MATCH($CB$799,$BV$809:$BV$866,0),MATCH(D972,$BW$808:$CA$808,0))))),0,IF($BN$799="4%",(INDEX($BP$809:$BT$866,MATCH($CB$799,$BO$809:$BO$866,0),MATCH(D972,$BP$808:$BT$808,0))),(INDEX($BW$809:$CA$866,MATCH($CB$799,$BV$809:$BV$866,0),MATCH(D972,$BW$808:$CA$808,0)))))</f>
        <v>540672</v>
      </c>
      <c r="S972" s="2163"/>
      <c r="T972" s="2163"/>
      <c r="U972" s="2163"/>
      <c r="V972" s="2163"/>
      <c r="W972" s="2163"/>
      <c r="X972" s="2163"/>
      <c r="Y972" s="2163"/>
      <c r="Z972" s="2163"/>
      <c r="AA972" s="2163"/>
      <c r="AB972" s="2095">
        <f>CC663</f>
        <v>70</v>
      </c>
      <c r="AC972" s="2096"/>
      <c r="AD972" s="2096"/>
      <c r="AE972" s="2096"/>
      <c r="AF972" s="2096"/>
      <c r="AG972" s="2096"/>
      <c r="AH972" s="2096"/>
      <c r="AI972" s="2097"/>
      <c r="AJ972" s="2105">
        <f>IF(ISERROR((R972*AB972)),0,(R972*AB972))</f>
        <v>37847040</v>
      </c>
      <c r="AK972" s="2106"/>
      <c r="AL972" s="2106"/>
      <c r="AM972" s="2106"/>
      <c r="AN972" s="2106"/>
      <c r="AO972" s="2106"/>
      <c r="AP972" s="2106"/>
      <c r="AQ972" s="2107"/>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02" t="s">
        <v>495</v>
      </c>
      <c r="E973" s="2103"/>
      <c r="F973" s="2103"/>
      <c r="G973" s="2103"/>
      <c r="H973" s="2103"/>
      <c r="I973" s="2103"/>
      <c r="J973" s="2103"/>
      <c r="K973" s="2103"/>
      <c r="L973" s="2103"/>
      <c r="M973" s="2103"/>
      <c r="N973" s="2103"/>
      <c r="O973" s="2103"/>
      <c r="P973" s="2103"/>
      <c r="Q973" s="2104"/>
      <c r="R973" s="2163">
        <f>IF(ISNA(IF($BN$799="4%",(INDEX($BP$809:$BT$866,MATCH($CB$799,$BO$809:$BO$866,0),MATCH(D973,$BP$808:$BT$808,0))),(INDEX($BW$809:$CA$866,MATCH($CB$799,$BV$809:$BV$866,0),MATCH(D973,$BW$808:$CA$808,0))))),0,IF($BN$799="4%",(INDEX($BP$809:$BT$866,MATCH($CB$799,$BO$809:$BO$866,0),MATCH(D973,$BP$808:$BT$808,0))),(INDEX($BW$809:$CA$866,MATCH($CB$799,$BV$809:$BV$866,0),MATCH(D973,$BW$808:$CA$808,0)))))</f>
        <v>602342</v>
      </c>
      <c r="S973" s="2163"/>
      <c r="T973" s="2163"/>
      <c r="U973" s="2163"/>
      <c r="V973" s="2163"/>
      <c r="W973" s="2163"/>
      <c r="X973" s="2163"/>
      <c r="Y973" s="2163"/>
      <c r="Z973" s="2163"/>
      <c r="AA973" s="2163"/>
      <c r="AB973" s="2095">
        <f>CM663+CH663</f>
        <v>20</v>
      </c>
      <c r="AC973" s="2096"/>
      <c r="AD973" s="2096"/>
      <c r="AE973" s="2096"/>
      <c r="AF973" s="2096"/>
      <c r="AG973" s="2096"/>
      <c r="AH973" s="2096"/>
      <c r="AI973" s="2097"/>
      <c r="AJ973" s="2105">
        <f>IF(ISERROR((R973*AB973)),0,(R973*AB973))</f>
        <v>12046840</v>
      </c>
      <c r="AK973" s="2106"/>
      <c r="AL973" s="2106"/>
      <c r="AM973" s="2106"/>
      <c r="AN973" s="2106"/>
      <c r="AO973" s="2106"/>
      <c r="AP973" s="2106"/>
      <c r="AQ973" s="2107"/>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47" t="s">
        <v>853</v>
      </c>
      <c r="C974" s="2148"/>
      <c r="D974" s="2148"/>
      <c r="E974" s="2148"/>
      <c r="F974" s="2148"/>
      <c r="G974" s="2148"/>
      <c r="H974" s="2148"/>
      <c r="I974" s="2148"/>
      <c r="J974" s="2148"/>
      <c r="K974" s="2148"/>
      <c r="L974" s="2148"/>
      <c r="M974" s="2148"/>
      <c r="N974" s="2148"/>
      <c r="O974" s="2148"/>
      <c r="P974" s="2148"/>
      <c r="Q974" s="2148"/>
      <c r="R974" s="2148"/>
      <c r="S974" s="2148"/>
      <c r="T974" s="2148"/>
      <c r="U974" s="2148"/>
      <c r="V974" s="2148"/>
      <c r="W974" s="2148"/>
      <c r="X974" s="2148"/>
      <c r="Y974" s="2148"/>
      <c r="Z974" s="2148"/>
      <c r="AA974" s="2149"/>
      <c r="AB974" s="2095">
        <f>SUM(AB969:AI973)</f>
        <v>160</v>
      </c>
      <c r="AC974" s="2096"/>
      <c r="AD974" s="2096"/>
      <c r="AE974" s="2096"/>
      <c r="AF974" s="2096"/>
      <c r="AG974" s="2096"/>
      <c r="AH974" s="2096"/>
      <c r="AI974" s="2097"/>
      <c r="AJ974" s="2105"/>
      <c r="AK974" s="2106"/>
      <c r="AL974" s="2106"/>
      <c r="AM974" s="2106"/>
      <c r="AN974" s="2106"/>
      <c r="AO974" s="2106"/>
      <c r="AP974" s="2106"/>
      <c r="AQ974" s="2107"/>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237" t="s">
        <v>547</v>
      </c>
      <c r="C975" s="2238"/>
      <c r="D975" s="2238"/>
      <c r="E975" s="2238"/>
      <c r="F975" s="2238"/>
      <c r="G975" s="2238"/>
      <c r="H975" s="2238"/>
      <c r="I975" s="2238"/>
      <c r="J975" s="2238"/>
      <c r="K975" s="2238"/>
      <c r="L975" s="2238"/>
      <c r="M975" s="2238"/>
      <c r="N975" s="2238"/>
      <c r="O975" s="2238"/>
      <c r="P975" s="2238"/>
      <c r="Q975" s="2238"/>
      <c r="R975" s="2238"/>
      <c r="S975" s="2238"/>
      <c r="T975" s="2238"/>
      <c r="U975" s="2238"/>
      <c r="V975" s="2238"/>
      <c r="W975" s="2238"/>
      <c r="X975" s="2238"/>
      <c r="Y975" s="2238"/>
      <c r="Z975" s="2238"/>
      <c r="AA975" s="2238"/>
      <c r="AB975" s="2238"/>
      <c r="AC975" s="2238"/>
      <c r="AD975" s="2238"/>
      <c r="AE975" s="2238"/>
      <c r="AF975" s="2238"/>
      <c r="AG975" s="2238"/>
      <c r="AH975" s="2238"/>
      <c r="AI975" s="2239"/>
      <c r="AJ975" s="2105">
        <f>SUM(AJ969:AQ973)</f>
        <v>79461880</v>
      </c>
      <c r="AK975" s="2106"/>
      <c r="AL975" s="2106"/>
      <c r="AM975" s="2106"/>
      <c r="AN975" s="2106"/>
      <c r="AO975" s="2106"/>
      <c r="AP975" s="2106"/>
      <c r="AQ975" s="2107"/>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44"/>
      <c r="C976" s="2145"/>
      <c r="D976" s="2145"/>
      <c r="E976" s="2145"/>
      <c r="F976" s="2145"/>
      <c r="G976" s="2145"/>
      <c r="H976" s="2145"/>
      <c r="I976" s="2145"/>
      <c r="J976" s="2145"/>
      <c r="K976" s="2145"/>
      <c r="L976" s="2145"/>
      <c r="M976" s="2145"/>
      <c r="N976" s="2145"/>
      <c r="O976" s="2145"/>
      <c r="P976" s="2145"/>
      <c r="Q976" s="2145"/>
      <c r="R976" s="2145"/>
      <c r="S976" s="2145"/>
      <c r="T976" s="2145"/>
      <c r="U976" s="2145"/>
      <c r="V976" s="2145"/>
      <c r="W976" s="2145"/>
      <c r="X976" s="2145"/>
      <c r="Y976" s="2145"/>
      <c r="Z976" s="2145"/>
      <c r="AA976" s="2145"/>
      <c r="AB976" s="2145"/>
      <c r="AC976" s="2145"/>
      <c r="AD976" s="2145"/>
      <c r="AE976" s="2146"/>
      <c r="AF976" s="2214" t="s">
        <v>705</v>
      </c>
      <c r="AG976" s="2215"/>
      <c r="AH976" s="2215"/>
      <c r="AI976" s="2216"/>
      <c r="AJ976" s="2144"/>
      <c r="AK976" s="2145"/>
      <c r="AL976" s="2145"/>
      <c r="AM976" s="2145"/>
      <c r="AN976" s="2145"/>
      <c r="AO976" s="2145"/>
      <c r="AP976" s="2145"/>
      <c r="AQ976" s="2146"/>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126" t="s">
        <v>1439</v>
      </c>
      <c r="E977" s="2127"/>
      <c r="F977" s="2127"/>
      <c r="G977" s="2127"/>
      <c r="H977" s="2127"/>
      <c r="I977" s="2127"/>
      <c r="J977" s="2127"/>
      <c r="K977" s="2127"/>
      <c r="L977" s="2127"/>
      <c r="M977" s="2127"/>
      <c r="N977" s="2127"/>
      <c r="O977" s="2127"/>
      <c r="P977" s="2127"/>
      <c r="Q977" s="2127"/>
      <c r="R977" s="2127"/>
      <c r="S977" s="2127"/>
      <c r="T977" s="2127"/>
      <c r="U977" s="2127"/>
      <c r="V977" s="2127"/>
      <c r="W977" s="2127"/>
      <c r="X977" s="2127"/>
      <c r="Y977" s="2127"/>
      <c r="Z977" s="2127"/>
      <c r="AA977" s="2127"/>
      <c r="AB977" s="2127"/>
      <c r="AC977" s="2127"/>
      <c r="AD977" s="2127"/>
      <c r="AE977" s="2128"/>
      <c r="AF977" s="117"/>
      <c r="AG977" s="2217" t="s">
        <v>708</v>
      </c>
      <c r="AH977" s="2218"/>
      <c r="AI977" s="125"/>
      <c r="AJ977" s="2117">
        <f>ROUND(IF(AND(AG977="yes",D979&gt;0),AJ975*0.2,0),0)</f>
        <v>0</v>
      </c>
      <c r="AK977" s="2118"/>
      <c r="AL977" s="2118"/>
      <c r="AM977" s="2118"/>
      <c r="AN977" s="2118"/>
      <c r="AO977" s="2118"/>
      <c r="AP977" s="2118"/>
      <c r="AQ977" s="2119"/>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50" t="s">
        <v>1440</v>
      </c>
      <c r="E978" s="2151"/>
      <c r="F978" s="2151"/>
      <c r="G978" s="2151"/>
      <c r="H978" s="2151"/>
      <c r="I978" s="2151"/>
      <c r="J978" s="2151"/>
      <c r="K978" s="2151"/>
      <c r="L978" s="2151"/>
      <c r="M978" s="2151"/>
      <c r="N978" s="2151"/>
      <c r="O978" s="2151"/>
      <c r="P978" s="2151"/>
      <c r="Q978" s="2151"/>
      <c r="R978" s="2151"/>
      <c r="S978" s="2151"/>
      <c r="T978" s="2151"/>
      <c r="U978" s="2151"/>
      <c r="V978" s="2151"/>
      <c r="W978" s="2151"/>
      <c r="X978" s="2151"/>
      <c r="Y978" s="2151"/>
      <c r="Z978" s="2151"/>
      <c r="AA978" s="2151"/>
      <c r="AB978" s="2151"/>
      <c r="AC978" s="2151"/>
      <c r="AD978" s="2151"/>
      <c r="AE978" s="2152"/>
      <c r="AF978" s="110"/>
      <c r="AG978" s="112"/>
      <c r="AH978" s="112"/>
      <c r="AI978" s="121"/>
      <c r="AJ978" s="2120"/>
      <c r="AK978" s="2121"/>
      <c r="AL978" s="2121"/>
      <c r="AM978" s="2121"/>
      <c r="AN978" s="2121"/>
      <c r="AO978" s="2121"/>
      <c r="AP978" s="2121"/>
      <c r="AQ978" s="212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153"/>
      <c r="E979" s="2154"/>
      <c r="F979" s="2154"/>
      <c r="G979" s="2154"/>
      <c r="H979" s="2154"/>
      <c r="I979" s="2154"/>
      <c r="J979" s="2154"/>
      <c r="K979" s="2154"/>
      <c r="L979" s="2154"/>
      <c r="M979" s="2154"/>
      <c r="N979" s="2154"/>
      <c r="O979" s="2154"/>
      <c r="P979" s="2154"/>
      <c r="Q979" s="2154"/>
      <c r="R979" s="2154"/>
      <c r="S979" s="2154"/>
      <c r="T979" s="2154"/>
      <c r="U979" s="2154"/>
      <c r="V979" s="2154"/>
      <c r="W979" s="2154"/>
      <c r="X979" s="2154"/>
      <c r="Y979" s="2154"/>
      <c r="Z979" s="2154"/>
      <c r="AA979" s="2154"/>
      <c r="AB979" s="2154"/>
      <c r="AC979" s="2154"/>
      <c r="AD979" s="2154"/>
      <c r="AE979" s="2155"/>
      <c r="AF979" s="115"/>
      <c r="AG979" s="11"/>
      <c r="AH979" s="11"/>
      <c r="AI979" s="116"/>
      <c r="AJ979" s="2123"/>
      <c r="AK979" s="2124"/>
      <c r="AL979" s="2124"/>
      <c r="AM979" s="2124"/>
      <c r="AN979" s="2124"/>
      <c r="AO979" s="2124"/>
      <c r="AP979" s="2124"/>
      <c r="AQ979" s="212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8" t="s">
        <v>1542</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161" t="s">
        <v>708</v>
      </c>
      <c r="AH980" s="2162"/>
      <c r="AI980" s="125"/>
      <c r="AJ980" s="2117">
        <f>ROUND(IF(AG980="yes",AJ975*0.05,0),0)</f>
        <v>0</v>
      </c>
      <c r="AK980" s="2118"/>
      <c r="AL980" s="2118"/>
      <c r="AM980" s="2118"/>
      <c r="AN980" s="2118"/>
      <c r="AO980" s="2118"/>
      <c r="AP980" s="2118"/>
      <c r="AQ980" s="2119"/>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150" t="s">
        <v>1540</v>
      </c>
      <c r="E981" s="2151"/>
      <c r="F981" s="2151"/>
      <c r="G981" s="2151"/>
      <c r="H981" s="2151"/>
      <c r="I981" s="2151"/>
      <c r="J981" s="2151"/>
      <c r="K981" s="2151"/>
      <c r="L981" s="2151"/>
      <c r="M981" s="2151"/>
      <c r="N981" s="2151"/>
      <c r="O981" s="2151"/>
      <c r="P981" s="2151"/>
      <c r="Q981" s="2151"/>
      <c r="R981" s="2151"/>
      <c r="S981" s="2151"/>
      <c r="T981" s="2151"/>
      <c r="U981" s="2151"/>
      <c r="V981" s="2151"/>
      <c r="W981" s="2151"/>
      <c r="X981" s="2151"/>
      <c r="Y981" s="2151"/>
      <c r="Z981" s="2151"/>
      <c r="AA981" s="2151"/>
      <c r="AB981" s="2151"/>
      <c r="AC981" s="2151"/>
      <c r="AD981" s="2151"/>
      <c r="AE981" s="2152"/>
      <c r="AF981" s="110"/>
      <c r="AG981" s="112"/>
      <c r="AH981" s="112"/>
      <c r="AI981" s="121"/>
      <c r="AJ981" s="2120"/>
      <c r="AK981" s="2121"/>
      <c r="AL981" s="2121"/>
      <c r="AM981" s="2121"/>
      <c r="AN981" s="2121"/>
      <c r="AO981" s="2121"/>
      <c r="AP981" s="2121"/>
      <c r="AQ981" s="212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50"/>
      <c r="E982" s="2151"/>
      <c r="F982" s="2151"/>
      <c r="G982" s="2151"/>
      <c r="H982" s="2151"/>
      <c r="I982" s="2151"/>
      <c r="J982" s="2151"/>
      <c r="K982" s="2151"/>
      <c r="L982" s="2151"/>
      <c r="M982" s="2151"/>
      <c r="N982" s="2151"/>
      <c r="O982" s="2151"/>
      <c r="P982" s="2151"/>
      <c r="Q982" s="2151"/>
      <c r="R982" s="2151"/>
      <c r="S982" s="2151"/>
      <c r="T982" s="2151"/>
      <c r="U982" s="2151"/>
      <c r="V982" s="2151"/>
      <c r="W982" s="2151"/>
      <c r="X982" s="2151"/>
      <c r="Y982" s="2151"/>
      <c r="Z982" s="2151"/>
      <c r="AA982" s="2151"/>
      <c r="AB982" s="2151"/>
      <c r="AC982" s="2151"/>
      <c r="AD982" s="2151"/>
      <c r="AE982" s="2152"/>
      <c r="AF982" s="110"/>
      <c r="AG982" s="112"/>
      <c r="AH982" s="112"/>
      <c r="AI982" s="121"/>
      <c r="AJ982" s="2120"/>
      <c r="AK982" s="2121"/>
      <c r="AL982" s="2121"/>
      <c r="AM982" s="2121"/>
      <c r="AN982" s="2121"/>
      <c r="AO982" s="2121"/>
      <c r="AP982" s="2121"/>
      <c r="AQ982" s="212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50"/>
      <c r="E983" s="2151"/>
      <c r="F983" s="2151"/>
      <c r="G983" s="2151"/>
      <c r="H983" s="2151"/>
      <c r="I983" s="2151"/>
      <c r="J983" s="2151"/>
      <c r="K983" s="2151"/>
      <c r="L983" s="2151"/>
      <c r="M983" s="2151"/>
      <c r="N983" s="2151"/>
      <c r="O983" s="2151"/>
      <c r="P983" s="2151"/>
      <c r="Q983" s="2151"/>
      <c r="R983" s="2151"/>
      <c r="S983" s="2151"/>
      <c r="T983" s="2151"/>
      <c r="U983" s="2151"/>
      <c r="V983" s="2151"/>
      <c r="W983" s="2151"/>
      <c r="X983" s="2151"/>
      <c r="Y983" s="2151"/>
      <c r="Z983" s="2151"/>
      <c r="AA983" s="2151"/>
      <c r="AB983" s="2151"/>
      <c r="AC983" s="2151"/>
      <c r="AD983" s="2151"/>
      <c r="AE983" s="2152"/>
      <c r="AF983" s="110"/>
      <c r="AG983" s="112"/>
      <c r="AH983" s="112"/>
      <c r="AI983" s="121"/>
      <c r="AJ983" s="2120"/>
      <c r="AK983" s="2121"/>
      <c r="AL983" s="2121"/>
      <c r="AM983" s="2121"/>
      <c r="AN983" s="2121"/>
      <c r="AO983" s="2121"/>
      <c r="AP983" s="2121"/>
      <c r="AQ983" s="212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50"/>
      <c r="E984" s="2151"/>
      <c r="F984" s="2151"/>
      <c r="G984" s="2151"/>
      <c r="H984" s="2151"/>
      <c r="I984" s="2151"/>
      <c r="J984" s="2151"/>
      <c r="K984" s="2151"/>
      <c r="L984" s="2151"/>
      <c r="M984" s="2151"/>
      <c r="N984" s="2151"/>
      <c r="O984" s="2151"/>
      <c r="P984" s="2151"/>
      <c r="Q984" s="2151"/>
      <c r="R984" s="2151"/>
      <c r="S984" s="2151"/>
      <c r="T984" s="2151"/>
      <c r="U984" s="2151"/>
      <c r="V984" s="2151"/>
      <c r="W984" s="2151"/>
      <c r="X984" s="2151"/>
      <c r="Y984" s="2151"/>
      <c r="Z984" s="2151"/>
      <c r="AA984" s="2151"/>
      <c r="AB984" s="2151"/>
      <c r="AC984" s="2151"/>
      <c r="AD984" s="2151"/>
      <c r="AE984" s="2152"/>
      <c r="AF984" s="110"/>
      <c r="AG984" s="112"/>
      <c r="AH984" s="112"/>
      <c r="AI984" s="121"/>
      <c r="AJ984" s="2120"/>
      <c r="AK984" s="2121"/>
      <c r="AL984" s="2121"/>
      <c r="AM984" s="2121"/>
      <c r="AN984" s="2121"/>
      <c r="AO984" s="2121"/>
      <c r="AP984" s="2121"/>
      <c r="AQ984" s="212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56"/>
      <c r="E985" s="2157"/>
      <c r="F985" s="2157"/>
      <c r="G985" s="2157"/>
      <c r="H985" s="2157"/>
      <c r="I985" s="2157"/>
      <c r="J985" s="2157"/>
      <c r="K985" s="2157"/>
      <c r="L985" s="2157"/>
      <c r="M985" s="2157"/>
      <c r="N985" s="2157"/>
      <c r="O985" s="2157"/>
      <c r="P985" s="2157"/>
      <c r="Q985" s="2157"/>
      <c r="R985" s="2157"/>
      <c r="S985" s="2157"/>
      <c r="T985" s="2157"/>
      <c r="U985" s="2157"/>
      <c r="V985" s="2157"/>
      <c r="W985" s="2157"/>
      <c r="X985" s="2157"/>
      <c r="Y985" s="2157"/>
      <c r="Z985" s="2157"/>
      <c r="AA985" s="2157"/>
      <c r="AB985" s="2157"/>
      <c r="AC985" s="2157"/>
      <c r="AD985" s="2157"/>
      <c r="AE985" s="2158"/>
      <c r="AF985" s="115"/>
      <c r="AG985" s="11"/>
      <c r="AH985" s="11"/>
      <c r="AI985" s="116"/>
      <c r="AJ985" s="2123"/>
      <c r="AK985" s="2124"/>
      <c r="AL985" s="2124"/>
      <c r="AM985" s="2124"/>
      <c r="AN985" s="2124"/>
      <c r="AO985" s="2124"/>
      <c r="AP985" s="2124"/>
      <c r="AQ985" s="212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8" t="s">
        <v>2187</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161" t="s">
        <v>708</v>
      </c>
      <c r="AH986" s="2162"/>
      <c r="AI986" s="125"/>
      <c r="AJ986" s="2117">
        <f>ROUND(IF(AG986="yes",AJ975*0.1,0),0)</f>
        <v>0</v>
      </c>
      <c r="AK986" s="2118"/>
      <c r="AL986" s="2118"/>
      <c r="AM986" s="2118"/>
      <c r="AN986" s="2118"/>
      <c r="AO986" s="2118"/>
      <c r="AP986" s="2118"/>
      <c r="AQ986" s="2119"/>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1541</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20"/>
      <c r="AK987" s="2121"/>
      <c r="AL987" s="2121"/>
      <c r="AM987" s="2121"/>
      <c r="AN987" s="2121"/>
      <c r="AO987" s="2121"/>
      <c r="AP987" s="2121"/>
      <c r="AQ987" s="2122"/>
      <c r="AR987" s="1585"/>
      <c r="AS987" s="1585"/>
      <c r="AT987" s="1585"/>
      <c r="AU987" s="1585"/>
      <c r="AV987" s="1585"/>
      <c r="AW987" s="1585"/>
      <c r="AX987" s="1585"/>
      <c r="AY987" s="1585"/>
      <c r="AZ987" s="61"/>
      <c r="BA987" s="1614">
        <f>G753+O796</f>
        <v>159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20"/>
      <c r="AK988" s="2121"/>
      <c r="AL988" s="2121"/>
      <c r="AM988" s="2121"/>
      <c r="AN988" s="2121"/>
      <c r="AO988" s="2121"/>
      <c r="AP988" s="2121"/>
      <c r="AQ988" s="212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141"/>
      <c r="E989" s="2142"/>
      <c r="F989" s="2142"/>
      <c r="G989" s="2142"/>
      <c r="H989" s="2142"/>
      <c r="I989" s="2142"/>
      <c r="J989" s="2142"/>
      <c r="K989" s="2142"/>
      <c r="L989" s="2142"/>
      <c r="M989" s="2142"/>
      <c r="N989" s="2142"/>
      <c r="O989" s="2142"/>
      <c r="P989" s="2142"/>
      <c r="Q989" s="2142"/>
      <c r="R989" s="2142"/>
      <c r="S989" s="2142"/>
      <c r="T989" s="2142"/>
      <c r="U989" s="2142"/>
      <c r="V989" s="2142"/>
      <c r="W989" s="2142"/>
      <c r="X989" s="2142"/>
      <c r="Y989" s="2142"/>
      <c r="Z989" s="2142"/>
      <c r="AA989" s="2142"/>
      <c r="AB989" s="2142"/>
      <c r="AC989" s="2142"/>
      <c r="AD989" s="2142"/>
      <c r="AE989" s="2143"/>
      <c r="AF989" s="115"/>
      <c r="AG989" s="11"/>
      <c r="AH989" s="11"/>
      <c r="AI989" s="116"/>
      <c r="AJ989" s="2123"/>
      <c r="AK989" s="2124"/>
      <c r="AL989" s="2124"/>
      <c r="AM989" s="2124"/>
      <c r="AN989" s="2124"/>
      <c r="AO989" s="2124"/>
      <c r="AP989" s="2124"/>
      <c r="AQ989" s="2125"/>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8" t="s">
        <v>1543</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161" t="s">
        <v>708</v>
      </c>
      <c r="AH990" s="2162"/>
      <c r="AI990" s="125"/>
      <c r="AJ990" s="2117">
        <f>ROUND(IF(AG990="yes",AJ975*0.02,0),0)</f>
        <v>0</v>
      </c>
      <c r="AK990" s="2118"/>
      <c r="AL990" s="2118"/>
      <c r="AM990" s="2118"/>
      <c r="AN990" s="2118"/>
      <c r="AO990" s="2118"/>
      <c r="AP990" s="2118"/>
      <c r="AQ990" s="2119"/>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41" t="s">
        <v>1544</v>
      </c>
      <c r="E991" s="2142"/>
      <c r="F991" s="2142"/>
      <c r="G991" s="2142"/>
      <c r="H991" s="2142"/>
      <c r="I991" s="2142"/>
      <c r="J991" s="2142"/>
      <c r="K991" s="2142"/>
      <c r="L991" s="2142"/>
      <c r="M991" s="2142"/>
      <c r="N991" s="2142"/>
      <c r="O991" s="2142"/>
      <c r="P991" s="2142"/>
      <c r="Q991" s="2142"/>
      <c r="R991" s="2142"/>
      <c r="S991" s="2142"/>
      <c r="T991" s="2142"/>
      <c r="U991" s="2142"/>
      <c r="V991" s="2142"/>
      <c r="W991" s="2142"/>
      <c r="X991" s="2142"/>
      <c r="Y991" s="2142"/>
      <c r="Z991" s="2142"/>
      <c r="AA991" s="2142"/>
      <c r="AB991" s="2142"/>
      <c r="AC991" s="2142"/>
      <c r="AD991" s="2142"/>
      <c r="AE991" s="2143"/>
      <c r="AF991" s="115"/>
      <c r="AG991" s="11"/>
      <c r="AH991" s="11"/>
      <c r="AI991" s="116"/>
      <c r="AJ991" s="2123"/>
      <c r="AK991" s="2124"/>
      <c r="AL991" s="2124"/>
      <c r="AM991" s="2124"/>
      <c r="AN991" s="2124"/>
      <c r="AO991" s="2124"/>
      <c r="AP991" s="2124"/>
      <c r="AQ991" s="212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8" t="s">
        <v>1545</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161" t="s">
        <v>708</v>
      </c>
      <c r="AH992" s="2162"/>
      <c r="AI992" s="117"/>
      <c r="AJ992" s="2117">
        <f>ROUND(IF(AG992="yes",AJ975*0.02,0),0)</f>
        <v>0</v>
      </c>
      <c r="AK992" s="2118"/>
      <c r="AL992" s="2118"/>
      <c r="AM992" s="2118"/>
      <c r="AN992" s="2118"/>
      <c r="AO992" s="2118"/>
      <c r="AP992" s="2118"/>
      <c r="AQ992" s="2119"/>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38" t="s">
        <v>1546</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20"/>
      <c r="AK993" s="2121"/>
      <c r="AL993" s="2121"/>
      <c r="AM993" s="2121"/>
      <c r="AN993" s="2121"/>
      <c r="AO993" s="2121"/>
      <c r="AP993" s="2121"/>
      <c r="AQ993" s="212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141"/>
      <c r="E994" s="2142"/>
      <c r="F994" s="2142"/>
      <c r="G994" s="2142"/>
      <c r="H994" s="2142"/>
      <c r="I994" s="2142"/>
      <c r="J994" s="2142"/>
      <c r="K994" s="2142"/>
      <c r="L994" s="2142"/>
      <c r="M994" s="2142"/>
      <c r="N994" s="2142"/>
      <c r="O994" s="2142"/>
      <c r="P994" s="2142"/>
      <c r="Q994" s="2142"/>
      <c r="R994" s="2142"/>
      <c r="S994" s="2142"/>
      <c r="T994" s="2142"/>
      <c r="U994" s="2142"/>
      <c r="V994" s="2142"/>
      <c r="W994" s="2142"/>
      <c r="X994" s="2142"/>
      <c r="Y994" s="2142"/>
      <c r="Z994" s="2142"/>
      <c r="AA994" s="2142"/>
      <c r="AB994" s="2142"/>
      <c r="AC994" s="2142"/>
      <c r="AD994" s="2142"/>
      <c r="AE994" s="2143"/>
      <c r="AF994" s="115"/>
      <c r="AG994" s="11"/>
      <c r="AH994" s="11"/>
      <c r="AI994" s="116"/>
      <c r="AJ994" s="2123"/>
      <c r="AK994" s="2124"/>
      <c r="AL994" s="2124"/>
      <c r="AM994" s="2124"/>
      <c r="AN994" s="2124"/>
      <c r="AO994" s="2124"/>
      <c r="AP994" s="2124"/>
      <c r="AQ994" s="2125"/>
      <c r="AR994" s="1585"/>
      <c r="AS994" s="1585"/>
      <c r="AT994" s="1585"/>
      <c r="AU994" s="1585"/>
      <c r="AV994" s="1585"/>
      <c r="AW994" s="1585"/>
      <c r="AX994" s="1585"/>
      <c r="AY994" s="1585"/>
    </row>
    <row r="995" spans="1:96" s="720" customFormat="1" ht="12.75" customHeight="1">
      <c r="A995" s="51"/>
      <c r="B995" s="117"/>
      <c r="C995" s="118" t="s">
        <v>225</v>
      </c>
      <c r="D995" s="2126" t="s">
        <v>1547</v>
      </c>
      <c r="E995" s="2127"/>
      <c r="F995" s="2127"/>
      <c r="G995" s="2127"/>
      <c r="H995" s="2127"/>
      <c r="I995" s="2127"/>
      <c r="J995" s="2127"/>
      <c r="K995" s="2127"/>
      <c r="L995" s="2127"/>
      <c r="M995" s="2127"/>
      <c r="N995" s="2127"/>
      <c r="O995" s="2127"/>
      <c r="P995" s="2127"/>
      <c r="Q995" s="2127"/>
      <c r="R995" s="2127"/>
      <c r="S995" s="2127"/>
      <c r="T995" s="2127"/>
      <c r="U995" s="2127"/>
      <c r="V995" s="2127"/>
      <c r="W995" s="2127"/>
      <c r="X995" s="2127"/>
      <c r="Y995" s="2127"/>
      <c r="Z995" s="2127"/>
      <c r="AA995" s="2127"/>
      <c r="AB995" s="2127"/>
      <c r="AC995" s="2127"/>
      <c r="AD995" s="2127"/>
      <c r="AE995" s="2128"/>
      <c r="AF995" s="117"/>
      <c r="AG995" s="2161" t="s">
        <v>708</v>
      </c>
      <c r="AH995" s="2162"/>
      <c r="AI995" s="125"/>
      <c r="AJ995" s="2117">
        <f>IF(AG995="yes",AJ975*BA995,0)</f>
        <v>0</v>
      </c>
      <c r="AK995" s="2118"/>
      <c r="AL995" s="2118"/>
      <c r="AM995" s="2118"/>
      <c r="AN995" s="2118"/>
      <c r="AO995" s="2118"/>
      <c r="AP995" s="2118"/>
      <c r="AQ995" s="2119"/>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38" t="s">
        <v>1548</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20"/>
      <c r="AK996" s="2121"/>
      <c r="AL996" s="2121"/>
      <c r="AM996" s="2121"/>
      <c r="AN996" s="2121"/>
      <c r="AO996" s="2121"/>
      <c r="AP996" s="2121"/>
      <c r="AQ996" s="2122"/>
      <c r="AR996" s="1585"/>
      <c r="AS996" s="1585"/>
      <c r="AT996" s="1585"/>
      <c r="AU996" s="1585"/>
      <c r="AV996" s="1585"/>
      <c r="AW996" s="1585"/>
      <c r="AX996" s="1585"/>
      <c r="AY996" s="1585"/>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20"/>
      <c r="AK997" s="2121"/>
      <c r="AL997" s="2121"/>
      <c r="AM997" s="2121"/>
      <c r="AN997" s="2121"/>
      <c r="AO997" s="2121"/>
      <c r="AP997" s="2121"/>
      <c r="AQ997" s="2122"/>
      <c r="AR997" s="1585"/>
      <c r="AS997" s="1585"/>
      <c r="AT997" s="1585"/>
      <c r="AU997" s="1585"/>
      <c r="AV997" s="1585"/>
      <c r="AW997" s="1585"/>
      <c r="AX997" s="1585"/>
      <c r="AY997" s="1585"/>
      <c r="BA997" s="321">
        <f>IF(A1044="Yes",0.05,0)</f>
        <v>0</v>
      </c>
    </row>
    <row r="998" spans="1:96" ht="15" customHeight="1">
      <c r="A998" s="51"/>
      <c r="B998" s="119"/>
      <c r="C998" s="120"/>
      <c r="D998" s="2141"/>
      <c r="E998" s="2142"/>
      <c r="F998" s="2142"/>
      <c r="G998" s="2142"/>
      <c r="H998" s="2142"/>
      <c r="I998" s="2142"/>
      <c r="J998" s="2142"/>
      <c r="K998" s="2142"/>
      <c r="L998" s="2142"/>
      <c r="M998" s="2142"/>
      <c r="N998" s="2142"/>
      <c r="O998" s="2142"/>
      <c r="P998" s="2142"/>
      <c r="Q998" s="2142"/>
      <c r="R998" s="2142"/>
      <c r="S998" s="2142"/>
      <c r="T998" s="2142"/>
      <c r="U998" s="2142"/>
      <c r="V998" s="2142"/>
      <c r="W998" s="2142"/>
      <c r="X998" s="2142"/>
      <c r="Y998" s="2142"/>
      <c r="Z998" s="2142"/>
      <c r="AA998" s="2142"/>
      <c r="AB998" s="2142"/>
      <c r="AC998" s="2142"/>
      <c r="AD998" s="2142"/>
      <c r="AE998" s="2143"/>
      <c r="AF998" s="115"/>
      <c r="AG998" s="11"/>
      <c r="AH998" s="11"/>
      <c r="AI998" s="116"/>
      <c r="AJ998" s="2123"/>
      <c r="AK998" s="2124"/>
      <c r="AL998" s="2124"/>
      <c r="AM998" s="2124"/>
      <c r="AN998" s="2124"/>
      <c r="AO998" s="2124"/>
      <c r="AP998" s="2124"/>
      <c r="AQ998" s="2125"/>
      <c r="AR998" s="1585"/>
      <c r="AS998" s="1585"/>
      <c r="AT998" s="1585"/>
      <c r="AU998" s="1585"/>
      <c r="AV998" s="1585"/>
      <c r="AW998" s="1585"/>
      <c r="AX998" s="1585"/>
      <c r="AY998" s="1585"/>
      <c r="BA998" s="321">
        <f>IF(A1050="Yes",0.02,0)</f>
        <v>0</v>
      </c>
    </row>
    <row r="999" spans="1:96" s="720" customFormat="1" ht="15" customHeight="1">
      <c r="A999" s="51"/>
      <c r="B999" s="117"/>
      <c r="C999" s="118" t="s">
        <v>230</v>
      </c>
      <c r="D999" s="2185" t="s">
        <v>1549</v>
      </c>
      <c r="E999" s="2186"/>
      <c r="F999" s="2186"/>
      <c r="G999" s="2186"/>
      <c r="H999" s="2186"/>
      <c r="I999" s="2186"/>
      <c r="J999" s="2186"/>
      <c r="K999" s="2186"/>
      <c r="L999" s="2186"/>
      <c r="M999" s="2186"/>
      <c r="N999" s="2186"/>
      <c r="O999" s="2186"/>
      <c r="P999" s="2186"/>
      <c r="Q999" s="2186"/>
      <c r="R999" s="2186"/>
      <c r="S999" s="2186"/>
      <c r="T999" s="2186"/>
      <c r="U999" s="2186"/>
      <c r="V999" s="2186"/>
      <c r="W999" s="2186"/>
      <c r="X999" s="2186"/>
      <c r="Y999" s="2186"/>
      <c r="Z999" s="2186"/>
      <c r="AA999" s="2186"/>
      <c r="AB999" s="2186"/>
      <c r="AC999" s="2186"/>
      <c r="AD999" s="2186"/>
      <c r="AE999" s="2187"/>
      <c r="AF999" s="117"/>
      <c r="AG999" s="2161" t="s">
        <v>708</v>
      </c>
      <c r="AH999" s="2162"/>
      <c r="AI999" s="125"/>
      <c r="AJ999" s="2164"/>
      <c r="AK999" s="2165"/>
      <c r="AL999" s="2165"/>
      <c r="AM999" s="2165"/>
      <c r="AN999" s="2165"/>
      <c r="AO999" s="2165"/>
      <c r="AP999" s="2165"/>
      <c r="AQ999" s="2166"/>
      <c r="AR999" s="1585"/>
      <c r="AS999" s="1585"/>
      <c r="AT999" s="1585"/>
      <c r="AU999" s="1585"/>
      <c r="AV999" s="1585"/>
      <c r="AW999" s="1585"/>
      <c r="AX999" s="1585"/>
      <c r="AY999" s="1585"/>
      <c r="BA999" s="321">
        <f>IF(A1056="Yes",0.04,0)</f>
        <v>0</v>
      </c>
      <c r="CR999" s="25"/>
    </row>
    <row r="1000" spans="1:96" ht="12.75">
      <c r="A1000" s="51"/>
      <c r="B1000" s="119"/>
      <c r="C1000" s="122"/>
      <c r="D1000" s="2188"/>
      <c r="E1000" s="2189"/>
      <c r="F1000" s="2189"/>
      <c r="G1000" s="2189"/>
      <c r="H1000" s="2189"/>
      <c r="I1000" s="2189"/>
      <c r="J1000" s="2189"/>
      <c r="K1000" s="2189"/>
      <c r="L1000" s="2189"/>
      <c r="M1000" s="2189"/>
      <c r="N1000" s="2189"/>
      <c r="O1000" s="2189"/>
      <c r="P1000" s="2189"/>
      <c r="Q1000" s="2189"/>
      <c r="R1000" s="2189"/>
      <c r="S1000" s="2189"/>
      <c r="T1000" s="2189"/>
      <c r="U1000" s="2189"/>
      <c r="V1000" s="2189"/>
      <c r="W1000" s="2189"/>
      <c r="X1000" s="2189"/>
      <c r="Y1000" s="2189"/>
      <c r="Z1000" s="2189"/>
      <c r="AA1000" s="2189"/>
      <c r="AB1000" s="2189"/>
      <c r="AC1000" s="2189"/>
      <c r="AD1000" s="2189"/>
      <c r="AE1000" s="2190"/>
      <c r="AF1000" s="2173">
        <f>IF(AG999="yes","Please Select Type and Enter Amount:",0)</f>
        <v>0</v>
      </c>
      <c r="AG1000" s="2174"/>
      <c r="AH1000" s="2174"/>
      <c r="AI1000" s="2175"/>
      <c r="AJ1000" s="2167"/>
      <c r="AK1000" s="2168"/>
      <c r="AL1000" s="2168"/>
      <c r="AM1000" s="2168"/>
      <c r="AN1000" s="2168"/>
      <c r="AO1000" s="2168"/>
      <c r="AP1000" s="2168"/>
      <c r="AQ1000" s="2169"/>
      <c r="AR1000" s="1585"/>
      <c r="AS1000" s="1585"/>
      <c r="AT1000" s="1585"/>
      <c r="AU1000" s="1585"/>
      <c r="AV1000" s="1585"/>
      <c r="AW1000" s="1585"/>
      <c r="AX1000" s="1585"/>
      <c r="AY1000" s="1585"/>
      <c r="BA1000" s="321">
        <f>IF(A1063="Yes",0.04,0)</f>
        <v>0</v>
      </c>
    </row>
    <row r="1001" spans="1:96" ht="12.75" customHeight="1">
      <c r="A1001" s="51"/>
      <c r="B1001" s="119"/>
      <c r="C1001" s="122"/>
      <c r="D1001" s="2138" t="s">
        <v>1550</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173"/>
      <c r="AG1001" s="2174"/>
      <c r="AH1001" s="2174"/>
      <c r="AI1001" s="2175"/>
      <c r="AJ1001" s="2167"/>
      <c r="AK1001" s="2168"/>
      <c r="AL1001" s="2168"/>
      <c r="AM1001" s="2168"/>
      <c r="AN1001" s="2168"/>
      <c r="AO1001" s="2168"/>
      <c r="AP1001" s="2168"/>
      <c r="AQ1001" s="2169"/>
      <c r="AR1001" s="1585"/>
      <c r="AS1001" s="1585"/>
      <c r="AT1001" s="1585"/>
      <c r="AU1001" s="1585"/>
      <c r="AV1001" s="1585"/>
      <c r="AW1001" s="1585"/>
      <c r="AX1001" s="1585"/>
      <c r="AY1001" s="1585"/>
      <c r="BA1001" s="321">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173"/>
      <c r="AG1002" s="2174"/>
      <c r="AH1002" s="2174"/>
      <c r="AI1002" s="2175"/>
      <c r="AJ1002" s="2167"/>
      <c r="AK1002" s="2168"/>
      <c r="AL1002" s="2168"/>
      <c r="AM1002" s="2168"/>
      <c r="AN1002" s="2168"/>
      <c r="AO1002" s="2168"/>
      <c r="AP1002" s="2168"/>
      <c r="AQ1002" s="216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91" t="s">
        <v>628</v>
      </c>
      <c r="K1003" s="2192"/>
      <c r="L1003" s="2192"/>
      <c r="M1003" s="2192"/>
      <c r="N1003" s="2192"/>
      <c r="O1003" s="2192"/>
      <c r="P1003" s="2192"/>
      <c r="Q1003" s="2192"/>
      <c r="R1003" s="2192"/>
      <c r="S1003" s="2192"/>
      <c r="T1003" s="2192"/>
      <c r="U1003" s="2192"/>
      <c r="V1003" s="2192"/>
      <c r="W1003" s="2192"/>
      <c r="X1003" s="2192"/>
      <c r="Y1003" s="2192"/>
      <c r="Z1003" s="2192"/>
      <c r="AA1003" s="2192"/>
      <c r="AB1003" s="2192"/>
      <c r="AC1003" s="2192"/>
      <c r="AD1003" s="2192"/>
      <c r="AE1003" s="2193"/>
      <c r="AF1003" s="2176"/>
      <c r="AG1003" s="2177"/>
      <c r="AH1003" s="2177"/>
      <c r="AI1003" s="2178"/>
      <c r="AJ1003" s="2170"/>
      <c r="AK1003" s="2171"/>
      <c r="AL1003" s="2171"/>
      <c r="AM1003" s="2171"/>
      <c r="AN1003" s="2171"/>
      <c r="AO1003" s="2171"/>
      <c r="AP1003" s="2171"/>
      <c r="AQ1003" s="2172"/>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8" t="s">
        <v>1551</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161" t="s">
        <v>708</v>
      </c>
      <c r="AH1004" s="2162"/>
      <c r="AI1004" s="125"/>
      <c r="AJ1004" s="2129"/>
      <c r="AK1004" s="2130"/>
      <c r="AL1004" s="2130"/>
      <c r="AM1004" s="2130"/>
      <c r="AN1004" s="2130"/>
      <c r="AO1004" s="2130"/>
      <c r="AP1004" s="2130"/>
      <c r="AQ1004" s="2131"/>
      <c r="AR1004" s="1585"/>
      <c r="AS1004" s="1585"/>
      <c r="AT1004" s="1585"/>
      <c r="AU1004" s="1585"/>
      <c r="AV1004" s="1585"/>
      <c r="AW1004" s="1585"/>
      <c r="AX1004" s="1585"/>
      <c r="AY1004" s="1585"/>
      <c r="BA1004" s="321">
        <f>IF(A1078="Yes",0.02,0)</f>
        <v>0</v>
      </c>
    </row>
    <row r="1005" spans="1:96" ht="12.75" customHeight="1">
      <c r="A1005" s="51"/>
      <c r="B1005" s="110"/>
      <c r="C1005" s="111"/>
      <c r="D1005" s="2138" t="s">
        <v>2194</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79">
        <f>IF(AG1004="yes","Please Enter Amount:",0)</f>
        <v>0</v>
      </c>
      <c r="AG1005" s="2180"/>
      <c r="AH1005" s="2180"/>
      <c r="AI1005" s="2181"/>
      <c r="AJ1005" s="2132"/>
      <c r="AK1005" s="2133"/>
      <c r="AL1005" s="2133"/>
      <c r="AM1005" s="2133"/>
      <c r="AN1005" s="2133"/>
      <c r="AO1005" s="2133"/>
      <c r="AP1005" s="2133"/>
      <c r="AQ1005" s="2134"/>
      <c r="AR1005" s="1585"/>
      <c r="AS1005" s="1585"/>
      <c r="AT1005" s="1585"/>
      <c r="AU1005" s="1585"/>
      <c r="AV1005" s="1585"/>
      <c r="AW1005" s="1585"/>
      <c r="AX1005" s="1585"/>
      <c r="AY1005" s="1585"/>
      <c r="BA1005" s="322">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79"/>
      <c r="AG1006" s="2180"/>
      <c r="AH1006" s="2180"/>
      <c r="AI1006" s="2181"/>
      <c r="AJ1006" s="2132"/>
      <c r="AK1006" s="2133"/>
      <c r="AL1006" s="2133"/>
      <c r="AM1006" s="2133"/>
      <c r="AN1006" s="2133"/>
      <c r="AO1006" s="2133"/>
      <c r="AP1006" s="2133"/>
      <c r="AQ1006" s="2134"/>
      <c r="AR1006" s="1585"/>
      <c r="AS1006" s="1585"/>
      <c r="AT1006" s="1585"/>
      <c r="AU1006" s="1585"/>
      <c r="AV1006" s="1585"/>
      <c r="AW1006" s="1585"/>
      <c r="AX1006" s="1585"/>
      <c r="AY1006" s="1585"/>
    </row>
    <row r="1007" spans="1:96" ht="12.75" customHeight="1">
      <c r="A1007" s="51"/>
      <c r="B1007" s="123"/>
      <c r="C1007" s="122"/>
      <c r="D1007" s="2141"/>
      <c r="E1007" s="2142"/>
      <c r="F1007" s="2142"/>
      <c r="G1007" s="2142"/>
      <c r="H1007" s="2142"/>
      <c r="I1007" s="2142"/>
      <c r="J1007" s="2142"/>
      <c r="K1007" s="2142"/>
      <c r="L1007" s="2142"/>
      <c r="M1007" s="2142"/>
      <c r="N1007" s="2142"/>
      <c r="O1007" s="2142"/>
      <c r="P1007" s="2142"/>
      <c r="Q1007" s="2142"/>
      <c r="R1007" s="2142"/>
      <c r="S1007" s="2142"/>
      <c r="T1007" s="2142"/>
      <c r="U1007" s="2142"/>
      <c r="V1007" s="2142"/>
      <c r="W1007" s="2142"/>
      <c r="X1007" s="2142"/>
      <c r="Y1007" s="2142"/>
      <c r="Z1007" s="2142"/>
      <c r="AA1007" s="2142"/>
      <c r="AB1007" s="2142"/>
      <c r="AC1007" s="2142"/>
      <c r="AD1007" s="2142"/>
      <c r="AE1007" s="2143"/>
      <c r="AF1007" s="2182"/>
      <c r="AG1007" s="2183"/>
      <c r="AH1007" s="2183"/>
      <c r="AI1007" s="2184"/>
      <c r="AJ1007" s="2135"/>
      <c r="AK1007" s="2136"/>
      <c r="AL1007" s="2136"/>
      <c r="AM1007" s="2136"/>
      <c r="AN1007" s="2136"/>
      <c r="AO1007" s="2136"/>
      <c r="AP1007" s="2136"/>
      <c r="AQ1007" s="2137"/>
      <c r="AR1007" s="1585"/>
      <c r="AS1007" s="1585"/>
      <c r="AT1007" s="1585"/>
      <c r="AU1007" s="1585"/>
      <c r="AV1007" s="1585"/>
      <c r="AW1007" s="1585"/>
      <c r="AX1007" s="1585"/>
      <c r="AY1007" s="1585"/>
    </row>
    <row r="1008" spans="1:96" s="720" customFormat="1" ht="12.75" customHeight="1">
      <c r="A1008" s="51"/>
      <c r="B1008" s="117"/>
      <c r="C1008" s="118" t="s">
        <v>241</v>
      </c>
      <c r="D1008" s="2126" t="s">
        <v>1552</v>
      </c>
      <c r="E1008" s="2127"/>
      <c r="F1008" s="2127"/>
      <c r="G1008" s="2127"/>
      <c r="H1008" s="2127"/>
      <c r="I1008" s="2127"/>
      <c r="J1008" s="2127"/>
      <c r="K1008" s="2127"/>
      <c r="L1008" s="2127"/>
      <c r="M1008" s="2127"/>
      <c r="N1008" s="2127"/>
      <c r="O1008" s="2127"/>
      <c r="P1008" s="2127"/>
      <c r="Q1008" s="2127"/>
      <c r="R1008" s="2127"/>
      <c r="S1008" s="2127"/>
      <c r="T1008" s="2127"/>
      <c r="U1008" s="2127"/>
      <c r="V1008" s="2127"/>
      <c r="W1008" s="2127"/>
      <c r="X1008" s="2127"/>
      <c r="Y1008" s="2127"/>
      <c r="Z1008" s="2127"/>
      <c r="AA1008" s="2127"/>
      <c r="AB1008" s="2127"/>
      <c r="AC1008" s="2127"/>
      <c r="AD1008" s="2127"/>
      <c r="AE1008" s="2128"/>
      <c r="AF1008" s="117"/>
      <c r="AG1008" s="2161" t="s">
        <v>708</v>
      </c>
      <c r="AH1008" s="2162"/>
      <c r="AI1008" s="125"/>
      <c r="AJ1008" s="2117">
        <f>ROUND(IF(AG1008="yes",(AJ975*0.1),0),0)</f>
        <v>0</v>
      </c>
      <c r="AK1008" s="2118"/>
      <c r="AL1008" s="2118"/>
      <c r="AM1008" s="2118"/>
      <c r="AN1008" s="2118"/>
      <c r="AO1008" s="2118"/>
      <c r="AP1008" s="2118"/>
      <c r="AQ1008" s="2119"/>
      <c r="AR1008" s="1585"/>
      <c r="AS1008" s="1585"/>
      <c r="AT1008" s="1585"/>
      <c r="AU1008" s="1585"/>
      <c r="AV1008" s="1585"/>
      <c r="AW1008" s="1585"/>
      <c r="AX1008" s="1585"/>
      <c r="AY1008" s="1585"/>
      <c r="CR1008" s="25"/>
    </row>
    <row r="1009" spans="1:96" ht="12.75" customHeight="1">
      <c r="A1009" s="51"/>
      <c r="B1009" s="110"/>
      <c r="C1009" s="111"/>
      <c r="D1009" s="2138" t="s">
        <v>1553</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20"/>
      <c r="AK1009" s="2121"/>
      <c r="AL1009" s="2121"/>
      <c r="AM1009" s="2121"/>
      <c r="AN1009" s="2121"/>
      <c r="AO1009" s="2121"/>
      <c r="AP1009" s="2121"/>
      <c r="AQ1009" s="2122"/>
      <c r="AR1009" s="1585"/>
      <c r="AS1009" s="1585"/>
      <c r="AT1009" s="1585"/>
      <c r="AU1009" s="1585"/>
      <c r="AV1009" s="1585"/>
      <c r="AW1009" s="1585"/>
      <c r="AX1009" s="1585"/>
      <c r="AY1009" s="1585"/>
    </row>
    <row r="1010" spans="1:96" ht="12.75" customHeight="1">
      <c r="A1010" s="51"/>
      <c r="B1010" s="115"/>
      <c r="C1010" s="111"/>
      <c r="D1010" s="2141"/>
      <c r="E1010" s="2142"/>
      <c r="F1010" s="2142"/>
      <c r="G1010" s="2142"/>
      <c r="H1010" s="2142"/>
      <c r="I1010" s="2142"/>
      <c r="J1010" s="2142"/>
      <c r="K1010" s="2142"/>
      <c r="L1010" s="2142"/>
      <c r="M1010" s="2142"/>
      <c r="N1010" s="2142"/>
      <c r="O1010" s="2142"/>
      <c r="P1010" s="2142"/>
      <c r="Q1010" s="2142"/>
      <c r="R1010" s="2142"/>
      <c r="S1010" s="2142"/>
      <c r="T1010" s="2142"/>
      <c r="U1010" s="2142"/>
      <c r="V1010" s="2142"/>
      <c r="W1010" s="2142"/>
      <c r="X1010" s="2142"/>
      <c r="Y1010" s="2142"/>
      <c r="Z1010" s="2142"/>
      <c r="AA1010" s="2142"/>
      <c r="AB1010" s="2142"/>
      <c r="AC1010" s="2142"/>
      <c r="AD1010" s="2142"/>
      <c r="AE1010" s="2143"/>
      <c r="AF1010" s="110"/>
      <c r="AG1010" s="112"/>
      <c r="AH1010" s="112"/>
      <c r="AI1010" s="121"/>
      <c r="AJ1010" s="2123"/>
      <c r="AK1010" s="2124"/>
      <c r="AL1010" s="2124"/>
      <c r="AM1010" s="2124"/>
      <c r="AN1010" s="2124"/>
      <c r="AO1010" s="2124"/>
      <c r="AP1010" s="2124"/>
      <c r="AQ1010" s="2125"/>
      <c r="AR1010" s="1585"/>
      <c r="AS1010" s="1585"/>
      <c r="AT1010" s="1585"/>
      <c r="AU1010" s="1585"/>
      <c r="AV1010" s="1585"/>
      <c r="AW1010" s="1585"/>
      <c r="AX1010" s="1585"/>
      <c r="AY1010" s="1585"/>
    </row>
    <row r="1011" spans="1:96" s="720" customFormat="1" ht="12.75" customHeight="1">
      <c r="A1011" s="51"/>
      <c r="B1011" s="110"/>
      <c r="C1011" s="532" t="s">
        <v>727</v>
      </c>
      <c r="D1011" s="2108" t="s">
        <v>2190</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161" t="s">
        <v>708</v>
      </c>
      <c r="AH1011" s="2162"/>
      <c r="AI1011" s="125"/>
      <c r="AJ1011" s="2117">
        <f>ROUND(IF(AG1011="yes",(AJ975*0.15),0),0)</f>
        <v>0</v>
      </c>
      <c r="AK1011" s="2118"/>
      <c r="AL1011" s="2118"/>
      <c r="AM1011" s="2118"/>
      <c r="AN1011" s="2118"/>
      <c r="AO1011" s="2118"/>
      <c r="AP1011" s="2118"/>
      <c r="AQ1011" s="2119"/>
      <c r="AR1011" s="1585"/>
      <c r="AS1011" s="1585"/>
      <c r="AT1011" s="1585"/>
      <c r="AU1011" s="1585"/>
      <c r="AV1011" s="1585"/>
      <c r="AW1011" s="1585"/>
      <c r="AX1011" s="1585"/>
      <c r="AY1011" s="1585"/>
      <c r="CR1011" s="25"/>
    </row>
    <row r="1012" spans="1:96" s="720" customFormat="1" ht="12.75" customHeight="1">
      <c r="A1012" s="51"/>
      <c r="B1012" s="110"/>
      <c r="C1012" s="111"/>
      <c r="D1012" s="2111" t="s">
        <v>2191</v>
      </c>
      <c r="E1012" s="2112"/>
      <c r="F1012" s="2112"/>
      <c r="G1012" s="2112"/>
      <c r="H1012" s="2112"/>
      <c r="I1012" s="2112"/>
      <c r="J1012" s="2112"/>
      <c r="K1012" s="2112"/>
      <c r="L1012" s="2112"/>
      <c r="M1012" s="2112"/>
      <c r="N1012" s="2112"/>
      <c r="O1012" s="2112"/>
      <c r="P1012" s="2112"/>
      <c r="Q1012" s="2112"/>
      <c r="R1012" s="2112"/>
      <c r="S1012" s="2112"/>
      <c r="T1012" s="2112"/>
      <c r="U1012" s="2112"/>
      <c r="V1012" s="2112"/>
      <c r="W1012" s="2112"/>
      <c r="X1012" s="2112"/>
      <c r="Y1012" s="2112"/>
      <c r="Z1012" s="2112"/>
      <c r="AA1012" s="2112"/>
      <c r="AB1012" s="2112"/>
      <c r="AC1012" s="2112"/>
      <c r="AD1012" s="2112"/>
      <c r="AE1012" s="2113"/>
      <c r="AF1012" s="1615"/>
      <c r="AG1012" s="1616"/>
      <c r="AH1012" s="1616"/>
      <c r="AI1012" s="1617"/>
      <c r="AJ1012" s="2120"/>
      <c r="AK1012" s="2121"/>
      <c r="AL1012" s="2121"/>
      <c r="AM1012" s="2121"/>
      <c r="AN1012" s="2121"/>
      <c r="AO1012" s="2121"/>
      <c r="AP1012" s="2121"/>
      <c r="AQ1012" s="2122"/>
      <c r="AR1012" s="1585"/>
      <c r="AS1012" s="1585"/>
      <c r="AT1012" s="1585"/>
      <c r="AU1012" s="1585"/>
      <c r="AV1012" s="1585"/>
      <c r="AW1012" s="1585"/>
      <c r="AX1012" s="1585"/>
      <c r="AY1012" s="1585"/>
      <c r="CR1012" s="25"/>
    </row>
    <row r="1013" spans="1:96" s="720" customFormat="1" ht="12.75" customHeight="1">
      <c r="A1013" s="51"/>
      <c r="B1013" s="110"/>
      <c r="C1013" s="111"/>
      <c r="D1013" s="2111"/>
      <c r="E1013" s="2112"/>
      <c r="F1013" s="2112"/>
      <c r="G1013" s="2112"/>
      <c r="H1013" s="2112"/>
      <c r="I1013" s="2112"/>
      <c r="J1013" s="2112"/>
      <c r="K1013" s="2112"/>
      <c r="L1013" s="2112"/>
      <c r="M1013" s="2112"/>
      <c r="N1013" s="2112"/>
      <c r="O1013" s="2112"/>
      <c r="P1013" s="2112"/>
      <c r="Q1013" s="2112"/>
      <c r="R1013" s="2112"/>
      <c r="S1013" s="2112"/>
      <c r="T1013" s="2112"/>
      <c r="U1013" s="2112"/>
      <c r="V1013" s="2112"/>
      <c r="W1013" s="2112"/>
      <c r="X1013" s="2112"/>
      <c r="Y1013" s="2112"/>
      <c r="Z1013" s="2112"/>
      <c r="AA1013" s="2112"/>
      <c r="AB1013" s="2112"/>
      <c r="AC1013" s="2112"/>
      <c r="AD1013" s="2112"/>
      <c r="AE1013" s="2113"/>
      <c r="AF1013" s="1615"/>
      <c r="AG1013" s="1616"/>
      <c r="AH1013" s="1616"/>
      <c r="AI1013" s="1617"/>
      <c r="AJ1013" s="2120"/>
      <c r="AK1013" s="2121"/>
      <c r="AL1013" s="2121"/>
      <c r="AM1013" s="2121"/>
      <c r="AN1013" s="2121"/>
      <c r="AO1013" s="2121"/>
      <c r="AP1013" s="2121"/>
      <c r="AQ1013" s="2122"/>
      <c r="AR1013" s="1585"/>
      <c r="AS1013" s="1585"/>
      <c r="AT1013" s="1585"/>
      <c r="AU1013" s="1585"/>
      <c r="AV1013" s="1585"/>
      <c r="AW1013" s="1585"/>
      <c r="AX1013" s="1585"/>
      <c r="AY1013" s="1585"/>
      <c r="CR1013" s="25"/>
    </row>
    <row r="1014" spans="1:96" s="720" customFormat="1" ht="12.75" customHeight="1">
      <c r="A1014" s="51"/>
      <c r="B1014" s="110"/>
      <c r="C1014" s="111"/>
      <c r="D1014" s="2114"/>
      <c r="E1014" s="2115"/>
      <c r="F1014" s="2115"/>
      <c r="G1014" s="2115"/>
      <c r="H1014" s="2115"/>
      <c r="I1014" s="2115"/>
      <c r="J1014" s="2115"/>
      <c r="K1014" s="2115"/>
      <c r="L1014" s="2115"/>
      <c r="M1014" s="2115"/>
      <c r="N1014" s="2115"/>
      <c r="O1014" s="2115"/>
      <c r="P1014" s="2115"/>
      <c r="Q1014" s="2115"/>
      <c r="R1014" s="2115"/>
      <c r="S1014" s="2115"/>
      <c r="T1014" s="2115"/>
      <c r="U1014" s="2115"/>
      <c r="V1014" s="2115"/>
      <c r="W1014" s="2115"/>
      <c r="X1014" s="2115"/>
      <c r="Y1014" s="2115"/>
      <c r="Z1014" s="2115"/>
      <c r="AA1014" s="2115"/>
      <c r="AB1014" s="2115"/>
      <c r="AC1014" s="2115"/>
      <c r="AD1014" s="2115"/>
      <c r="AE1014" s="2116"/>
      <c r="AF1014" s="1618"/>
      <c r="AG1014" s="1619"/>
      <c r="AH1014" s="1619"/>
      <c r="AI1014" s="1620"/>
      <c r="AJ1014" s="2123"/>
      <c r="AK1014" s="2124"/>
      <c r="AL1014" s="2124"/>
      <c r="AM1014" s="2124"/>
      <c r="AN1014" s="2124"/>
      <c r="AO1014" s="2124"/>
      <c r="AP1014" s="2124"/>
      <c r="AQ1014" s="2125"/>
      <c r="AR1014" s="1585"/>
      <c r="AS1014" s="1585"/>
      <c r="AT1014" s="1585"/>
      <c r="AU1014" s="1585"/>
      <c r="AV1014" s="1585"/>
      <c r="AW1014" s="1585"/>
      <c r="AX1014" s="1585"/>
      <c r="AY1014" s="1585"/>
      <c r="CR1014" s="25"/>
    </row>
    <row r="1015" spans="1:96" s="720" customFormat="1" ht="12.75" customHeight="1">
      <c r="A1015" s="51"/>
      <c r="B1015" s="110"/>
      <c r="C1015" s="532" t="s">
        <v>727</v>
      </c>
      <c r="D1015" s="2126" t="s">
        <v>2192</v>
      </c>
      <c r="E1015" s="2127"/>
      <c r="F1015" s="2127"/>
      <c r="G1015" s="2127"/>
      <c r="H1015" s="2127"/>
      <c r="I1015" s="2127"/>
      <c r="J1015" s="2127"/>
      <c r="K1015" s="2127"/>
      <c r="L1015" s="2127"/>
      <c r="M1015" s="2127"/>
      <c r="N1015" s="2127"/>
      <c r="O1015" s="2127"/>
      <c r="P1015" s="2127"/>
      <c r="Q1015" s="2127"/>
      <c r="R1015" s="2127"/>
      <c r="S1015" s="2127"/>
      <c r="T1015" s="2127"/>
      <c r="U1015" s="2127"/>
      <c r="V1015" s="2127"/>
      <c r="W1015" s="2127"/>
      <c r="X1015" s="2127"/>
      <c r="Y1015" s="2127"/>
      <c r="Z1015" s="2127"/>
      <c r="AA1015" s="2127"/>
      <c r="AB1015" s="2127"/>
      <c r="AC1015" s="2127"/>
      <c r="AD1015" s="2127"/>
      <c r="AE1015" s="2128"/>
      <c r="AF1015" s="110"/>
      <c r="AG1015" s="2200" t="s">
        <v>708</v>
      </c>
      <c r="AH1015" s="2201"/>
      <c r="AI1015" s="121"/>
      <c r="AJ1015" s="2117">
        <f>ROUND(IF(AG1015="yes",(AJ975*0.1),0),0)</f>
        <v>0</v>
      </c>
      <c r="AK1015" s="2118"/>
      <c r="AL1015" s="2118"/>
      <c r="AM1015" s="2118"/>
      <c r="AN1015" s="2118"/>
      <c r="AO1015" s="2118"/>
      <c r="AP1015" s="2118"/>
      <c r="AQ1015" s="2119"/>
      <c r="AR1015" s="1585"/>
      <c r="AS1015" s="1585"/>
      <c r="AT1015" s="1585"/>
      <c r="AU1015" s="1585"/>
      <c r="AV1015" s="1585"/>
      <c r="AW1015" s="1585"/>
      <c r="AX1015" s="1585"/>
      <c r="AY1015" s="1585"/>
      <c r="CR1015" s="25"/>
    </row>
    <row r="1016" spans="1:96" s="720" customFormat="1" ht="12.75" customHeight="1">
      <c r="A1016" s="51"/>
      <c r="B1016" s="110"/>
      <c r="C1016" s="111"/>
      <c r="D1016" s="2111" t="s">
        <v>2193</v>
      </c>
      <c r="E1016" s="2112"/>
      <c r="F1016" s="2112"/>
      <c r="G1016" s="2112"/>
      <c r="H1016" s="2112"/>
      <c r="I1016" s="2112"/>
      <c r="J1016" s="2112"/>
      <c r="K1016" s="2112"/>
      <c r="L1016" s="2112"/>
      <c r="M1016" s="2112"/>
      <c r="N1016" s="2112"/>
      <c r="O1016" s="2112"/>
      <c r="P1016" s="2112"/>
      <c r="Q1016" s="2112"/>
      <c r="R1016" s="2112"/>
      <c r="S1016" s="2112"/>
      <c r="T1016" s="2112"/>
      <c r="U1016" s="2112"/>
      <c r="V1016" s="2112"/>
      <c r="W1016" s="2112"/>
      <c r="X1016" s="2112"/>
      <c r="Y1016" s="2112"/>
      <c r="Z1016" s="2112"/>
      <c r="AA1016" s="2112"/>
      <c r="AB1016" s="2112"/>
      <c r="AC1016" s="2112"/>
      <c r="AD1016" s="2112"/>
      <c r="AE1016" s="2113"/>
      <c r="AF1016" s="110"/>
      <c r="AG1016" s="112"/>
      <c r="AH1016" s="112"/>
      <c r="AI1016" s="121"/>
      <c r="AJ1016" s="2120"/>
      <c r="AK1016" s="2121"/>
      <c r="AL1016" s="2121"/>
      <c r="AM1016" s="2121"/>
      <c r="AN1016" s="2121"/>
      <c r="AO1016" s="2121"/>
      <c r="AP1016" s="2121"/>
      <c r="AQ1016" s="2122"/>
      <c r="AR1016" s="1585"/>
      <c r="AS1016" s="1585"/>
      <c r="AT1016" s="1585"/>
      <c r="AU1016" s="1585"/>
      <c r="AV1016" s="1585"/>
      <c r="AW1016" s="1585"/>
      <c r="AX1016" s="1585"/>
      <c r="AY1016" s="1585"/>
      <c r="CR1016" s="25"/>
    </row>
    <row r="1017" spans="1:96" s="720" customFormat="1" ht="12.75" customHeight="1">
      <c r="A1017" s="51"/>
      <c r="B1017" s="110"/>
      <c r="C1017" s="111"/>
      <c r="D1017" s="2111"/>
      <c r="E1017" s="2112"/>
      <c r="F1017" s="2112"/>
      <c r="G1017" s="2112"/>
      <c r="H1017" s="2112"/>
      <c r="I1017" s="2112"/>
      <c r="J1017" s="2112"/>
      <c r="K1017" s="2112"/>
      <c r="L1017" s="2112"/>
      <c r="M1017" s="2112"/>
      <c r="N1017" s="2112"/>
      <c r="O1017" s="2112"/>
      <c r="P1017" s="2112"/>
      <c r="Q1017" s="2112"/>
      <c r="R1017" s="2112"/>
      <c r="S1017" s="2112"/>
      <c r="T1017" s="2112"/>
      <c r="U1017" s="2112"/>
      <c r="V1017" s="2112"/>
      <c r="W1017" s="2112"/>
      <c r="X1017" s="2112"/>
      <c r="Y1017" s="2112"/>
      <c r="Z1017" s="2112"/>
      <c r="AA1017" s="2112"/>
      <c r="AB1017" s="2112"/>
      <c r="AC1017" s="2112"/>
      <c r="AD1017" s="2112"/>
      <c r="AE1017" s="2113"/>
      <c r="AF1017" s="110"/>
      <c r="AG1017" s="112"/>
      <c r="AH1017" s="112"/>
      <c r="AI1017" s="121"/>
      <c r="AJ1017" s="2120"/>
      <c r="AK1017" s="2121"/>
      <c r="AL1017" s="2121"/>
      <c r="AM1017" s="2121"/>
      <c r="AN1017" s="2121"/>
      <c r="AO1017" s="2121"/>
      <c r="AP1017" s="2121"/>
      <c r="AQ1017" s="2122"/>
      <c r="AR1017" s="1585"/>
      <c r="AS1017" s="1585"/>
      <c r="AT1017" s="1585"/>
      <c r="AU1017" s="1585"/>
      <c r="AV1017" s="1585"/>
      <c r="AW1017" s="1585"/>
      <c r="AX1017" s="1585"/>
      <c r="AY1017" s="1585"/>
      <c r="CR1017" s="25"/>
    </row>
    <row r="1018" spans="1:96" s="720" customFormat="1" ht="12.75" customHeight="1">
      <c r="A1018" s="51"/>
      <c r="B1018" s="110"/>
      <c r="C1018" s="111"/>
      <c r="D1018" s="2111"/>
      <c r="E1018" s="2112"/>
      <c r="F1018" s="2112"/>
      <c r="G1018" s="2112"/>
      <c r="H1018" s="2112"/>
      <c r="I1018" s="2112"/>
      <c r="J1018" s="2112"/>
      <c r="K1018" s="2112"/>
      <c r="L1018" s="2112"/>
      <c r="M1018" s="2112"/>
      <c r="N1018" s="2112"/>
      <c r="O1018" s="2112"/>
      <c r="P1018" s="2112"/>
      <c r="Q1018" s="2112"/>
      <c r="R1018" s="2112"/>
      <c r="S1018" s="2112"/>
      <c r="T1018" s="2112"/>
      <c r="U1018" s="2112"/>
      <c r="V1018" s="2112"/>
      <c r="W1018" s="2112"/>
      <c r="X1018" s="2112"/>
      <c r="Y1018" s="2112"/>
      <c r="Z1018" s="2112"/>
      <c r="AA1018" s="2112"/>
      <c r="AB1018" s="2112"/>
      <c r="AC1018" s="2112"/>
      <c r="AD1018" s="2112"/>
      <c r="AE1018" s="2113"/>
      <c r="AF1018" s="110"/>
      <c r="AG1018" s="112"/>
      <c r="AH1018" s="112"/>
      <c r="AI1018" s="121"/>
      <c r="AJ1018" s="2120"/>
      <c r="AK1018" s="2121"/>
      <c r="AL1018" s="2121"/>
      <c r="AM1018" s="2121"/>
      <c r="AN1018" s="2121"/>
      <c r="AO1018" s="2121"/>
      <c r="AP1018" s="2121"/>
      <c r="AQ1018" s="2122"/>
      <c r="AR1018" s="1585"/>
      <c r="AS1018" s="1585"/>
      <c r="AT1018" s="1585"/>
      <c r="AU1018" s="1585"/>
      <c r="AV1018" s="1585"/>
      <c r="AW1018" s="1585"/>
      <c r="AX1018" s="1585"/>
      <c r="AY1018" s="1585"/>
      <c r="CR1018" s="25"/>
    </row>
    <row r="1019" spans="1:96" s="720" customFormat="1" ht="12.75" customHeight="1">
      <c r="A1019" s="51"/>
      <c r="B1019" s="110"/>
      <c r="C1019" s="111"/>
      <c r="D1019" s="2114"/>
      <c r="E1019" s="2115"/>
      <c r="F1019" s="2115"/>
      <c r="G1019" s="2115"/>
      <c r="H1019" s="2115"/>
      <c r="I1019" s="2115"/>
      <c r="J1019" s="2115"/>
      <c r="K1019" s="2115"/>
      <c r="L1019" s="2115"/>
      <c r="M1019" s="2115"/>
      <c r="N1019" s="2115"/>
      <c r="O1019" s="2115"/>
      <c r="P1019" s="2115"/>
      <c r="Q1019" s="2115"/>
      <c r="R1019" s="2115"/>
      <c r="S1019" s="2115"/>
      <c r="T1019" s="2115"/>
      <c r="U1019" s="2115"/>
      <c r="V1019" s="2115"/>
      <c r="W1019" s="2115"/>
      <c r="X1019" s="2115"/>
      <c r="Y1019" s="2115"/>
      <c r="Z1019" s="2115"/>
      <c r="AA1019" s="2115"/>
      <c r="AB1019" s="2115"/>
      <c r="AC1019" s="2115"/>
      <c r="AD1019" s="2115"/>
      <c r="AE1019" s="2116"/>
      <c r="AF1019" s="110"/>
      <c r="AG1019" s="112"/>
      <c r="AH1019" s="112"/>
      <c r="AI1019" s="121"/>
      <c r="AJ1019" s="2120"/>
      <c r="AK1019" s="2121"/>
      <c r="AL1019" s="2121"/>
      <c r="AM1019" s="2121"/>
      <c r="AN1019" s="2121"/>
      <c r="AO1019" s="2121"/>
      <c r="AP1019" s="2121"/>
      <c r="AQ1019" s="2122"/>
      <c r="AR1019" s="1585"/>
      <c r="AS1019" s="1585"/>
      <c r="AT1019" s="1585"/>
      <c r="AU1019" s="1585"/>
      <c r="AV1019" s="1585"/>
      <c r="AW1019" s="1585"/>
      <c r="AX1019" s="1585"/>
      <c r="AY1019" s="1585"/>
      <c r="CR1019" s="25"/>
    </row>
    <row r="1020" spans="1:96" s="720" customFormat="1" ht="12.75" customHeight="1">
      <c r="A1020" s="51"/>
      <c r="B1020" s="117"/>
      <c r="C1020" s="198" t="s">
        <v>1121</v>
      </c>
      <c r="D1020" s="2108" t="s">
        <v>1554</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161" t="s">
        <v>708</v>
      </c>
      <c r="AH1020" s="2162"/>
      <c r="AI1020" s="125"/>
      <c r="AJ1020" s="2117">
        <f>ROUND(IF(AG1020="yes",(AJ975*0.1),0),0)</f>
        <v>0</v>
      </c>
      <c r="AK1020" s="2118"/>
      <c r="AL1020" s="2118"/>
      <c r="AM1020" s="2118"/>
      <c r="AN1020" s="2118"/>
      <c r="AO1020" s="2118"/>
      <c r="AP1020" s="2118"/>
      <c r="AQ1020" s="2119"/>
      <c r="AR1020" s="1585"/>
      <c r="AS1020" s="1585"/>
      <c r="AT1020" s="1585"/>
      <c r="AU1020" s="1585"/>
      <c r="AV1020" s="1585"/>
      <c r="AW1020" s="1585"/>
      <c r="AX1020" s="1585"/>
      <c r="AY1020" s="1585"/>
      <c r="CR1020" s="25"/>
    </row>
    <row r="1021" spans="1:96" ht="12.75" customHeight="1">
      <c r="A1021" s="51"/>
      <c r="B1021" s="110"/>
      <c r="C1021" s="111"/>
      <c r="D1021" s="2138" t="s">
        <v>1555</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20"/>
      <c r="AK1021" s="2121"/>
      <c r="AL1021" s="2121"/>
      <c r="AM1021" s="2121"/>
      <c r="AN1021" s="2121"/>
      <c r="AO1021" s="2121"/>
      <c r="AP1021" s="2121"/>
      <c r="AQ1021" s="2122"/>
      <c r="AR1021" s="1585"/>
      <c r="AS1021" s="1585"/>
      <c r="AT1021" s="1585"/>
      <c r="AU1021" s="1585"/>
      <c r="AV1021" s="1585"/>
      <c r="AW1021" s="1585"/>
      <c r="AX1021" s="1585"/>
      <c r="AY1021" s="1585"/>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20"/>
      <c r="AK1022" s="2121"/>
      <c r="AL1022" s="2121"/>
      <c r="AM1022" s="2121"/>
      <c r="AN1022" s="2121"/>
      <c r="AO1022" s="2121"/>
      <c r="AP1022" s="2121"/>
      <c r="AQ1022" s="2122"/>
      <c r="AR1022" s="1585"/>
      <c r="AS1022" s="1585"/>
      <c r="AT1022" s="1585"/>
      <c r="AU1022" s="1585"/>
      <c r="AV1022" s="1585"/>
      <c r="AW1022" s="1585"/>
      <c r="AX1022" s="1585"/>
      <c r="AY1022" s="1585"/>
    </row>
    <row r="1023" spans="1:96" s="683" customFormat="1" ht="12.75" customHeight="1">
      <c r="A1023" s="51"/>
      <c r="B1023" s="110"/>
      <c r="C1023" s="111"/>
      <c r="D1023" s="2141"/>
      <c r="E1023" s="2142"/>
      <c r="F1023" s="2142"/>
      <c r="G1023" s="2142"/>
      <c r="H1023" s="2142"/>
      <c r="I1023" s="2142"/>
      <c r="J1023" s="2142"/>
      <c r="K1023" s="2142"/>
      <c r="L1023" s="2142"/>
      <c r="M1023" s="2142"/>
      <c r="N1023" s="2142"/>
      <c r="O1023" s="2142"/>
      <c r="P1023" s="2142"/>
      <c r="Q1023" s="2142"/>
      <c r="R1023" s="2142"/>
      <c r="S1023" s="2142"/>
      <c r="T1023" s="2142"/>
      <c r="U1023" s="2142"/>
      <c r="V1023" s="2142"/>
      <c r="W1023" s="2142"/>
      <c r="X1023" s="2142"/>
      <c r="Y1023" s="2142"/>
      <c r="Z1023" s="2142"/>
      <c r="AA1023" s="2142"/>
      <c r="AB1023" s="2142"/>
      <c r="AC1023" s="2142"/>
      <c r="AD1023" s="2142"/>
      <c r="AE1023" s="2143"/>
      <c r="AF1023" s="110"/>
      <c r="AG1023" s="112"/>
      <c r="AH1023" s="112"/>
      <c r="AI1023" s="121"/>
      <c r="AJ1023" s="2123"/>
      <c r="AK1023" s="2124"/>
      <c r="AL1023" s="2124"/>
      <c r="AM1023" s="2124"/>
      <c r="AN1023" s="2124"/>
      <c r="AO1023" s="2124"/>
      <c r="AP1023" s="2124"/>
      <c r="AQ1023" s="2125"/>
      <c r="AR1023" s="1585"/>
      <c r="AS1023" s="1585"/>
      <c r="AT1023" s="1585"/>
      <c r="AU1023" s="1585"/>
      <c r="AV1023" s="1585"/>
      <c r="AW1023" s="1585"/>
      <c r="AX1023" s="1585"/>
      <c r="AY1023" s="1585"/>
      <c r="CR1023" s="25"/>
    </row>
    <row r="1024" spans="1:96" ht="12.75" customHeight="1">
      <c r="A1024" s="51"/>
      <c r="B1024" s="117"/>
      <c r="C1024" s="198" t="s">
        <v>2188</v>
      </c>
      <c r="D1024" s="2126" t="s">
        <v>2460</v>
      </c>
      <c r="E1024" s="2127"/>
      <c r="F1024" s="2127"/>
      <c r="G1024" s="2127"/>
      <c r="H1024" s="2127"/>
      <c r="I1024" s="2127"/>
      <c r="J1024" s="2127"/>
      <c r="K1024" s="2127"/>
      <c r="L1024" s="2127"/>
      <c r="M1024" s="2127"/>
      <c r="N1024" s="2127"/>
      <c r="O1024" s="2127"/>
      <c r="P1024" s="2127"/>
      <c r="Q1024" s="2127"/>
      <c r="R1024" s="2127"/>
      <c r="S1024" s="2127"/>
      <c r="T1024" s="2127"/>
      <c r="U1024" s="2127"/>
      <c r="V1024" s="2127"/>
      <c r="W1024" s="2127"/>
      <c r="X1024" s="2127"/>
      <c r="Y1024" s="2127"/>
      <c r="Z1024" s="2127"/>
      <c r="AA1024" s="2127"/>
      <c r="AB1024" s="2127"/>
      <c r="AC1024" s="2127"/>
      <c r="AD1024" s="2127"/>
      <c r="AE1024" s="2128"/>
      <c r="AF1024" s="117"/>
      <c r="AG1024" s="2159" t="str">
        <f>IF(X1027&gt;0,"Yes","No")</f>
        <v>Yes</v>
      </c>
      <c r="AH1024" s="2160"/>
      <c r="AI1024" s="125"/>
      <c r="AJ1024" s="2202">
        <f>IF((X1027=0),0,BA989*AJ975)</f>
        <v>7946188</v>
      </c>
      <c r="AK1024" s="2203"/>
      <c r="AL1024" s="2203"/>
      <c r="AM1024" s="2203"/>
      <c r="AN1024" s="2203"/>
      <c r="AO1024" s="2203"/>
      <c r="AP1024" s="2203"/>
      <c r="AQ1024" s="2204"/>
      <c r="AR1024" s="1585"/>
      <c r="AS1024" s="1585"/>
      <c r="AT1024" s="1585"/>
      <c r="AU1024" s="1585"/>
      <c r="AV1024" s="1585"/>
      <c r="AW1024" s="1585"/>
      <c r="AX1024" s="1585"/>
      <c r="AY1024" s="1585"/>
    </row>
    <row r="1025" spans="1:96" ht="12.75" customHeight="1">
      <c r="A1025" s="51"/>
      <c r="B1025" s="110"/>
      <c r="C1025" s="703"/>
      <c r="D1025" s="2138" t="s">
        <v>1557</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704"/>
      <c r="AH1025" s="704"/>
      <c r="AI1025" s="121"/>
      <c r="AJ1025" s="2205"/>
      <c r="AK1025" s="2206"/>
      <c r="AL1025" s="2206"/>
      <c r="AM1025" s="2206"/>
      <c r="AN1025" s="2206"/>
      <c r="AO1025" s="2206"/>
      <c r="AP1025" s="2206"/>
      <c r="AQ1025" s="2207"/>
      <c r="AR1025" s="1585"/>
      <c r="AS1025" s="1585"/>
      <c r="AT1025" s="1585"/>
      <c r="AU1025" s="1585"/>
      <c r="AV1025" s="1585"/>
      <c r="AW1025" s="1585"/>
      <c r="AX1025" s="1585"/>
      <c r="AY1025" s="1585"/>
    </row>
    <row r="1026" spans="1:96" ht="12.75" customHeight="1">
      <c r="A1026" s="51"/>
      <c r="B1026" s="110"/>
      <c r="C1026" s="703"/>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704"/>
      <c r="AH1026" s="704"/>
      <c r="AI1026" s="121"/>
      <c r="AJ1026" s="2205"/>
      <c r="AK1026" s="2206"/>
      <c r="AL1026" s="2206"/>
      <c r="AM1026" s="2206"/>
      <c r="AN1026" s="2206"/>
      <c r="AO1026" s="2206"/>
      <c r="AP1026" s="2206"/>
      <c r="AQ1026" s="2207"/>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98">
        <f>BA987</f>
        <v>159</v>
      </c>
      <c r="J1027" s="2199"/>
      <c r="K1027" s="11"/>
      <c r="L1027" s="200"/>
      <c r="M1027" s="200"/>
      <c r="N1027" s="200"/>
      <c r="O1027" s="200"/>
      <c r="P1027" s="200"/>
      <c r="Q1027" s="200"/>
      <c r="R1027" s="200"/>
      <c r="S1027" s="200"/>
      <c r="T1027" s="200"/>
      <c r="U1027" s="200"/>
      <c r="V1027" s="201" t="s">
        <v>1056</v>
      </c>
      <c r="W1027" s="80"/>
      <c r="X1027" s="2196">
        <f>BG635</f>
        <v>16</v>
      </c>
      <c r="Y1027" s="2197"/>
      <c r="Z1027" s="80"/>
      <c r="AA1027" s="80"/>
      <c r="AB1027" s="80"/>
      <c r="AC1027" s="80"/>
      <c r="AD1027" s="80"/>
      <c r="AE1027" s="81"/>
      <c r="AF1027" s="1624"/>
      <c r="AG1027" s="1625"/>
      <c r="AH1027" s="1625"/>
      <c r="AI1027" s="1626"/>
      <c r="AJ1027" s="2208"/>
      <c r="AK1027" s="2209"/>
      <c r="AL1027" s="2209"/>
      <c r="AM1027" s="2209"/>
      <c r="AN1027" s="2209"/>
      <c r="AO1027" s="2209"/>
      <c r="AP1027" s="2209"/>
      <c r="AQ1027" s="2210"/>
      <c r="AR1027" s="1585"/>
      <c r="AS1027" s="1585"/>
      <c r="AT1027" s="1585"/>
      <c r="AU1027" s="1585"/>
      <c r="AV1027" s="1585"/>
      <c r="AW1027" s="1585"/>
      <c r="AX1027" s="1585"/>
      <c r="AY1027" s="1585"/>
      <c r="CR1027" s="25"/>
    </row>
    <row r="1028" spans="1:96" ht="12.75" customHeight="1">
      <c r="A1028" s="51"/>
      <c r="B1028" s="117"/>
      <c r="C1028" s="198" t="s">
        <v>2189</v>
      </c>
      <c r="D1028" s="2108" t="s">
        <v>2461</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159" t="str">
        <f>IF(X1031&gt;0,"Yes","No")</f>
        <v>Yes</v>
      </c>
      <c r="AH1028" s="2160"/>
      <c r="AI1028" s="121"/>
      <c r="AJ1028" s="2202">
        <f>IF((X1031=0),0,(2*BA990)*AJ975)</f>
        <v>15892376</v>
      </c>
      <c r="AK1028" s="2203"/>
      <c r="AL1028" s="2203"/>
      <c r="AM1028" s="2203"/>
      <c r="AN1028" s="2203"/>
      <c r="AO1028" s="2203"/>
      <c r="AP1028" s="2203"/>
      <c r="AQ1028" s="2204"/>
      <c r="AR1028" s="1585"/>
      <c r="AS1028" s="1585"/>
      <c r="AT1028" s="1585"/>
      <c r="AU1028" s="1585"/>
      <c r="AV1028" s="1585"/>
      <c r="AW1028" s="1585"/>
      <c r="AX1028" s="1585"/>
      <c r="AY1028" s="1585"/>
    </row>
    <row r="1029" spans="1:96" ht="12.75" customHeight="1">
      <c r="A1029" s="51"/>
      <c r="B1029" s="110"/>
      <c r="C1029" s="703"/>
      <c r="D1029" s="2138" t="s">
        <v>1556</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704"/>
      <c r="AH1029" s="704"/>
      <c r="AI1029" s="121"/>
      <c r="AJ1029" s="2205"/>
      <c r="AK1029" s="2206"/>
      <c r="AL1029" s="2206"/>
      <c r="AM1029" s="2206"/>
      <c r="AN1029" s="2206"/>
      <c r="AO1029" s="2206"/>
      <c r="AP1029" s="2206"/>
      <c r="AQ1029" s="2207"/>
      <c r="AR1029" s="1585"/>
      <c r="AS1029" s="1585"/>
      <c r="AT1029" s="1585"/>
      <c r="AU1029" s="1585"/>
      <c r="AV1029" s="1585"/>
      <c r="AW1029" s="1585"/>
      <c r="AX1029" s="1585"/>
      <c r="AY1029" s="1585"/>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621"/>
      <c r="AG1030" s="1622"/>
      <c r="AH1030" s="1622"/>
      <c r="AI1030" s="1623"/>
      <c r="AJ1030" s="2205"/>
      <c r="AK1030" s="2206"/>
      <c r="AL1030" s="2206"/>
      <c r="AM1030" s="2206"/>
      <c r="AN1030" s="2206"/>
      <c r="AO1030" s="2206"/>
      <c r="AP1030" s="2206"/>
      <c r="AQ1030" s="2207"/>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98">
        <f>BA987</f>
        <v>159</v>
      </c>
      <c r="J1031" s="2199"/>
      <c r="K1031" s="51"/>
      <c r="L1031" s="200"/>
      <c r="M1031" s="200"/>
      <c r="N1031" s="200"/>
      <c r="O1031" s="200"/>
      <c r="P1031" s="200"/>
      <c r="Q1031" s="200"/>
      <c r="R1031" s="200"/>
      <c r="S1031" s="200"/>
      <c r="T1031" s="200"/>
      <c r="U1031" s="200"/>
      <c r="V1031" s="201" t="s">
        <v>1057</v>
      </c>
      <c r="X1031" s="2196">
        <f>BK635</f>
        <v>16</v>
      </c>
      <c r="Y1031" s="2197"/>
      <c r="AF1031" s="1624"/>
      <c r="AG1031" s="1625"/>
      <c r="AH1031" s="1625"/>
      <c r="AI1031" s="1626"/>
      <c r="AJ1031" s="2208"/>
      <c r="AK1031" s="2209"/>
      <c r="AL1031" s="2209"/>
      <c r="AM1031" s="2209"/>
      <c r="AN1031" s="2209"/>
      <c r="AO1031" s="2209"/>
      <c r="AP1031" s="2209"/>
      <c r="AQ1031" s="2210"/>
      <c r="AR1031" s="1585"/>
      <c r="AS1031" s="1585"/>
      <c r="AT1031" s="1585"/>
      <c r="AU1031" s="1585"/>
      <c r="AV1031" s="1585"/>
      <c r="AW1031" s="1585"/>
      <c r="AX1031" s="1585"/>
      <c r="AY1031" s="1585"/>
      <c r="CR1031" s="25"/>
    </row>
    <row r="1032" spans="1:96" ht="12.75" customHeight="1">
      <c r="A1032" s="51"/>
      <c r="B1032" s="158"/>
      <c r="C1032" s="159"/>
      <c r="D1032" s="2194" t="s">
        <v>548</v>
      </c>
      <c r="E1032" s="2194"/>
      <c r="F1032" s="2194"/>
      <c r="G1032" s="2194"/>
      <c r="H1032" s="2194"/>
      <c r="I1032" s="2194"/>
      <c r="J1032" s="2194"/>
      <c r="K1032" s="2194"/>
      <c r="L1032" s="2194"/>
      <c r="M1032" s="2194"/>
      <c r="N1032" s="2194"/>
      <c r="O1032" s="2194"/>
      <c r="P1032" s="2194"/>
      <c r="Q1032" s="2194"/>
      <c r="R1032" s="2194"/>
      <c r="S1032" s="2194"/>
      <c r="T1032" s="2194"/>
      <c r="U1032" s="2194"/>
      <c r="V1032" s="2194"/>
      <c r="W1032" s="2194"/>
      <c r="X1032" s="2194"/>
      <c r="Y1032" s="2194"/>
      <c r="Z1032" s="2194"/>
      <c r="AA1032" s="2194"/>
      <c r="AB1032" s="2194"/>
      <c r="AC1032" s="2194"/>
      <c r="AD1032" s="2194"/>
      <c r="AE1032" s="2194"/>
      <c r="AF1032" s="2194"/>
      <c r="AG1032" s="2194"/>
      <c r="AH1032" s="2194"/>
      <c r="AI1032" s="2195"/>
      <c r="AJ1032" s="2211">
        <f>SUM(AJ975:AQ1031)</f>
        <v>103300444</v>
      </c>
      <c r="AK1032" s="2212"/>
      <c r="AL1032" s="2212"/>
      <c r="AM1032" s="2212"/>
      <c r="AN1032" s="2212"/>
      <c r="AO1032" s="2212"/>
      <c r="AP1032" s="2212"/>
      <c r="AQ1032" s="2213"/>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40" t="s">
        <v>1945</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3"/>
      <c r="Y1035" s="2313"/>
      <c r="Z1035" s="2313"/>
      <c r="AA1035" s="2313"/>
      <c r="AB1035" s="2313"/>
      <c r="AC1035" s="2313"/>
      <c r="AD1035" s="2535">
        <f>R971</f>
        <v>422400</v>
      </c>
      <c r="AE1035" s="2487"/>
      <c r="AF1035" s="2487"/>
      <c r="AG1035" s="2487"/>
      <c r="AH1035" s="2487"/>
      <c r="AI1035" s="2487"/>
      <c r="AJ1035" s="2487"/>
      <c r="AK1035" s="248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4"/>
      <c r="Y1036" s="2314"/>
      <c r="Z1036" s="2314"/>
      <c r="AA1036" s="2314"/>
      <c r="AB1036" s="2314"/>
      <c r="AC1036" s="2314"/>
      <c r="AD1036" s="2121">
        <f>MIN((BR809:BR866))</f>
        <v>318400</v>
      </c>
      <c r="AE1036" s="2121"/>
      <c r="AF1036" s="2121"/>
      <c r="AG1036" s="2121"/>
      <c r="AH1036" s="2121"/>
      <c r="AI1036" s="2121"/>
      <c r="AJ1036" s="2121"/>
      <c r="AK1036" s="2121"/>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6" t="s">
        <v>1948</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8"/>
      <c r="AA1037" s="1418"/>
      <c r="AB1037" s="1418"/>
      <c r="AC1037" s="1418"/>
      <c r="AD1037" s="2532">
        <f>IF(((AD1035-AD1036)/AD1036)&gt;0.3,0.3,((AD1035-AD1036)/AD1036))</f>
        <v>0.3</v>
      </c>
      <c r="AE1037" s="2533"/>
      <c r="AF1037" s="2533"/>
      <c r="AG1037" s="2533"/>
      <c r="AH1037" s="2533"/>
      <c r="AI1037" s="2533"/>
      <c r="AJ1037" s="2533"/>
      <c r="AK1037" s="2534"/>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11">
        <f>IF(ISNA(IF((AJ999&gt;(AJ975*0.15)),"(f) cannot be greater than 15% of unadjusted eligible basis.",0)),"",(IF((AJ999&gt;(AJ975*0.15)),"(f) cannot be greater than 15% of unadjusted eligible basis.",0)))</f>
        <v>0</v>
      </c>
      <c r="C1039" s="2311"/>
      <c r="D1039" s="2311"/>
      <c r="E1039" s="2311"/>
      <c r="F1039" s="2311"/>
      <c r="G1039" s="2311"/>
      <c r="H1039" s="2311"/>
      <c r="I1039" s="2311"/>
      <c r="J1039" s="2311"/>
      <c r="K1039" s="2311"/>
      <c r="L1039" s="2311"/>
      <c r="M1039" s="2311"/>
      <c r="N1039" s="2311"/>
      <c r="O1039" s="2311"/>
      <c r="P1039" s="2311"/>
      <c r="Q1039" s="2311"/>
      <c r="R1039" s="2311"/>
      <c r="S1039" s="2311"/>
      <c r="T1039" s="2311"/>
      <c r="U1039" s="2311"/>
      <c r="V1039" s="2311"/>
      <c r="W1039" s="2311"/>
      <c r="X1039" s="2311"/>
      <c r="Y1039" s="2311"/>
      <c r="Z1039" s="2311"/>
      <c r="AA1039" s="2311"/>
      <c r="AB1039" s="2311"/>
      <c r="AC1039" s="2311"/>
      <c r="AD1039" s="2311"/>
      <c r="AE1039" s="2311"/>
      <c r="AF1039" s="2311"/>
      <c r="AG1039" s="2311"/>
      <c r="AH1039" s="2311"/>
      <c r="AI1039" s="2311"/>
      <c r="AJ1039" s="2311"/>
      <c r="AK1039" s="2311"/>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71" t="s">
        <v>856</v>
      </c>
      <c r="B1040" s="2371"/>
      <c r="C1040" s="2371"/>
      <c r="D1040" s="2371"/>
      <c r="E1040" s="2371"/>
      <c r="F1040" s="2371"/>
      <c r="G1040" s="2371"/>
      <c r="H1040" s="2371"/>
      <c r="I1040" s="2371"/>
      <c r="J1040" s="2371"/>
      <c r="K1040" s="2371"/>
      <c r="L1040" s="2371"/>
      <c r="M1040" s="2371"/>
      <c r="N1040" s="2371"/>
      <c r="O1040" s="2371"/>
      <c r="P1040" s="2371"/>
      <c r="Q1040" s="2371"/>
      <c r="R1040" s="2371"/>
      <c r="S1040" s="2371"/>
      <c r="T1040" s="2371"/>
      <c r="U1040" s="2371"/>
      <c r="V1040" s="2371"/>
      <c r="W1040" s="2371"/>
      <c r="X1040" s="2371"/>
      <c r="Y1040" s="2371"/>
      <c r="Z1040" s="2371"/>
      <c r="AA1040" s="2371"/>
      <c r="AB1040" s="2371"/>
      <c r="AC1040" s="2371"/>
      <c r="AD1040" s="2371"/>
      <c r="AE1040" s="2371"/>
      <c r="AF1040" s="2371"/>
      <c r="AG1040" s="2371"/>
      <c r="AH1040" s="2371"/>
      <c r="AI1040" s="2371"/>
      <c r="AJ1040" s="2371"/>
      <c r="AK1040" s="2371"/>
      <c r="AL1040" s="237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267" t="s">
        <v>628</v>
      </c>
      <c r="B1044" s="2267"/>
      <c r="C1044" s="13">
        <v>1</v>
      </c>
      <c r="D1044" s="1887" t="s">
        <v>1227</v>
      </c>
      <c r="E1044" s="1887"/>
      <c r="F1044" s="1887"/>
      <c r="G1044" s="1887"/>
      <c r="H1044" s="1887"/>
      <c r="I1044" s="1887"/>
      <c r="J1044" s="1887"/>
      <c r="K1044" s="1887"/>
      <c r="L1044" s="1887"/>
      <c r="M1044" s="1887"/>
      <c r="N1044" s="1887"/>
      <c r="O1044" s="1887"/>
      <c r="P1044" s="1887"/>
      <c r="Q1044" s="1887"/>
      <c r="R1044" s="1887"/>
      <c r="S1044" s="1887"/>
      <c r="T1044" s="1887"/>
      <c r="U1044" s="1887"/>
      <c r="V1044" s="1887"/>
      <c r="W1044" s="1887"/>
      <c r="X1044" s="1887"/>
      <c r="Y1044" s="1887"/>
      <c r="Z1044" s="1887"/>
      <c r="AA1044" s="1887"/>
      <c r="AB1044" s="1887"/>
      <c r="AC1044" s="1887"/>
      <c r="AD1044" s="1887"/>
      <c r="AE1044" s="1887"/>
      <c r="AF1044" s="1887"/>
      <c r="AG1044" s="1887"/>
      <c r="AH1044" s="1887"/>
      <c r="AI1044" s="1887"/>
      <c r="AJ1044" s="1887"/>
      <c r="AK1044" s="1887"/>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7"/>
      <c r="E1045" s="1887"/>
      <c r="F1045" s="1887"/>
      <c r="G1045" s="1887"/>
      <c r="H1045" s="1887"/>
      <c r="I1045" s="1887"/>
      <c r="J1045" s="1887"/>
      <c r="K1045" s="1887"/>
      <c r="L1045" s="1887"/>
      <c r="M1045" s="1887"/>
      <c r="N1045" s="1887"/>
      <c r="O1045" s="1887"/>
      <c r="P1045" s="1887"/>
      <c r="Q1045" s="1887"/>
      <c r="R1045" s="1887"/>
      <c r="S1045" s="1887"/>
      <c r="T1045" s="1887"/>
      <c r="U1045" s="1887"/>
      <c r="V1045" s="1887"/>
      <c r="W1045" s="1887"/>
      <c r="X1045" s="1887"/>
      <c r="Y1045" s="1887"/>
      <c r="Z1045" s="1887"/>
      <c r="AA1045" s="1887"/>
      <c r="AB1045" s="1887"/>
      <c r="AC1045" s="1887"/>
      <c r="AD1045" s="1887"/>
      <c r="AE1045" s="1887"/>
      <c r="AF1045" s="1887"/>
      <c r="AG1045" s="1887"/>
      <c r="AH1045" s="1887"/>
      <c r="AI1045" s="1887"/>
      <c r="AJ1045" s="1887"/>
      <c r="AK1045" s="1887"/>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7"/>
      <c r="E1046" s="1887"/>
      <c r="F1046" s="1887"/>
      <c r="G1046" s="1887"/>
      <c r="H1046" s="1887"/>
      <c r="I1046" s="1887"/>
      <c r="J1046" s="1887"/>
      <c r="K1046" s="1887"/>
      <c r="L1046" s="1887"/>
      <c r="M1046" s="1887"/>
      <c r="N1046" s="1887"/>
      <c r="O1046" s="1887"/>
      <c r="P1046" s="1887"/>
      <c r="Q1046" s="1887"/>
      <c r="R1046" s="1887"/>
      <c r="S1046" s="1887"/>
      <c r="T1046" s="1887"/>
      <c r="U1046" s="1887"/>
      <c r="V1046" s="1887"/>
      <c r="W1046" s="1887"/>
      <c r="X1046" s="1887"/>
      <c r="Y1046" s="1887"/>
      <c r="Z1046" s="1887"/>
      <c r="AA1046" s="1887"/>
      <c r="AB1046" s="1887"/>
      <c r="AC1046" s="1887"/>
      <c r="AD1046" s="1887"/>
      <c r="AE1046" s="1887"/>
      <c r="AF1046" s="1887"/>
      <c r="AG1046" s="1887"/>
      <c r="AH1046" s="1887"/>
      <c r="AI1046" s="1887"/>
      <c r="AJ1046" s="1887"/>
      <c r="AK1046" s="1887"/>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7"/>
      <c r="E1047" s="1887"/>
      <c r="F1047" s="1887"/>
      <c r="G1047" s="1887"/>
      <c r="H1047" s="1887"/>
      <c r="I1047" s="1887"/>
      <c r="J1047" s="1887"/>
      <c r="K1047" s="1887"/>
      <c r="L1047" s="1887"/>
      <c r="M1047" s="1887"/>
      <c r="N1047" s="1887"/>
      <c r="O1047" s="1887"/>
      <c r="P1047" s="1887"/>
      <c r="Q1047" s="1887"/>
      <c r="R1047" s="1887"/>
      <c r="S1047" s="1887"/>
      <c r="T1047" s="1887"/>
      <c r="U1047" s="1887"/>
      <c r="V1047" s="1887"/>
      <c r="W1047" s="1887"/>
      <c r="X1047" s="1887"/>
      <c r="Y1047" s="1887"/>
      <c r="Z1047" s="1887"/>
      <c r="AA1047" s="1887"/>
      <c r="AB1047" s="1887"/>
      <c r="AC1047" s="1887"/>
      <c r="AD1047" s="1887"/>
      <c r="AE1047" s="1887"/>
      <c r="AF1047" s="1887"/>
      <c r="AG1047" s="1887"/>
      <c r="AH1047" s="1887"/>
      <c r="AI1047" s="1887"/>
      <c r="AJ1047" s="1887"/>
      <c r="AK1047" s="1887"/>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7"/>
      <c r="E1048" s="1887"/>
      <c r="F1048" s="1887"/>
      <c r="G1048" s="1887"/>
      <c r="H1048" s="1887"/>
      <c r="I1048" s="1887"/>
      <c r="J1048" s="1887"/>
      <c r="K1048" s="1887"/>
      <c r="L1048" s="1887"/>
      <c r="M1048" s="1887"/>
      <c r="N1048" s="1887"/>
      <c r="O1048" s="1887"/>
      <c r="P1048" s="1887"/>
      <c r="Q1048" s="1887"/>
      <c r="R1048" s="1887"/>
      <c r="S1048" s="1887"/>
      <c r="T1048" s="1887"/>
      <c r="U1048" s="1887"/>
      <c r="V1048" s="1887"/>
      <c r="W1048" s="1887"/>
      <c r="X1048" s="1887"/>
      <c r="Y1048" s="1887"/>
      <c r="Z1048" s="1887"/>
      <c r="AA1048" s="1887"/>
      <c r="AB1048" s="1887"/>
      <c r="AC1048" s="1887"/>
      <c r="AD1048" s="1887"/>
      <c r="AE1048" s="1887"/>
      <c r="AF1048" s="1887"/>
      <c r="AG1048" s="1887"/>
      <c r="AH1048" s="1887"/>
      <c r="AI1048" s="1887"/>
      <c r="AJ1048" s="1887"/>
      <c r="AK1048" s="1887"/>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7"/>
      <c r="E1049" s="1887"/>
      <c r="F1049" s="1887"/>
      <c r="G1049" s="1887"/>
      <c r="H1049" s="1887"/>
      <c r="I1049" s="1887"/>
      <c r="J1049" s="1887"/>
      <c r="K1049" s="1887"/>
      <c r="L1049" s="1887"/>
      <c r="M1049" s="1887"/>
      <c r="N1049" s="1887"/>
      <c r="O1049" s="1887"/>
      <c r="P1049" s="1887"/>
      <c r="Q1049" s="1887"/>
      <c r="R1049" s="1887"/>
      <c r="S1049" s="1887"/>
      <c r="T1049" s="1887"/>
      <c r="U1049" s="1887"/>
      <c r="V1049" s="1887"/>
      <c r="W1049" s="1887"/>
      <c r="X1049" s="1887"/>
      <c r="Y1049" s="1887"/>
      <c r="Z1049" s="1887"/>
      <c r="AA1049" s="1887"/>
      <c r="AB1049" s="1887"/>
      <c r="AC1049" s="1887"/>
      <c r="AD1049" s="1887"/>
      <c r="AE1049" s="1887"/>
      <c r="AF1049" s="1887"/>
      <c r="AG1049" s="1887"/>
      <c r="AH1049" s="1887"/>
      <c r="AI1049" s="1887"/>
      <c r="AJ1049" s="1887"/>
      <c r="AK1049" s="1887"/>
      <c r="AL1049" s="105"/>
      <c r="AM1049" s="1585"/>
      <c r="AN1049" s="1585"/>
      <c r="AO1049" s="1585"/>
      <c r="AP1049" s="1585"/>
      <c r="AQ1049" s="1585"/>
      <c r="AR1049" s="1585"/>
      <c r="AS1049" s="1585"/>
      <c r="AT1049" s="1585"/>
      <c r="AU1049" s="1585"/>
      <c r="AV1049" s="1585"/>
      <c r="AW1049" s="1585"/>
      <c r="AX1049" s="1585"/>
      <c r="AY1049" s="1585"/>
    </row>
    <row r="1050" spans="1:51" ht="12.6" customHeight="1">
      <c r="A1050" s="2267" t="s">
        <v>628</v>
      </c>
      <c r="B1050" s="2267"/>
      <c r="C1050" s="13">
        <v>2</v>
      </c>
      <c r="D1050" s="1887" t="s">
        <v>1226</v>
      </c>
      <c r="E1050" s="1887"/>
      <c r="F1050" s="1887"/>
      <c r="G1050" s="1887"/>
      <c r="H1050" s="1887"/>
      <c r="I1050" s="1887"/>
      <c r="J1050" s="1887"/>
      <c r="K1050" s="1887"/>
      <c r="L1050" s="1887"/>
      <c r="M1050" s="1887"/>
      <c r="N1050" s="1887"/>
      <c r="O1050" s="1887"/>
      <c r="P1050" s="1887"/>
      <c r="Q1050" s="1887"/>
      <c r="R1050" s="1887"/>
      <c r="S1050" s="1887"/>
      <c r="T1050" s="1887"/>
      <c r="U1050" s="1887"/>
      <c r="V1050" s="1887"/>
      <c r="W1050" s="1887"/>
      <c r="X1050" s="1887"/>
      <c r="Y1050" s="1887"/>
      <c r="Z1050" s="1887"/>
      <c r="AA1050" s="1887"/>
      <c r="AB1050" s="1887"/>
      <c r="AC1050" s="1887"/>
      <c r="AD1050" s="1887"/>
      <c r="AE1050" s="1887"/>
      <c r="AF1050" s="1887"/>
      <c r="AG1050" s="1887"/>
      <c r="AH1050" s="1887"/>
      <c r="AI1050" s="1887"/>
      <c r="AJ1050" s="1887"/>
      <c r="AK1050" s="1887"/>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7"/>
      <c r="E1051" s="1887"/>
      <c r="F1051" s="1887"/>
      <c r="G1051" s="1887"/>
      <c r="H1051" s="1887"/>
      <c r="I1051" s="1887"/>
      <c r="J1051" s="1887"/>
      <c r="K1051" s="1887"/>
      <c r="L1051" s="1887"/>
      <c r="M1051" s="1887"/>
      <c r="N1051" s="1887"/>
      <c r="O1051" s="1887"/>
      <c r="P1051" s="1887"/>
      <c r="Q1051" s="1887"/>
      <c r="R1051" s="1887"/>
      <c r="S1051" s="1887"/>
      <c r="T1051" s="1887"/>
      <c r="U1051" s="1887"/>
      <c r="V1051" s="1887"/>
      <c r="W1051" s="1887"/>
      <c r="X1051" s="1887"/>
      <c r="Y1051" s="1887"/>
      <c r="Z1051" s="1887"/>
      <c r="AA1051" s="1887"/>
      <c r="AB1051" s="1887"/>
      <c r="AC1051" s="1887"/>
      <c r="AD1051" s="1887"/>
      <c r="AE1051" s="1887"/>
      <c r="AF1051" s="1887"/>
      <c r="AG1051" s="1887"/>
      <c r="AH1051" s="1887"/>
      <c r="AI1051" s="1887"/>
      <c r="AJ1051" s="1887"/>
      <c r="AK1051" s="1887"/>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7"/>
      <c r="E1052" s="1887"/>
      <c r="F1052" s="1887"/>
      <c r="G1052" s="1887"/>
      <c r="H1052" s="1887"/>
      <c r="I1052" s="1887"/>
      <c r="J1052" s="1887"/>
      <c r="K1052" s="1887"/>
      <c r="L1052" s="1887"/>
      <c r="M1052" s="1887"/>
      <c r="N1052" s="1887"/>
      <c r="O1052" s="1887"/>
      <c r="P1052" s="1887"/>
      <c r="Q1052" s="1887"/>
      <c r="R1052" s="1887"/>
      <c r="S1052" s="1887"/>
      <c r="T1052" s="1887"/>
      <c r="U1052" s="1887"/>
      <c r="V1052" s="1887"/>
      <c r="W1052" s="1887"/>
      <c r="X1052" s="1887"/>
      <c r="Y1052" s="1887"/>
      <c r="Z1052" s="1887"/>
      <c r="AA1052" s="1887"/>
      <c r="AB1052" s="1887"/>
      <c r="AC1052" s="1887"/>
      <c r="AD1052" s="1887"/>
      <c r="AE1052" s="1887"/>
      <c r="AF1052" s="1887"/>
      <c r="AG1052" s="1887"/>
      <c r="AH1052" s="1887"/>
      <c r="AI1052" s="1887"/>
      <c r="AJ1052" s="1887"/>
      <c r="AK1052" s="1887"/>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7"/>
      <c r="E1053" s="1887"/>
      <c r="F1053" s="1887"/>
      <c r="G1053" s="1887"/>
      <c r="H1053" s="1887"/>
      <c r="I1053" s="1887"/>
      <c r="J1053" s="1887"/>
      <c r="K1053" s="1887"/>
      <c r="L1053" s="1887"/>
      <c r="M1053" s="1887"/>
      <c r="N1053" s="1887"/>
      <c r="O1053" s="1887"/>
      <c r="P1053" s="1887"/>
      <c r="Q1053" s="1887"/>
      <c r="R1053" s="1887"/>
      <c r="S1053" s="1887"/>
      <c r="T1053" s="1887"/>
      <c r="U1053" s="1887"/>
      <c r="V1053" s="1887"/>
      <c r="W1053" s="1887"/>
      <c r="X1053" s="1887"/>
      <c r="Y1053" s="1887"/>
      <c r="Z1053" s="1887"/>
      <c r="AA1053" s="1887"/>
      <c r="AB1053" s="1887"/>
      <c r="AC1053" s="1887"/>
      <c r="AD1053" s="1887"/>
      <c r="AE1053" s="1887"/>
      <c r="AF1053" s="1887"/>
      <c r="AG1053" s="1887"/>
      <c r="AH1053" s="1887"/>
      <c r="AI1053" s="1887"/>
      <c r="AJ1053" s="1887"/>
      <c r="AK1053" s="1887"/>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7"/>
      <c r="E1054" s="1887"/>
      <c r="F1054" s="1887"/>
      <c r="G1054" s="1887"/>
      <c r="H1054" s="1887"/>
      <c r="I1054" s="1887"/>
      <c r="J1054" s="1887"/>
      <c r="K1054" s="1887"/>
      <c r="L1054" s="1887"/>
      <c r="M1054" s="1887"/>
      <c r="N1054" s="1887"/>
      <c r="O1054" s="1887"/>
      <c r="P1054" s="1887"/>
      <c r="Q1054" s="1887"/>
      <c r="R1054" s="1887"/>
      <c r="S1054" s="1887"/>
      <c r="T1054" s="1887"/>
      <c r="U1054" s="1887"/>
      <c r="V1054" s="1887"/>
      <c r="W1054" s="1887"/>
      <c r="X1054" s="1887"/>
      <c r="Y1054" s="1887"/>
      <c r="Z1054" s="1887"/>
      <c r="AA1054" s="1887"/>
      <c r="AB1054" s="1887"/>
      <c r="AC1054" s="1887"/>
      <c r="AD1054" s="1887"/>
      <c r="AE1054" s="1887"/>
      <c r="AF1054" s="1887"/>
      <c r="AG1054" s="1887"/>
      <c r="AH1054" s="1887"/>
      <c r="AI1054" s="1887"/>
      <c r="AJ1054" s="1887"/>
      <c r="AK1054" s="1887"/>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7"/>
      <c r="E1055" s="1887"/>
      <c r="F1055" s="1887"/>
      <c r="G1055" s="1887"/>
      <c r="H1055" s="1887"/>
      <c r="I1055" s="1887"/>
      <c r="J1055" s="1887"/>
      <c r="K1055" s="1887"/>
      <c r="L1055" s="1887"/>
      <c r="M1055" s="1887"/>
      <c r="N1055" s="1887"/>
      <c r="O1055" s="1887"/>
      <c r="P1055" s="1887"/>
      <c r="Q1055" s="1887"/>
      <c r="R1055" s="1887"/>
      <c r="S1055" s="1887"/>
      <c r="T1055" s="1887"/>
      <c r="U1055" s="1887"/>
      <c r="V1055" s="1887"/>
      <c r="W1055" s="1887"/>
      <c r="X1055" s="1887"/>
      <c r="Y1055" s="1887"/>
      <c r="Z1055" s="1887"/>
      <c r="AA1055" s="1887"/>
      <c r="AB1055" s="1887"/>
      <c r="AC1055" s="1887"/>
      <c r="AD1055" s="1887"/>
      <c r="AE1055" s="1887"/>
      <c r="AF1055" s="1887"/>
      <c r="AG1055" s="1887"/>
      <c r="AH1055" s="1887"/>
      <c r="AI1055" s="1887"/>
      <c r="AJ1055" s="1887"/>
      <c r="AK1055" s="1887"/>
    </row>
    <row r="1056" spans="1:51" ht="12.6" customHeight="1">
      <c r="A1056" s="2267" t="s">
        <v>628</v>
      </c>
      <c r="B1056" s="2267"/>
      <c r="C1056" s="13">
        <v>3</v>
      </c>
      <c r="D1056" s="1887" t="s">
        <v>1539</v>
      </c>
      <c r="E1056" s="1887"/>
      <c r="F1056" s="1887"/>
      <c r="G1056" s="1887"/>
      <c r="H1056" s="1887"/>
      <c r="I1056" s="1887"/>
      <c r="J1056" s="1887"/>
      <c r="K1056" s="1887"/>
      <c r="L1056" s="1887"/>
      <c r="M1056" s="1887"/>
      <c r="N1056" s="1887"/>
      <c r="O1056" s="1887"/>
      <c r="P1056" s="1887"/>
      <c r="Q1056" s="1887"/>
      <c r="R1056" s="1887"/>
      <c r="S1056" s="1887"/>
      <c r="T1056" s="1887"/>
      <c r="U1056" s="1887"/>
      <c r="V1056" s="1887"/>
      <c r="W1056" s="1887"/>
      <c r="X1056" s="1887"/>
      <c r="Y1056" s="1887"/>
      <c r="Z1056" s="1887"/>
      <c r="AA1056" s="1887"/>
      <c r="AB1056" s="1887"/>
      <c r="AC1056" s="1887"/>
      <c r="AD1056" s="1887"/>
      <c r="AE1056" s="1887"/>
      <c r="AF1056" s="1887"/>
      <c r="AG1056" s="1887"/>
      <c r="AH1056" s="1887"/>
      <c r="AI1056" s="1887"/>
      <c r="AJ1056" s="1887"/>
      <c r="AK1056" s="1887"/>
    </row>
    <row r="1057" spans="1:96" ht="12.6" customHeight="1">
      <c r="A1057" s="130"/>
      <c r="B1057" s="130"/>
      <c r="C1057" s="13"/>
      <c r="D1057" s="1887"/>
      <c r="E1057" s="1887"/>
      <c r="F1057" s="1887"/>
      <c r="G1057" s="1887"/>
      <c r="H1057" s="1887"/>
      <c r="I1057" s="1887"/>
      <c r="J1057" s="1887"/>
      <c r="K1057" s="1887"/>
      <c r="L1057" s="1887"/>
      <c r="M1057" s="1887"/>
      <c r="N1057" s="1887"/>
      <c r="O1057" s="1887"/>
      <c r="P1057" s="1887"/>
      <c r="Q1057" s="1887"/>
      <c r="R1057" s="1887"/>
      <c r="S1057" s="1887"/>
      <c r="T1057" s="1887"/>
      <c r="U1057" s="1887"/>
      <c r="V1057" s="1887"/>
      <c r="W1057" s="1887"/>
      <c r="X1057" s="1887"/>
      <c r="Y1057" s="1887"/>
      <c r="Z1057" s="1887"/>
      <c r="AA1057" s="1887"/>
      <c r="AB1057" s="1887"/>
      <c r="AC1057" s="1887"/>
      <c r="AD1057" s="1887"/>
      <c r="AE1057" s="1887"/>
      <c r="AF1057" s="1887"/>
      <c r="AG1057" s="1887"/>
      <c r="AH1057" s="1887"/>
      <c r="AI1057" s="1887"/>
      <c r="AJ1057" s="1887"/>
      <c r="AK1057" s="1887"/>
      <c r="AL1057" s="720"/>
    </row>
    <row r="1058" spans="1:96" ht="12.6" customHeight="1">
      <c r="A1058" s="130"/>
      <c r="B1058" s="130"/>
      <c r="C1058" s="13"/>
      <c r="D1058" s="1887"/>
      <c r="E1058" s="1887"/>
      <c r="F1058" s="1887"/>
      <c r="G1058" s="1887"/>
      <c r="H1058" s="1887"/>
      <c r="I1058" s="1887"/>
      <c r="J1058" s="1887"/>
      <c r="K1058" s="1887"/>
      <c r="L1058" s="1887"/>
      <c r="M1058" s="1887"/>
      <c r="N1058" s="1887"/>
      <c r="O1058" s="1887"/>
      <c r="P1058" s="1887"/>
      <c r="Q1058" s="1887"/>
      <c r="R1058" s="1887"/>
      <c r="S1058" s="1887"/>
      <c r="T1058" s="1887"/>
      <c r="U1058" s="1887"/>
      <c r="V1058" s="1887"/>
      <c r="W1058" s="1887"/>
      <c r="X1058" s="1887"/>
      <c r="Y1058" s="1887"/>
      <c r="Z1058" s="1887"/>
      <c r="AA1058" s="1887"/>
      <c r="AB1058" s="1887"/>
      <c r="AC1058" s="1887"/>
      <c r="AD1058" s="1887"/>
      <c r="AE1058" s="1887"/>
      <c r="AF1058" s="1887"/>
      <c r="AG1058" s="1887"/>
      <c r="AH1058" s="1887"/>
      <c r="AI1058" s="1887"/>
      <c r="AJ1058" s="1887"/>
      <c r="AK1058" s="1887"/>
    </row>
    <row r="1059" spans="1:96" s="720" customFormat="1" ht="12.6" customHeight="1">
      <c r="A1059" s="62"/>
      <c r="B1059" s="66"/>
      <c r="C1059" s="13"/>
      <c r="D1059" s="1887"/>
      <c r="E1059" s="1887"/>
      <c r="F1059" s="1887"/>
      <c r="G1059" s="1887"/>
      <c r="H1059" s="1887"/>
      <c r="I1059" s="1887"/>
      <c r="J1059" s="1887"/>
      <c r="K1059" s="1887"/>
      <c r="L1059" s="1887"/>
      <c r="M1059" s="1887"/>
      <c r="N1059" s="1887"/>
      <c r="O1059" s="1887"/>
      <c r="P1059" s="1887"/>
      <c r="Q1059" s="1887"/>
      <c r="R1059" s="1887"/>
      <c r="S1059" s="1887"/>
      <c r="T1059" s="1887"/>
      <c r="U1059" s="1887"/>
      <c r="V1059" s="1887"/>
      <c r="W1059" s="1887"/>
      <c r="X1059" s="1887"/>
      <c r="Y1059" s="1887"/>
      <c r="Z1059" s="1887"/>
      <c r="AA1059" s="1887"/>
      <c r="AB1059" s="1887"/>
      <c r="AC1059" s="1887"/>
      <c r="AD1059" s="1887"/>
      <c r="AE1059" s="1887"/>
      <c r="AF1059" s="1887"/>
      <c r="AG1059" s="1887"/>
      <c r="AH1059" s="1887"/>
      <c r="AI1059" s="1887"/>
      <c r="AJ1059" s="1887"/>
      <c r="AK1059" s="188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7"/>
      <c r="E1060" s="1887"/>
      <c r="F1060" s="1887"/>
      <c r="G1060" s="1887"/>
      <c r="H1060" s="1887"/>
      <c r="I1060" s="1887"/>
      <c r="J1060" s="1887"/>
      <c r="K1060" s="1887"/>
      <c r="L1060" s="1887"/>
      <c r="M1060" s="1887"/>
      <c r="N1060" s="1887"/>
      <c r="O1060" s="1887"/>
      <c r="P1060" s="1887"/>
      <c r="Q1060" s="1887"/>
      <c r="R1060" s="1887"/>
      <c r="S1060" s="1887"/>
      <c r="T1060" s="1887"/>
      <c r="U1060" s="1887"/>
      <c r="V1060" s="1887"/>
      <c r="W1060" s="1887"/>
      <c r="X1060" s="1887"/>
      <c r="Y1060" s="1887"/>
      <c r="Z1060" s="1887"/>
      <c r="AA1060" s="1887"/>
      <c r="AB1060" s="1887"/>
      <c r="AC1060" s="1887"/>
      <c r="AD1060" s="1887"/>
      <c r="AE1060" s="1887"/>
      <c r="AF1060" s="1887"/>
      <c r="AG1060" s="1887"/>
      <c r="AH1060" s="1887"/>
      <c r="AI1060" s="1887"/>
      <c r="AJ1060" s="1887"/>
      <c r="AK1060" s="1887"/>
    </row>
    <row r="1061" spans="1:96" ht="12.6" customHeight="1">
      <c r="A1061" s="62"/>
      <c r="B1061" s="66"/>
      <c r="C1061" s="13"/>
      <c r="D1061" s="1887"/>
      <c r="E1061" s="1887"/>
      <c r="F1061" s="1887"/>
      <c r="G1061" s="1887"/>
      <c r="H1061" s="1887"/>
      <c r="I1061" s="1887"/>
      <c r="J1061" s="1887"/>
      <c r="K1061" s="1887"/>
      <c r="L1061" s="1887"/>
      <c r="M1061" s="1887"/>
      <c r="N1061" s="1887"/>
      <c r="O1061" s="1887"/>
      <c r="P1061" s="1887"/>
      <c r="Q1061" s="1887"/>
      <c r="R1061" s="1887"/>
      <c r="S1061" s="1887"/>
      <c r="T1061" s="1887"/>
      <c r="U1061" s="1887"/>
      <c r="V1061" s="1887"/>
      <c r="W1061" s="1887"/>
      <c r="X1061" s="1887"/>
      <c r="Y1061" s="1887"/>
      <c r="Z1061" s="1887"/>
      <c r="AA1061" s="1887"/>
      <c r="AB1061" s="1887"/>
      <c r="AC1061" s="1887"/>
      <c r="AD1061" s="1887"/>
      <c r="AE1061" s="1887"/>
      <c r="AF1061" s="1887"/>
      <c r="AG1061" s="1887"/>
      <c r="AH1061" s="1887"/>
      <c r="AI1061" s="1887"/>
      <c r="AJ1061" s="1887"/>
      <c r="AK1061" s="1887"/>
    </row>
    <row r="1062" spans="1:96" ht="12.6" customHeight="1">
      <c r="A1062" s="62"/>
      <c r="B1062" s="66"/>
      <c r="C1062" s="13"/>
      <c r="D1062" s="1887"/>
      <c r="E1062" s="1887"/>
      <c r="F1062" s="1887"/>
      <c r="G1062" s="1887"/>
      <c r="H1062" s="1887"/>
      <c r="I1062" s="1887"/>
      <c r="J1062" s="1887"/>
      <c r="K1062" s="1887"/>
      <c r="L1062" s="1887"/>
      <c r="M1062" s="1887"/>
      <c r="N1062" s="1887"/>
      <c r="O1062" s="1887"/>
      <c r="P1062" s="1887"/>
      <c r="Q1062" s="1887"/>
      <c r="R1062" s="1887"/>
      <c r="S1062" s="1887"/>
      <c r="T1062" s="1887"/>
      <c r="U1062" s="1887"/>
      <c r="V1062" s="1887"/>
      <c r="W1062" s="1887"/>
      <c r="X1062" s="1887"/>
      <c r="Y1062" s="1887"/>
      <c r="Z1062" s="1887"/>
      <c r="AA1062" s="1887"/>
      <c r="AB1062" s="1887"/>
      <c r="AC1062" s="1887"/>
      <c r="AD1062" s="1887"/>
      <c r="AE1062" s="1887"/>
      <c r="AF1062" s="1887"/>
      <c r="AG1062" s="1887"/>
      <c r="AH1062" s="1887"/>
      <c r="AI1062" s="1887"/>
      <c r="AJ1062" s="1887"/>
      <c r="AK1062" s="1887"/>
    </row>
    <row r="1063" spans="1:96" ht="12.6" customHeight="1">
      <c r="A1063" s="2267" t="s">
        <v>628</v>
      </c>
      <c r="B1063" s="2267"/>
      <c r="C1063" s="13">
        <v>4</v>
      </c>
      <c r="D1063" s="1887" t="s">
        <v>1212</v>
      </c>
      <c r="E1063" s="1887"/>
      <c r="F1063" s="1887"/>
      <c r="G1063" s="1887"/>
      <c r="H1063" s="1887"/>
      <c r="I1063" s="1887"/>
      <c r="J1063" s="1887"/>
      <c r="K1063" s="1887"/>
      <c r="L1063" s="1887"/>
      <c r="M1063" s="1887"/>
      <c r="N1063" s="1887"/>
      <c r="O1063" s="1887"/>
      <c r="P1063" s="1887"/>
      <c r="Q1063" s="1887"/>
      <c r="R1063" s="1887"/>
      <c r="S1063" s="1887"/>
      <c r="T1063" s="1887"/>
      <c r="U1063" s="1887"/>
      <c r="V1063" s="1887"/>
      <c r="W1063" s="1887"/>
      <c r="X1063" s="1887"/>
      <c r="Y1063" s="1887"/>
      <c r="Z1063" s="1887"/>
      <c r="AA1063" s="1887"/>
      <c r="AB1063" s="1887"/>
      <c r="AC1063" s="1887"/>
      <c r="AD1063" s="1887"/>
      <c r="AE1063" s="1887"/>
      <c r="AF1063" s="1887"/>
      <c r="AG1063" s="1887"/>
      <c r="AH1063" s="1887"/>
      <c r="AI1063" s="1887"/>
      <c r="AJ1063" s="1887"/>
      <c r="AK1063" s="1887"/>
    </row>
    <row r="1064" spans="1:96" ht="12.6" customHeight="1">
      <c r="A1064" s="235"/>
      <c r="B1064" s="235"/>
      <c r="C1064" s="13"/>
      <c r="D1064" s="1887"/>
      <c r="E1064" s="1887"/>
      <c r="F1064" s="1887"/>
      <c r="G1064" s="1887"/>
      <c r="H1064" s="1887"/>
      <c r="I1064" s="1887"/>
      <c r="J1064" s="1887"/>
      <c r="K1064" s="1887"/>
      <c r="L1064" s="1887"/>
      <c r="M1064" s="1887"/>
      <c r="N1064" s="1887"/>
      <c r="O1064" s="1887"/>
      <c r="P1064" s="1887"/>
      <c r="Q1064" s="1887"/>
      <c r="R1064" s="1887"/>
      <c r="S1064" s="1887"/>
      <c r="T1064" s="1887"/>
      <c r="U1064" s="1887"/>
      <c r="V1064" s="1887"/>
      <c r="W1064" s="1887"/>
      <c r="X1064" s="1887"/>
      <c r="Y1064" s="1887"/>
      <c r="Z1064" s="1887"/>
      <c r="AA1064" s="1887"/>
      <c r="AB1064" s="1887"/>
      <c r="AC1064" s="1887"/>
      <c r="AD1064" s="1887"/>
      <c r="AE1064" s="1887"/>
      <c r="AF1064" s="1887"/>
      <c r="AG1064" s="1887"/>
      <c r="AH1064" s="1887"/>
      <c r="AI1064" s="1887"/>
      <c r="AJ1064" s="1887"/>
      <c r="AK1064" s="1887"/>
    </row>
    <row r="1065" spans="1:96" ht="12.6" customHeight="1">
      <c r="A1065" s="62"/>
      <c r="B1065" s="66"/>
      <c r="C1065" s="13"/>
      <c r="D1065" s="1887"/>
      <c r="E1065" s="1887"/>
      <c r="F1065" s="1887"/>
      <c r="G1065" s="1887"/>
      <c r="H1065" s="1887"/>
      <c r="I1065" s="1887"/>
      <c r="J1065" s="1887"/>
      <c r="K1065" s="1887"/>
      <c r="L1065" s="1887"/>
      <c r="M1065" s="1887"/>
      <c r="N1065" s="1887"/>
      <c r="O1065" s="1887"/>
      <c r="P1065" s="1887"/>
      <c r="Q1065" s="1887"/>
      <c r="R1065" s="1887"/>
      <c r="S1065" s="1887"/>
      <c r="T1065" s="1887"/>
      <c r="U1065" s="1887"/>
      <c r="V1065" s="1887"/>
      <c r="W1065" s="1887"/>
      <c r="X1065" s="1887"/>
      <c r="Y1065" s="1887"/>
      <c r="Z1065" s="1887"/>
      <c r="AA1065" s="1887"/>
      <c r="AB1065" s="1887"/>
      <c r="AC1065" s="1887"/>
      <c r="AD1065" s="1887"/>
      <c r="AE1065" s="1887"/>
      <c r="AF1065" s="1887"/>
      <c r="AG1065" s="1887"/>
      <c r="AH1065" s="1887"/>
      <c r="AI1065" s="1887"/>
      <c r="AJ1065" s="1887"/>
      <c r="AK1065" s="1887"/>
    </row>
    <row r="1066" spans="1:96" s="683" customFormat="1" ht="12.6" customHeight="1">
      <c r="A1066" s="2267" t="s">
        <v>628</v>
      </c>
      <c r="B1066" s="2267"/>
      <c r="C1066" s="13">
        <v>5</v>
      </c>
      <c r="D1066" s="1887" t="s">
        <v>1425</v>
      </c>
      <c r="E1066" s="1887"/>
      <c r="F1066" s="1887"/>
      <c r="G1066" s="1887"/>
      <c r="H1066" s="1887"/>
      <c r="I1066" s="1887"/>
      <c r="J1066" s="1887"/>
      <c r="K1066" s="1887"/>
      <c r="L1066" s="1887"/>
      <c r="M1066" s="1887"/>
      <c r="N1066" s="1887"/>
      <c r="O1066" s="1887"/>
      <c r="P1066" s="1887"/>
      <c r="Q1066" s="1887"/>
      <c r="R1066" s="1887"/>
      <c r="S1066" s="1887"/>
      <c r="T1066" s="1887"/>
      <c r="U1066" s="1887"/>
      <c r="V1066" s="1887"/>
      <c r="W1066" s="1887"/>
      <c r="X1066" s="1887"/>
      <c r="Y1066" s="1887"/>
      <c r="Z1066" s="1887"/>
      <c r="AA1066" s="1887"/>
      <c r="AB1066" s="1887"/>
      <c r="AC1066" s="1887"/>
      <c r="AD1066" s="1887"/>
      <c r="AE1066" s="1887"/>
      <c r="AF1066" s="1887"/>
      <c r="AG1066" s="1887"/>
      <c r="AH1066" s="1887"/>
      <c r="AI1066" s="1887"/>
      <c r="AJ1066" s="1887"/>
      <c r="AK1066" s="188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7"/>
      <c r="E1067" s="1887"/>
      <c r="F1067" s="1887"/>
      <c r="G1067" s="1887"/>
      <c r="H1067" s="1887"/>
      <c r="I1067" s="1887"/>
      <c r="J1067" s="1887"/>
      <c r="K1067" s="1887"/>
      <c r="L1067" s="1887"/>
      <c r="M1067" s="1887"/>
      <c r="N1067" s="1887"/>
      <c r="O1067" s="1887"/>
      <c r="P1067" s="1887"/>
      <c r="Q1067" s="1887"/>
      <c r="R1067" s="1887"/>
      <c r="S1067" s="1887"/>
      <c r="T1067" s="1887"/>
      <c r="U1067" s="1887"/>
      <c r="V1067" s="1887"/>
      <c r="W1067" s="1887"/>
      <c r="X1067" s="1887"/>
      <c r="Y1067" s="1887"/>
      <c r="Z1067" s="1887"/>
      <c r="AA1067" s="1887"/>
      <c r="AB1067" s="1887"/>
      <c r="AC1067" s="1887"/>
      <c r="AD1067" s="1887"/>
      <c r="AE1067" s="1887"/>
      <c r="AF1067" s="1887"/>
      <c r="AG1067" s="1887"/>
      <c r="AH1067" s="1887"/>
      <c r="AI1067" s="1887"/>
      <c r="AJ1067" s="1887"/>
      <c r="AK1067" s="1887"/>
    </row>
    <row r="1068" spans="1:96" ht="12.6" customHeight="1">
      <c r="A1068" s="235"/>
      <c r="B1068" s="235"/>
      <c r="C1068" s="13"/>
      <c r="D1068" s="1887"/>
      <c r="E1068" s="1887"/>
      <c r="F1068" s="1887"/>
      <c r="G1068" s="1887"/>
      <c r="H1068" s="1887"/>
      <c r="I1068" s="1887"/>
      <c r="J1068" s="1887"/>
      <c r="K1068" s="1887"/>
      <c r="L1068" s="1887"/>
      <c r="M1068" s="1887"/>
      <c r="N1068" s="1887"/>
      <c r="O1068" s="1887"/>
      <c r="P1068" s="1887"/>
      <c r="Q1068" s="1887"/>
      <c r="R1068" s="1887"/>
      <c r="S1068" s="1887"/>
      <c r="T1068" s="1887"/>
      <c r="U1068" s="1887"/>
      <c r="V1068" s="1887"/>
      <c r="W1068" s="1887"/>
      <c r="X1068" s="1887"/>
      <c r="Y1068" s="1887"/>
      <c r="Z1068" s="1887"/>
      <c r="AA1068" s="1887"/>
      <c r="AB1068" s="1887"/>
      <c r="AC1068" s="1887"/>
      <c r="AD1068" s="1887"/>
      <c r="AE1068" s="1887"/>
      <c r="AF1068" s="1887"/>
      <c r="AG1068" s="1887"/>
      <c r="AH1068" s="1887"/>
      <c r="AI1068" s="1887"/>
      <c r="AJ1068" s="1887"/>
      <c r="AK1068" s="1887"/>
    </row>
    <row r="1069" spans="1:96" ht="12.6" customHeight="1">
      <c r="A1069" s="235"/>
      <c r="B1069" s="235"/>
      <c r="C1069" s="13"/>
      <c r="D1069" s="1887"/>
      <c r="E1069" s="1887"/>
      <c r="F1069" s="1887"/>
      <c r="G1069" s="1887"/>
      <c r="H1069" s="1887"/>
      <c r="I1069" s="1887"/>
      <c r="J1069" s="1887"/>
      <c r="K1069" s="1887"/>
      <c r="L1069" s="1887"/>
      <c r="M1069" s="1887"/>
      <c r="N1069" s="1887"/>
      <c r="O1069" s="1887"/>
      <c r="P1069" s="1887"/>
      <c r="Q1069" s="1887"/>
      <c r="R1069" s="1887"/>
      <c r="S1069" s="1887"/>
      <c r="T1069" s="1887"/>
      <c r="U1069" s="1887"/>
      <c r="V1069" s="1887"/>
      <c r="W1069" s="1887"/>
      <c r="X1069" s="1887"/>
      <c r="Y1069" s="1887"/>
      <c r="Z1069" s="1887"/>
      <c r="AA1069" s="1887"/>
      <c r="AB1069" s="1887"/>
      <c r="AC1069" s="1887"/>
      <c r="AD1069" s="1887"/>
      <c r="AE1069" s="1887"/>
      <c r="AF1069" s="1887"/>
      <c r="AG1069" s="1887"/>
      <c r="AH1069" s="1887"/>
      <c r="AI1069" s="1887"/>
      <c r="AJ1069" s="1887"/>
      <c r="AK1069" s="1887"/>
      <c r="AL1069" s="683"/>
    </row>
    <row r="1070" spans="1:96" ht="12.6" customHeight="1">
      <c r="A1070" s="62"/>
      <c r="B1070" s="66"/>
      <c r="C1070" s="13"/>
      <c r="D1070" s="1887"/>
      <c r="E1070" s="1887"/>
      <c r="F1070" s="1887"/>
      <c r="G1070" s="1887"/>
      <c r="H1070" s="1887"/>
      <c r="I1070" s="1887"/>
      <c r="J1070" s="1887"/>
      <c r="K1070" s="1887"/>
      <c r="L1070" s="1887"/>
      <c r="M1070" s="1887"/>
      <c r="N1070" s="1887"/>
      <c r="O1070" s="1887"/>
      <c r="P1070" s="1887"/>
      <c r="Q1070" s="1887"/>
      <c r="R1070" s="1887"/>
      <c r="S1070" s="1887"/>
      <c r="T1070" s="1887"/>
      <c r="U1070" s="1887"/>
      <c r="V1070" s="1887"/>
      <c r="W1070" s="1887"/>
      <c r="X1070" s="1887"/>
      <c r="Y1070" s="1887"/>
      <c r="Z1070" s="1887"/>
      <c r="AA1070" s="1887"/>
      <c r="AB1070" s="1887"/>
      <c r="AC1070" s="1887"/>
      <c r="AD1070" s="1887"/>
      <c r="AE1070" s="1887"/>
      <c r="AF1070" s="1887"/>
      <c r="AG1070" s="1887"/>
      <c r="AH1070" s="1887"/>
      <c r="AI1070" s="1887"/>
      <c r="AJ1070" s="1887"/>
      <c r="AK1070" s="1887"/>
    </row>
    <row r="1071" spans="1:96" ht="12.6" customHeight="1">
      <c r="A1071" s="2267" t="s">
        <v>628</v>
      </c>
      <c r="B1071" s="2267"/>
      <c r="C1071" s="13">
        <v>6</v>
      </c>
      <c r="D1071" s="1887" t="s">
        <v>1213</v>
      </c>
      <c r="E1071" s="1887"/>
      <c r="F1071" s="1887"/>
      <c r="G1071" s="1887"/>
      <c r="H1071" s="1887"/>
      <c r="I1071" s="1887"/>
      <c r="J1071" s="1887"/>
      <c r="K1071" s="1887"/>
      <c r="L1071" s="1887"/>
      <c r="M1071" s="1887"/>
      <c r="N1071" s="1887"/>
      <c r="O1071" s="1887"/>
      <c r="P1071" s="1887"/>
      <c r="Q1071" s="1887"/>
      <c r="R1071" s="1887"/>
      <c r="S1071" s="1887"/>
      <c r="T1071" s="1887"/>
      <c r="U1071" s="1887"/>
      <c r="V1071" s="1887"/>
      <c r="W1071" s="1887"/>
      <c r="X1071" s="1887"/>
      <c r="Y1071" s="1887"/>
      <c r="Z1071" s="1887"/>
      <c r="AA1071" s="1887"/>
      <c r="AB1071" s="1887"/>
      <c r="AC1071" s="1887"/>
      <c r="AD1071" s="1887"/>
      <c r="AE1071" s="1887"/>
      <c r="AF1071" s="1887"/>
      <c r="AG1071" s="1887"/>
      <c r="AH1071" s="1887"/>
      <c r="AI1071" s="1887"/>
      <c r="AJ1071" s="1887"/>
      <c r="AK1071" s="1887"/>
    </row>
    <row r="1072" spans="1:96" ht="12.6" customHeight="1">
      <c r="A1072" s="62"/>
      <c r="B1072" s="318"/>
      <c r="C1072" s="13"/>
      <c r="D1072" s="1887"/>
      <c r="E1072" s="1887"/>
      <c r="F1072" s="1887"/>
      <c r="G1072" s="1887"/>
      <c r="H1072" s="1887"/>
      <c r="I1072" s="1887"/>
      <c r="J1072" s="1887"/>
      <c r="K1072" s="1887"/>
      <c r="L1072" s="1887"/>
      <c r="M1072" s="1887"/>
      <c r="N1072" s="1887"/>
      <c r="O1072" s="1887"/>
      <c r="P1072" s="1887"/>
      <c r="Q1072" s="1887"/>
      <c r="R1072" s="1887"/>
      <c r="S1072" s="1887"/>
      <c r="T1072" s="1887"/>
      <c r="U1072" s="1887"/>
      <c r="V1072" s="1887"/>
      <c r="W1072" s="1887"/>
      <c r="X1072" s="1887"/>
      <c r="Y1072" s="1887"/>
      <c r="Z1072" s="1887"/>
      <c r="AA1072" s="1887"/>
      <c r="AB1072" s="1887"/>
      <c r="AC1072" s="1887"/>
      <c r="AD1072" s="1887"/>
      <c r="AE1072" s="1887"/>
      <c r="AF1072" s="1887"/>
      <c r="AG1072" s="1887"/>
      <c r="AH1072" s="1887"/>
      <c r="AI1072" s="1887"/>
      <c r="AJ1072" s="1887"/>
      <c r="AK1072" s="1887"/>
    </row>
    <row r="1073" spans="1:96" ht="12.6" customHeight="1">
      <c r="A1073" s="62"/>
      <c r="B1073" s="66"/>
      <c r="C1073" s="13"/>
      <c r="D1073" s="1887"/>
      <c r="E1073" s="1887"/>
      <c r="F1073" s="1887"/>
      <c r="G1073" s="1887"/>
      <c r="H1073" s="1887"/>
      <c r="I1073" s="1887"/>
      <c r="J1073" s="1887"/>
      <c r="K1073" s="1887"/>
      <c r="L1073" s="1887"/>
      <c r="M1073" s="1887"/>
      <c r="N1073" s="1887"/>
      <c r="O1073" s="1887"/>
      <c r="P1073" s="1887"/>
      <c r="Q1073" s="1887"/>
      <c r="R1073" s="1887"/>
      <c r="S1073" s="1887"/>
      <c r="T1073" s="1887"/>
      <c r="U1073" s="1887"/>
      <c r="V1073" s="1887"/>
      <c r="W1073" s="1887"/>
      <c r="X1073" s="1887"/>
      <c r="Y1073" s="1887"/>
      <c r="Z1073" s="1887"/>
      <c r="AA1073" s="1887"/>
      <c r="AB1073" s="1887"/>
      <c r="AC1073" s="1887"/>
      <c r="AD1073" s="1887"/>
      <c r="AE1073" s="1887"/>
      <c r="AF1073" s="1887"/>
      <c r="AG1073" s="1887"/>
      <c r="AH1073" s="1887"/>
      <c r="AI1073" s="1887"/>
      <c r="AJ1073" s="1887"/>
      <c r="AK1073" s="1887"/>
    </row>
    <row r="1074" spans="1:96" ht="12.6" customHeight="1">
      <c r="A1074" s="2267" t="s">
        <v>628</v>
      </c>
      <c r="B1074" s="2267"/>
      <c r="C1074" s="319">
        <v>7</v>
      </c>
      <c r="D1074" s="1887" t="s">
        <v>1215</v>
      </c>
      <c r="E1074" s="1887"/>
      <c r="F1074" s="1887"/>
      <c r="G1074" s="1887"/>
      <c r="H1074" s="1887"/>
      <c r="I1074" s="1887"/>
      <c r="J1074" s="1887"/>
      <c r="K1074" s="1887"/>
      <c r="L1074" s="1887"/>
      <c r="M1074" s="1887"/>
      <c r="N1074" s="1887"/>
      <c r="O1074" s="1887"/>
      <c r="P1074" s="1887"/>
      <c r="Q1074" s="1887"/>
      <c r="R1074" s="1887"/>
      <c r="S1074" s="1887"/>
      <c r="T1074" s="1887"/>
      <c r="U1074" s="1887"/>
      <c r="V1074" s="1887"/>
      <c r="W1074" s="1887"/>
      <c r="X1074" s="1887"/>
      <c r="Y1074" s="1887"/>
      <c r="Z1074" s="1887"/>
      <c r="AA1074" s="1887"/>
      <c r="AB1074" s="1887"/>
      <c r="AC1074" s="1887"/>
      <c r="AD1074" s="1887"/>
      <c r="AE1074" s="1887"/>
      <c r="AF1074" s="1887"/>
      <c r="AG1074" s="1887"/>
      <c r="AH1074" s="1887"/>
      <c r="AI1074" s="1887"/>
      <c r="AJ1074" s="1887"/>
      <c r="AK1074" s="1887"/>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7"/>
      <c r="E1075" s="1887"/>
      <c r="F1075" s="1887"/>
      <c r="G1075" s="1887"/>
      <c r="H1075" s="1887"/>
      <c r="I1075" s="1887"/>
      <c r="J1075" s="1887"/>
      <c r="K1075" s="1887"/>
      <c r="L1075" s="1887"/>
      <c r="M1075" s="1887"/>
      <c r="N1075" s="1887"/>
      <c r="O1075" s="1887"/>
      <c r="P1075" s="1887"/>
      <c r="Q1075" s="1887"/>
      <c r="R1075" s="1887"/>
      <c r="S1075" s="1887"/>
      <c r="T1075" s="1887"/>
      <c r="U1075" s="1887"/>
      <c r="V1075" s="1887"/>
      <c r="W1075" s="1887"/>
      <c r="X1075" s="1887"/>
      <c r="Y1075" s="1887"/>
      <c r="Z1075" s="1887"/>
      <c r="AA1075" s="1887"/>
      <c r="AB1075" s="1887"/>
      <c r="AC1075" s="1887"/>
      <c r="AD1075" s="1887"/>
      <c r="AE1075" s="1887"/>
      <c r="AF1075" s="1887"/>
      <c r="AG1075" s="1887"/>
      <c r="AH1075" s="1887"/>
      <c r="AI1075" s="1887"/>
      <c r="AJ1075" s="1887"/>
      <c r="AK1075" s="1887"/>
    </row>
    <row r="1076" spans="1:96" ht="12.6" customHeight="1">
      <c r="A1076" s="235"/>
      <c r="B1076" s="235"/>
      <c r="C1076" s="320"/>
      <c r="D1076" s="1887"/>
      <c r="E1076" s="1887"/>
      <c r="F1076" s="1887"/>
      <c r="G1076" s="1887"/>
      <c r="H1076" s="1887"/>
      <c r="I1076" s="1887"/>
      <c r="J1076" s="1887"/>
      <c r="K1076" s="1887"/>
      <c r="L1076" s="1887"/>
      <c r="M1076" s="1887"/>
      <c r="N1076" s="1887"/>
      <c r="O1076" s="1887"/>
      <c r="P1076" s="1887"/>
      <c r="Q1076" s="1887"/>
      <c r="R1076" s="1887"/>
      <c r="S1076" s="1887"/>
      <c r="T1076" s="1887"/>
      <c r="U1076" s="1887"/>
      <c r="V1076" s="1887"/>
      <c r="W1076" s="1887"/>
      <c r="X1076" s="1887"/>
      <c r="Y1076" s="1887"/>
      <c r="Z1076" s="1887"/>
      <c r="AA1076" s="1887"/>
      <c r="AB1076" s="1887"/>
      <c r="AC1076" s="1887"/>
      <c r="AD1076" s="1887"/>
      <c r="AE1076" s="1887"/>
      <c r="AF1076" s="1887"/>
      <c r="AG1076" s="1887"/>
      <c r="AH1076" s="1887"/>
      <c r="AI1076" s="1887"/>
      <c r="AJ1076" s="1887"/>
      <c r="AK1076" s="1887"/>
    </row>
    <row r="1077" spans="1:96" s="683" customFormat="1" ht="12.6" customHeight="1">
      <c r="A1077" s="62"/>
      <c r="B1077" s="66"/>
      <c r="C1077" s="319"/>
      <c r="D1077" s="1887"/>
      <c r="E1077" s="1887"/>
      <c r="F1077" s="1887"/>
      <c r="G1077" s="1887"/>
      <c r="H1077" s="1887"/>
      <c r="I1077" s="1887"/>
      <c r="J1077" s="1887"/>
      <c r="K1077" s="1887"/>
      <c r="L1077" s="1887"/>
      <c r="M1077" s="1887"/>
      <c r="N1077" s="1887"/>
      <c r="O1077" s="1887"/>
      <c r="P1077" s="1887"/>
      <c r="Q1077" s="1887"/>
      <c r="R1077" s="1887"/>
      <c r="S1077" s="1887"/>
      <c r="T1077" s="1887"/>
      <c r="U1077" s="1887"/>
      <c r="V1077" s="1887"/>
      <c r="W1077" s="1887"/>
      <c r="X1077" s="1887"/>
      <c r="Y1077" s="1887"/>
      <c r="Z1077" s="1887"/>
      <c r="AA1077" s="1887"/>
      <c r="AB1077" s="1887"/>
      <c r="AC1077" s="1887"/>
      <c r="AD1077" s="1887"/>
      <c r="AE1077" s="1887"/>
      <c r="AF1077" s="1887"/>
      <c r="AG1077" s="1887"/>
      <c r="AH1077" s="1887"/>
      <c r="AI1077" s="1887"/>
      <c r="AJ1077" s="1887"/>
      <c r="AK1077" s="1887"/>
      <c r="AL1077" s="12"/>
      <c r="AM1077" s="39"/>
      <c r="AN1077" s="39"/>
      <c r="AO1077" s="39"/>
      <c r="AP1077" s="39"/>
      <c r="AQ1077" s="39"/>
      <c r="AR1077" s="39"/>
      <c r="AS1077" s="39"/>
      <c r="AT1077" s="39"/>
      <c r="AU1077" s="39"/>
      <c r="AV1077" s="39"/>
      <c r="AW1077" s="39"/>
      <c r="AX1077" s="39"/>
      <c r="AY1077" s="39"/>
      <c r="CR1077" s="25"/>
    </row>
    <row r="1078" spans="1:96" ht="12.6" customHeight="1">
      <c r="A1078" s="2267" t="s">
        <v>628</v>
      </c>
      <c r="B1078" s="2267"/>
      <c r="C1078" s="319">
        <v>8</v>
      </c>
      <c r="D1078" s="2312" t="s">
        <v>2184</v>
      </c>
      <c r="E1078" s="2312"/>
      <c r="F1078" s="2312"/>
      <c r="G1078" s="2312"/>
      <c r="H1078" s="2312"/>
      <c r="I1078" s="2312"/>
      <c r="J1078" s="2312"/>
      <c r="K1078" s="2312"/>
      <c r="L1078" s="2312"/>
      <c r="M1078" s="2312"/>
      <c r="N1078" s="2312"/>
      <c r="O1078" s="2312"/>
      <c r="P1078" s="2312"/>
      <c r="Q1078" s="2312"/>
      <c r="R1078" s="2312"/>
      <c r="S1078" s="2312"/>
      <c r="T1078" s="2312"/>
      <c r="U1078" s="2312"/>
      <c r="V1078" s="2312"/>
      <c r="W1078" s="2312"/>
      <c r="X1078" s="2312"/>
      <c r="Y1078" s="2312"/>
      <c r="Z1078" s="2312"/>
      <c r="AA1078" s="2312"/>
      <c r="AB1078" s="2312"/>
      <c r="AC1078" s="2312"/>
      <c r="AD1078" s="2312"/>
      <c r="AE1078" s="2312"/>
      <c r="AF1078" s="2312"/>
      <c r="AG1078" s="2312"/>
      <c r="AH1078" s="2312"/>
      <c r="AI1078" s="2312"/>
      <c r="AJ1078" s="2312"/>
      <c r="AK1078" s="2312"/>
    </row>
    <row r="1079" spans="1:96" ht="12.6" customHeight="1">
      <c r="A1079" s="235"/>
      <c r="B1079" s="235"/>
      <c r="C1079" s="319"/>
      <c r="D1079" s="2312"/>
      <c r="E1079" s="2312"/>
      <c r="F1079" s="2312"/>
      <c r="G1079" s="2312"/>
      <c r="H1079" s="2312"/>
      <c r="I1079" s="2312"/>
      <c r="J1079" s="2312"/>
      <c r="K1079" s="2312"/>
      <c r="L1079" s="2312"/>
      <c r="M1079" s="2312"/>
      <c r="N1079" s="2312"/>
      <c r="O1079" s="2312"/>
      <c r="P1079" s="2312"/>
      <c r="Q1079" s="2312"/>
      <c r="R1079" s="2312"/>
      <c r="S1079" s="2312"/>
      <c r="T1079" s="2312"/>
      <c r="U1079" s="2312"/>
      <c r="V1079" s="2312"/>
      <c r="W1079" s="2312"/>
      <c r="X1079" s="2312"/>
      <c r="Y1079" s="2312"/>
      <c r="Z1079" s="2312"/>
      <c r="AA1079" s="2312"/>
      <c r="AB1079" s="2312"/>
      <c r="AC1079" s="2312"/>
      <c r="AD1079" s="2312"/>
      <c r="AE1079" s="2312"/>
      <c r="AF1079" s="2312"/>
      <c r="AG1079" s="2312"/>
      <c r="AH1079" s="2312"/>
      <c r="AI1079" s="2312"/>
      <c r="AJ1079" s="2312"/>
      <c r="AK1079" s="2312"/>
    </row>
    <row r="1080" spans="1:96" ht="12.6" customHeight="1">
      <c r="A1080" s="235"/>
      <c r="B1080" s="235"/>
      <c r="C1080" s="319"/>
      <c r="D1080" s="2312"/>
      <c r="E1080" s="2312"/>
      <c r="F1080" s="2312"/>
      <c r="G1080" s="2312"/>
      <c r="H1080" s="2312"/>
      <c r="I1080" s="2312"/>
      <c r="J1080" s="2312"/>
      <c r="K1080" s="2312"/>
      <c r="L1080" s="2312"/>
      <c r="M1080" s="2312"/>
      <c r="N1080" s="2312"/>
      <c r="O1080" s="2312"/>
      <c r="P1080" s="2312"/>
      <c r="Q1080" s="2312"/>
      <c r="R1080" s="2312"/>
      <c r="S1080" s="2312"/>
      <c r="T1080" s="2312"/>
      <c r="U1080" s="2312"/>
      <c r="V1080" s="2312"/>
      <c r="W1080" s="2312"/>
      <c r="X1080" s="2312"/>
      <c r="Y1080" s="2312"/>
      <c r="Z1080" s="2312"/>
      <c r="AA1080" s="2312"/>
      <c r="AB1080" s="2312"/>
      <c r="AC1080" s="2312"/>
      <c r="AD1080" s="2312"/>
      <c r="AE1080" s="2312"/>
      <c r="AF1080" s="2312"/>
      <c r="AG1080" s="2312"/>
      <c r="AH1080" s="2312"/>
      <c r="AI1080" s="2312"/>
      <c r="AJ1080" s="2312"/>
      <c r="AK1080" s="2312"/>
      <c r="AL1080" s="683"/>
    </row>
    <row r="1081" spans="1:96" ht="12" customHeight="1">
      <c r="A1081" s="62"/>
      <c r="B1081" s="66"/>
      <c r="C1081" s="319"/>
      <c r="D1081" s="2312"/>
      <c r="E1081" s="2312"/>
      <c r="F1081" s="2312"/>
      <c r="G1081" s="2312"/>
      <c r="H1081" s="2312"/>
      <c r="I1081" s="2312"/>
      <c r="J1081" s="2312"/>
      <c r="K1081" s="2312"/>
      <c r="L1081" s="2312"/>
      <c r="M1081" s="2312"/>
      <c r="N1081" s="2312"/>
      <c r="O1081" s="2312"/>
      <c r="P1081" s="2312"/>
      <c r="Q1081" s="2312"/>
      <c r="R1081" s="2312"/>
      <c r="S1081" s="2312"/>
      <c r="T1081" s="2312"/>
      <c r="U1081" s="2312"/>
      <c r="V1081" s="2312"/>
      <c r="W1081" s="2312"/>
      <c r="X1081" s="2312"/>
      <c r="Y1081" s="2312"/>
      <c r="Z1081" s="2312"/>
      <c r="AA1081" s="2312"/>
      <c r="AB1081" s="2312"/>
      <c r="AC1081" s="2312"/>
      <c r="AD1081" s="2312"/>
      <c r="AE1081" s="2312"/>
      <c r="AF1081" s="2312"/>
      <c r="AG1081" s="2312"/>
      <c r="AH1081" s="2312"/>
      <c r="AI1081" s="2312"/>
      <c r="AJ1081" s="2312"/>
      <c r="AK1081" s="2312"/>
    </row>
    <row r="1082" spans="1:96" ht="12.6" customHeight="1">
      <c r="A1082" s="2267" t="s">
        <v>628</v>
      </c>
      <c r="B1082" s="2267"/>
      <c r="C1082" s="319">
        <v>9</v>
      </c>
      <c r="D1082" s="1887" t="s">
        <v>1214</v>
      </c>
      <c r="E1082" s="1887"/>
      <c r="F1082" s="1887"/>
      <c r="G1082" s="1887"/>
      <c r="H1082" s="1887"/>
      <c r="I1082" s="1887"/>
      <c r="J1082" s="1887"/>
      <c r="K1082" s="1887"/>
      <c r="L1082" s="1887"/>
      <c r="M1082" s="1887"/>
      <c r="N1082" s="1887"/>
      <c r="O1082" s="1887"/>
      <c r="P1082" s="1887"/>
      <c r="Q1082" s="1887"/>
      <c r="R1082" s="1887"/>
      <c r="S1082" s="1887"/>
      <c r="T1082" s="1887"/>
      <c r="U1082" s="1887"/>
      <c r="V1082" s="1887"/>
      <c r="W1082" s="1887"/>
      <c r="X1082" s="1887"/>
      <c r="Y1082" s="1887"/>
      <c r="Z1082" s="1887"/>
      <c r="AA1082" s="1887"/>
      <c r="AB1082" s="1887"/>
      <c r="AC1082" s="1887"/>
      <c r="AD1082" s="1887"/>
      <c r="AE1082" s="1887"/>
      <c r="AF1082" s="1887"/>
      <c r="AG1082" s="1887"/>
      <c r="AH1082" s="1887"/>
      <c r="AI1082" s="1887"/>
      <c r="AJ1082" s="1887"/>
      <c r="AK1082" s="1887"/>
    </row>
    <row r="1083" spans="1:96" ht="15" customHeight="1">
      <c r="A1083" s="62"/>
      <c r="B1083" s="66"/>
      <c r="C1083" s="319"/>
      <c r="D1083" s="1887"/>
      <c r="E1083" s="1887"/>
      <c r="F1083" s="1887"/>
      <c r="G1083" s="1887"/>
      <c r="H1083" s="1887"/>
      <c r="I1083" s="1887"/>
      <c r="J1083" s="1887"/>
      <c r="K1083" s="1887"/>
      <c r="L1083" s="1887"/>
      <c r="M1083" s="1887"/>
      <c r="N1083" s="1887"/>
      <c r="O1083" s="1887"/>
      <c r="P1083" s="1887"/>
      <c r="Q1083" s="1887"/>
      <c r="R1083" s="1887"/>
      <c r="S1083" s="1887"/>
      <c r="T1083" s="1887"/>
      <c r="U1083" s="1887"/>
      <c r="V1083" s="1887"/>
      <c r="W1083" s="1887"/>
      <c r="X1083" s="1887"/>
      <c r="Y1083" s="1887"/>
      <c r="Z1083" s="1887"/>
      <c r="AA1083" s="1887"/>
      <c r="AB1083" s="1887"/>
      <c r="AC1083" s="1887"/>
      <c r="AD1083" s="1887"/>
      <c r="AE1083" s="1887"/>
      <c r="AF1083" s="1887"/>
      <c r="AG1083" s="1887"/>
      <c r="AH1083" s="1887"/>
      <c r="AI1083" s="1887"/>
      <c r="AJ1083" s="1887"/>
      <c r="AK1083" s="1887"/>
    </row>
    <row r="1084" spans="1:96" ht="15" customHeight="1">
      <c r="D1084" s="1887"/>
      <c r="E1084" s="1887"/>
      <c r="F1084" s="1887"/>
      <c r="G1084" s="1887"/>
      <c r="H1084" s="1887"/>
      <c r="I1084" s="1887"/>
      <c r="J1084" s="1887"/>
      <c r="K1084" s="1887"/>
      <c r="L1084" s="1887"/>
      <c r="M1084" s="1887"/>
      <c r="N1084" s="1887"/>
      <c r="O1084" s="1887"/>
      <c r="P1084" s="1887"/>
      <c r="Q1084" s="1887"/>
      <c r="R1084" s="1887"/>
      <c r="S1084" s="1887"/>
      <c r="T1084" s="1887"/>
      <c r="U1084" s="1887"/>
      <c r="V1084" s="1887"/>
      <c r="W1084" s="1887"/>
      <c r="X1084" s="1887"/>
      <c r="Y1084" s="1887"/>
      <c r="Z1084" s="1887"/>
      <c r="AA1084" s="1887"/>
      <c r="AB1084" s="1887"/>
      <c r="AC1084" s="1887"/>
      <c r="AD1084" s="1887"/>
      <c r="AE1084" s="1887"/>
      <c r="AF1084" s="1887"/>
      <c r="AG1084" s="1887"/>
      <c r="AH1084" s="1887"/>
      <c r="AI1084" s="1887"/>
      <c r="AJ1084" s="1887"/>
      <c r="AK1084" s="1887"/>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BX657:CB657"/>
    <mergeCell ref="CC652:CG652"/>
    <mergeCell ref="CC653:CG653"/>
    <mergeCell ref="BS642:BW642"/>
    <mergeCell ref="BS643:BW643"/>
    <mergeCell ref="BX642:CB642"/>
    <mergeCell ref="BX643:CB643"/>
    <mergeCell ref="CC643:CG643"/>
    <mergeCell ref="CH643:CL643"/>
    <mergeCell ref="CM643:CQ643"/>
    <mergeCell ref="BN642:BR642"/>
    <mergeCell ref="BN643:BR643"/>
    <mergeCell ref="BN644:BR644"/>
    <mergeCell ref="BS644:BW644"/>
    <mergeCell ref="BS653:BW653"/>
    <mergeCell ref="BS655:BW655"/>
    <mergeCell ref="BN652:BR652"/>
    <mergeCell ref="BN651:BR651"/>
    <mergeCell ref="BN649:BR649"/>
    <mergeCell ref="BN650:BR650"/>
    <mergeCell ref="BS652:BW652"/>
    <mergeCell ref="BX655:CB655"/>
    <mergeCell ref="AH513:AK513"/>
    <mergeCell ref="AA592:AK592"/>
    <mergeCell ref="S401:U401"/>
    <mergeCell ref="Q565:S565"/>
    <mergeCell ref="AC535:AF535"/>
    <mergeCell ref="AI573:AL573"/>
    <mergeCell ref="AE574:AH574"/>
    <mergeCell ref="AH553:AK553"/>
    <mergeCell ref="CH655:CL655"/>
    <mergeCell ref="CH656:CL656"/>
    <mergeCell ref="CH657:CL657"/>
    <mergeCell ref="CM655:CQ655"/>
    <mergeCell ref="CM656:CQ656"/>
    <mergeCell ref="CM657:CQ657"/>
    <mergeCell ref="BN655:BR655"/>
    <mergeCell ref="BN656:BR656"/>
    <mergeCell ref="BN657:BR657"/>
    <mergeCell ref="Q497:AK497"/>
    <mergeCell ref="AC525:AF525"/>
    <mergeCell ref="AH525:AK525"/>
    <mergeCell ref="AD488:AH488"/>
    <mergeCell ref="AD486:AH486"/>
    <mergeCell ref="AD494:AH494"/>
    <mergeCell ref="AE424:AF424"/>
    <mergeCell ref="D467:V467"/>
    <mergeCell ref="AH542:AK542"/>
    <mergeCell ref="AH544:AK544"/>
    <mergeCell ref="T489:X489"/>
    <mergeCell ref="AC517:AF517"/>
    <mergeCell ref="Y490:AC490"/>
    <mergeCell ref="C575:P575"/>
    <mergeCell ref="T573:V573"/>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T491:X491"/>
    <mergeCell ref="T397:AJ397"/>
    <mergeCell ref="AG439:AJ439"/>
    <mergeCell ref="AC386:AJ386"/>
    <mergeCell ref="V387:AJ387"/>
    <mergeCell ref="D442:AF442"/>
    <mergeCell ref="R411:S411"/>
    <mergeCell ref="AF429:AG429"/>
    <mergeCell ref="J386:U386"/>
    <mergeCell ref="AC385:AJ385"/>
    <mergeCell ref="D436:AF436"/>
    <mergeCell ref="BE615:BF615"/>
    <mergeCell ref="J387:U387"/>
    <mergeCell ref="AG394:AJ394"/>
    <mergeCell ref="AI391:AJ391"/>
    <mergeCell ref="AG392:AJ392"/>
    <mergeCell ref="AG390:AJ390"/>
    <mergeCell ref="P348:AE348"/>
    <mergeCell ref="AC369:AF369"/>
    <mergeCell ref="E419:AJ419"/>
    <mergeCell ref="P424:Q424"/>
    <mergeCell ref="I417:K417"/>
    <mergeCell ref="Z431:AA431"/>
    <mergeCell ref="AC455:AF455"/>
    <mergeCell ref="D443:AF443"/>
    <mergeCell ref="S412:T412"/>
    <mergeCell ref="D448:AF448"/>
    <mergeCell ref="D444:AF444"/>
    <mergeCell ref="B513:H514"/>
    <mergeCell ref="AD491:AH491"/>
    <mergeCell ref="AD495:AH495"/>
    <mergeCell ref="T483:AH483"/>
    <mergeCell ref="T488:X488"/>
    <mergeCell ref="AD490:AH490"/>
    <mergeCell ref="AH527:AK527"/>
    <mergeCell ref="AC528:AF528"/>
    <mergeCell ref="AC533:AF533"/>
    <mergeCell ref="AD489:AH489"/>
    <mergeCell ref="B532:H554"/>
    <mergeCell ref="Q564:S5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W470:Y470"/>
    <mergeCell ref="W465:Y465"/>
    <mergeCell ref="W471:Y471"/>
    <mergeCell ref="D468:V468"/>
    <mergeCell ref="D466:V466"/>
    <mergeCell ref="Q428:R428"/>
    <mergeCell ref="K402:AJ402"/>
    <mergeCell ref="W466:Y466"/>
    <mergeCell ref="N369:Q369"/>
    <mergeCell ref="V376:W376"/>
    <mergeCell ref="AD1037:AK1037"/>
    <mergeCell ref="AD1035:AK1035"/>
    <mergeCell ref="B1037:Y1037"/>
    <mergeCell ref="D469:V469"/>
    <mergeCell ref="AC889:AH889"/>
    <mergeCell ref="C891:AB891"/>
    <mergeCell ref="C892:AB892"/>
    <mergeCell ref="T774:W774"/>
    <mergeCell ref="T775:W775"/>
    <mergeCell ref="X782:AB785"/>
    <mergeCell ref="X786:AB786"/>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T490:X490"/>
    <mergeCell ref="AA608:AK608"/>
    <mergeCell ref="AD1036:AK1036"/>
    <mergeCell ref="B1034:Y1034"/>
    <mergeCell ref="H583:R583"/>
    <mergeCell ref="X787:AB787"/>
    <mergeCell ref="Z574:AD574"/>
    <mergeCell ref="Z575:AD575"/>
    <mergeCell ref="D437:AF437"/>
    <mergeCell ref="AC547:AF547"/>
    <mergeCell ref="AH549:AK549"/>
    <mergeCell ref="AC540:AF540"/>
    <mergeCell ref="O541:AA541"/>
    <mergeCell ref="AH538:AK538"/>
    <mergeCell ref="C566:P566"/>
    <mergeCell ref="C567:P567"/>
    <mergeCell ref="AE567:AH567"/>
    <mergeCell ref="Z571:AD571"/>
    <mergeCell ref="O532:AA532"/>
    <mergeCell ref="Q563:S563"/>
    <mergeCell ref="W567:Y567"/>
    <mergeCell ref="AH534:AK534"/>
    <mergeCell ref="AC532:AF532"/>
    <mergeCell ref="AC554:AF554"/>
    <mergeCell ref="G578:R578"/>
    <mergeCell ref="Z563:AD563"/>
    <mergeCell ref="AE564:AH564"/>
    <mergeCell ref="C570:P570"/>
    <mergeCell ref="Z578:AK578"/>
    <mergeCell ref="AH551:AK551"/>
    <mergeCell ref="AC544:AF544"/>
    <mergeCell ref="AC545:AF545"/>
    <mergeCell ref="AH545:AK545"/>
    <mergeCell ref="AH547:AK547"/>
    <mergeCell ref="AI572:AL572"/>
    <mergeCell ref="Z568:AD568"/>
    <mergeCell ref="Z569:AD569"/>
    <mergeCell ref="Z570:AD570"/>
    <mergeCell ref="Z567:AD567"/>
    <mergeCell ref="W565:Y565"/>
    <mergeCell ref="AI591:AK591"/>
    <mergeCell ref="B563:P563"/>
    <mergeCell ref="C564:P564"/>
    <mergeCell ref="C565:P565"/>
    <mergeCell ref="AM566:AS566"/>
    <mergeCell ref="B576:AL576"/>
    <mergeCell ref="AM564:AS564"/>
    <mergeCell ref="AM572:AS572"/>
    <mergeCell ref="AE571:AH571"/>
    <mergeCell ref="N601:O601"/>
    <mergeCell ref="T568:V568"/>
    <mergeCell ref="T569:V569"/>
    <mergeCell ref="T570:V570"/>
    <mergeCell ref="AI599:AK599"/>
    <mergeCell ref="Z587:AK587"/>
    <mergeCell ref="Z598:AK598"/>
    <mergeCell ref="Z597:AK597"/>
    <mergeCell ref="Q569:S569"/>
    <mergeCell ref="Z588:AK588"/>
    <mergeCell ref="G587:R587"/>
    <mergeCell ref="G598:R598"/>
    <mergeCell ref="G580:R580"/>
    <mergeCell ref="G581:R581"/>
    <mergeCell ref="G595:R595"/>
    <mergeCell ref="AG585:AH585"/>
    <mergeCell ref="AE575:AH575"/>
    <mergeCell ref="Q570:S570"/>
    <mergeCell ref="C572:P572"/>
    <mergeCell ref="C569:P569"/>
    <mergeCell ref="AM563:AS563"/>
    <mergeCell ref="AM567:AS567"/>
    <mergeCell ref="AI567:AL567"/>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32:AK532"/>
    <mergeCell ref="AA583:AK583"/>
    <mergeCell ref="Z604:AK604"/>
    <mergeCell ref="AE565:AH565"/>
    <mergeCell ref="O535:AA535"/>
    <mergeCell ref="Q500:AK500"/>
    <mergeCell ref="G605:R605"/>
    <mergeCell ref="G606:R606"/>
    <mergeCell ref="AE563:AH563"/>
    <mergeCell ref="AM574:AS574"/>
    <mergeCell ref="Z580:AK580"/>
    <mergeCell ref="C573:P573"/>
    <mergeCell ref="C574:P574"/>
    <mergeCell ref="G582:L582"/>
    <mergeCell ref="G597:R597"/>
    <mergeCell ref="AI582:AK582"/>
    <mergeCell ref="AM576:AS576"/>
    <mergeCell ref="AM571:AS571"/>
    <mergeCell ref="AM573:AS573"/>
    <mergeCell ref="Z582:AE582"/>
    <mergeCell ref="AM575:AS575"/>
    <mergeCell ref="C571:P571"/>
    <mergeCell ref="Q571:S571"/>
    <mergeCell ref="Q572:S572"/>
    <mergeCell ref="Q573:S573"/>
    <mergeCell ref="Q574:S574"/>
    <mergeCell ref="Q575:S575"/>
    <mergeCell ref="T571:V571"/>
    <mergeCell ref="T572:V572"/>
    <mergeCell ref="T574:V574"/>
    <mergeCell ref="T575:V575"/>
    <mergeCell ref="W569:Y569"/>
    <mergeCell ref="W570:Y570"/>
    <mergeCell ref="AM569:AS569"/>
    <mergeCell ref="AE569:AH569"/>
    <mergeCell ref="AI569:AL569"/>
    <mergeCell ref="AE570:AH570"/>
    <mergeCell ref="AI571:AL571"/>
    <mergeCell ref="AE572:AH572"/>
    <mergeCell ref="G579:R579"/>
    <mergeCell ref="P582:R582"/>
    <mergeCell ref="W574:Y574"/>
    <mergeCell ref="W575:Y575"/>
    <mergeCell ref="AM568:AS568"/>
    <mergeCell ref="AI570:AL570"/>
    <mergeCell ref="W571:Y571"/>
    <mergeCell ref="W572:Y572"/>
    <mergeCell ref="W573:Y573"/>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Y489:AC489"/>
    <mergeCell ref="T484:X485"/>
    <mergeCell ref="Y487:AC487"/>
    <mergeCell ref="AC531:AF531"/>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X635:CB635"/>
    <mergeCell ref="CC635:CG635"/>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CH644:CL644"/>
    <mergeCell ref="CM644:CQ644"/>
    <mergeCell ref="BX658:CB658"/>
    <mergeCell ref="CC658:CG658"/>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CC655:CG655"/>
    <mergeCell ref="CC656:CG656"/>
    <mergeCell ref="CC657:CG657"/>
    <mergeCell ref="CH625:CL625"/>
    <mergeCell ref="CC634:CG634"/>
    <mergeCell ref="CH629:CL629"/>
    <mergeCell ref="CH631:CL631"/>
    <mergeCell ref="CH626:CL626"/>
    <mergeCell ref="CH627:CL627"/>
    <mergeCell ref="BX633:CB633"/>
    <mergeCell ref="CC633:CG633"/>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E633:BF633"/>
    <mergeCell ref="BE630:BF630"/>
    <mergeCell ref="BK632:BL632"/>
    <mergeCell ref="BG629:BH629"/>
    <mergeCell ref="BE628:BF628"/>
    <mergeCell ref="BG632:BH632"/>
    <mergeCell ref="BX629:CB629"/>
    <mergeCell ref="CC629:CG629"/>
    <mergeCell ref="BX631:CB631"/>
    <mergeCell ref="CC631:CG631"/>
    <mergeCell ref="BI632:BJ632"/>
    <mergeCell ref="BN629:BR629"/>
    <mergeCell ref="BI626:BJ626"/>
    <mergeCell ref="BS625:BW625"/>
    <mergeCell ref="BX625:CB625"/>
    <mergeCell ref="CC625:CG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BK622:BL622"/>
    <mergeCell ref="BS621:BW621"/>
    <mergeCell ref="BN621:BR621"/>
    <mergeCell ref="BK626:BL626"/>
    <mergeCell ref="BN623:BR623"/>
    <mergeCell ref="CC624:CG624"/>
    <mergeCell ref="BS624:BW624"/>
    <mergeCell ref="BX624:CB624"/>
    <mergeCell ref="BS622:BW622"/>
    <mergeCell ref="BX622:CB622"/>
    <mergeCell ref="CC622:CG622"/>
    <mergeCell ref="BG624:BH624"/>
    <mergeCell ref="BG619:BH619"/>
    <mergeCell ref="BN625:BR625"/>
    <mergeCell ref="BE623:BF623"/>
    <mergeCell ref="BE622:BF622"/>
    <mergeCell ref="BE621:BF621"/>
    <mergeCell ref="BG626:BH626"/>
    <mergeCell ref="BE620:BF620"/>
    <mergeCell ref="BE619:BF619"/>
    <mergeCell ref="BE625:BF625"/>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CH621:CL621"/>
    <mergeCell ref="CH622:CL622"/>
    <mergeCell ref="BK624:BL624"/>
    <mergeCell ref="BN624:BR624"/>
    <mergeCell ref="BN622:BR622"/>
    <mergeCell ref="BI625:BJ625"/>
    <mergeCell ref="BK625:BL625"/>
    <mergeCell ref="BG625:BH625"/>
    <mergeCell ref="CH617:CL617"/>
    <mergeCell ref="BG620:BH620"/>
    <mergeCell ref="BI620:BJ620"/>
    <mergeCell ref="BK620:BL620"/>
    <mergeCell ref="BN620:BR620"/>
    <mergeCell ref="BS620:BW620"/>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CH615:CL615"/>
    <mergeCell ref="BS615:BW615"/>
    <mergeCell ref="BX615:CB615"/>
    <mergeCell ref="CC615:CG615"/>
    <mergeCell ref="BK611:BL611"/>
    <mergeCell ref="BS617:BW617"/>
    <mergeCell ref="CC609:CG609"/>
    <mergeCell ref="CH609:CL609"/>
    <mergeCell ref="BX620:CB620"/>
    <mergeCell ref="CH624:CL624"/>
    <mergeCell ref="CH611:CL611"/>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CC619:CG619"/>
    <mergeCell ref="CH619:CL619"/>
    <mergeCell ref="BX619:CB619"/>
    <mergeCell ref="BK619:BL619"/>
    <mergeCell ref="BK623:BL623"/>
    <mergeCell ref="BN619:BR619"/>
    <mergeCell ref="BI623:BJ623"/>
    <mergeCell ref="BN610:BR610"/>
    <mergeCell ref="BG610:BH610"/>
    <mergeCell ref="BX616:CB616"/>
    <mergeCell ref="BS616:BW616"/>
    <mergeCell ref="BK616:BL616"/>
    <mergeCell ref="BG613:BH613"/>
    <mergeCell ref="BI613:BJ613"/>
    <mergeCell ref="BN616:BR616"/>
    <mergeCell ref="CC618:CG618"/>
    <mergeCell ref="BK612:BL612"/>
    <mergeCell ref="BN612:BR612"/>
    <mergeCell ref="BS611:BW611"/>
    <mergeCell ref="BS612:BW612"/>
    <mergeCell ref="BK615:BL615"/>
    <mergeCell ref="CC611:CG611"/>
    <mergeCell ref="BS613:BW613"/>
    <mergeCell ref="BN614:BR614"/>
    <mergeCell ref="CC616:CG616"/>
    <mergeCell ref="CC610:CG610"/>
    <mergeCell ref="G588:R588"/>
    <mergeCell ref="G589:R589"/>
    <mergeCell ref="G590:R590"/>
    <mergeCell ref="BE617:BF617"/>
    <mergeCell ref="BN617:BR617"/>
    <mergeCell ref="P599:R599"/>
    <mergeCell ref="BE614:BF614"/>
    <mergeCell ref="G611:R611"/>
    <mergeCell ref="BE612:BF612"/>
    <mergeCell ref="BE613:BF613"/>
    <mergeCell ref="G607:L607"/>
    <mergeCell ref="BE611:BF611"/>
    <mergeCell ref="AA600:AK600"/>
    <mergeCell ref="Z603:AK603"/>
    <mergeCell ref="BE610:BF610"/>
    <mergeCell ref="G591:L591"/>
    <mergeCell ref="H592:R592"/>
    <mergeCell ref="AI615:AK615"/>
    <mergeCell ref="Z607:AE607"/>
    <mergeCell ref="AG593:AH593"/>
    <mergeCell ref="BK617:BL617"/>
    <mergeCell ref="H608:R608"/>
    <mergeCell ref="G614:R614"/>
    <mergeCell ref="G596:R596"/>
    <mergeCell ref="G613:R613"/>
    <mergeCell ref="N617:O617"/>
    <mergeCell ref="P607:R607"/>
    <mergeCell ref="G599:L599"/>
    <mergeCell ref="G612:R612"/>
    <mergeCell ref="G615:L615"/>
    <mergeCell ref="Z613:AK613"/>
    <mergeCell ref="BG609:BH609"/>
    <mergeCell ref="CH610:CL610"/>
    <mergeCell ref="BX611:CB611"/>
    <mergeCell ref="BK610:BL610"/>
    <mergeCell ref="BS610:BW610"/>
    <mergeCell ref="BX617:CB617"/>
    <mergeCell ref="CC617:CG617"/>
    <mergeCell ref="BX610:CB610"/>
    <mergeCell ref="BS609:BW609"/>
    <mergeCell ref="AC514:AF514"/>
    <mergeCell ref="Z619:AK619"/>
    <mergeCell ref="BX612:CB612"/>
    <mergeCell ref="CC612:CG612"/>
    <mergeCell ref="CH613:CL613"/>
    <mergeCell ref="BG615:BH615"/>
    <mergeCell ref="BI615:BJ615"/>
    <mergeCell ref="BG611:BH611"/>
    <mergeCell ref="BS614:BW614"/>
    <mergeCell ref="BX614:CB614"/>
    <mergeCell ref="CC614:CG614"/>
    <mergeCell ref="CH614:CL614"/>
    <mergeCell ref="CH612:CL612"/>
    <mergeCell ref="BG612:BH612"/>
    <mergeCell ref="BN611:BR611"/>
    <mergeCell ref="Z581:AK581"/>
    <mergeCell ref="BI610:BJ610"/>
    <mergeCell ref="BK609:BL609"/>
    <mergeCell ref="BX609:CB609"/>
    <mergeCell ref="CC613:CG613"/>
    <mergeCell ref="AH528:AK528"/>
    <mergeCell ref="AC519:AF519"/>
    <mergeCell ref="CH616:CL616"/>
    <mergeCell ref="AH519:AK519"/>
    <mergeCell ref="AH512:AK512"/>
    <mergeCell ref="Q501:R502"/>
    <mergeCell ref="AH520:AK520"/>
    <mergeCell ref="Q506:AK506"/>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T563:V563"/>
    <mergeCell ref="T564:V564"/>
    <mergeCell ref="T565:V565"/>
    <mergeCell ref="T566:V566"/>
    <mergeCell ref="AC538:AF538"/>
    <mergeCell ref="AH518:AK518"/>
    <mergeCell ref="Z566:AD566"/>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P420:R420"/>
    <mergeCell ref="L520:AB520"/>
    <mergeCell ref="Y494:AC494"/>
    <mergeCell ref="Q499:AK499"/>
    <mergeCell ref="T494:X494"/>
    <mergeCell ref="Y495:AC495"/>
    <mergeCell ref="AC516:AF516"/>
    <mergeCell ref="Q498:AK498"/>
    <mergeCell ref="AC520:AF520"/>
    <mergeCell ref="AI322:AK322"/>
    <mergeCell ref="AA319:AK319"/>
    <mergeCell ref="AA336:AK336"/>
    <mergeCell ref="H326:R326"/>
    <mergeCell ref="AA332:AK332"/>
    <mergeCell ref="H330:M330"/>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AI314:AK314"/>
    <mergeCell ref="M258:AE258"/>
    <mergeCell ref="AA256:AK256"/>
    <mergeCell ref="M259:AE259"/>
    <mergeCell ref="M261:AE261"/>
    <mergeCell ref="U254:W25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AA288:AK288"/>
    <mergeCell ref="P290:R290"/>
    <mergeCell ref="AA296:AK296"/>
    <mergeCell ref="L273:AJ273"/>
    <mergeCell ref="AA303:AK303"/>
    <mergeCell ref="AA306:AF306"/>
    <mergeCell ref="H312:R312"/>
    <mergeCell ref="AA314:AF314"/>
    <mergeCell ref="AA304:AK304"/>
    <mergeCell ref="AA290:AF290"/>
    <mergeCell ref="AI290:AK290"/>
    <mergeCell ref="H291:M291"/>
    <mergeCell ref="AA292:AK292"/>
    <mergeCell ref="L276:AD276"/>
    <mergeCell ref="T277:V277"/>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A169:AL170"/>
    <mergeCell ref="H297:R297"/>
    <mergeCell ref="H311:R311"/>
    <mergeCell ref="H304:R304"/>
    <mergeCell ref="AA299:AF299"/>
    <mergeCell ref="H305:R305"/>
    <mergeCell ref="D207:M207"/>
    <mergeCell ref="Z246:AE246"/>
    <mergeCell ref="T193:AI193"/>
    <mergeCell ref="D204:M204"/>
    <mergeCell ref="R177:S177"/>
    <mergeCell ref="U235:W235"/>
    <mergeCell ref="Z254:AE254"/>
    <mergeCell ref="AI178:AK178"/>
    <mergeCell ref="T195:U195"/>
    <mergeCell ref="D219:Z219"/>
    <mergeCell ref="AC233:AE233"/>
    <mergeCell ref="M242:AE242"/>
    <mergeCell ref="W260:X260"/>
    <mergeCell ref="U262:W262"/>
    <mergeCell ref="O161:AH161"/>
    <mergeCell ref="AA298:AF298"/>
    <mergeCell ref="AA286:AK286"/>
    <mergeCell ref="T266:X266"/>
    <mergeCell ref="P298:R298"/>
    <mergeCell ref="X176:Y176"/>
    <mergeCell ref="X180:Y180"/>
    <mergeCell ref="AC244:AE244"/>
    <mergeCell ref="M245:AE245"/>
    <mergeCell ref="W244:X244"/>
    <mergeCell ref="U246:W246"/>
    <mergeCell ref="T194:U194"/>
    <mergeCell ref="E187:AE188"/>
    <mergeCell ref="I189:P189"/>
    <mergeCell ref="Y198:Z198"/>
    <mergeCell ref="U175:V175"/>
    <mergeCell ref="I184:AE184"/>
    <mergeCell ref="J174:Z174"/>
    <mergeCell ref="M233:T233"/>
    <mergeCell ref="W233:X233"/>
    <mergeCell ref="M263:AE263"/>
    <mergeCell ref="AA264:AK264"/>
    <mergeCell ref="AA289:AK289"/>
    <mergeCell ref="AI298:AK298"/>
    <mergeCell ref="H296:R296"/>
    <mergeCell ref="H287:R287"/>
    <mergeCell ref="AH253:AK253"/>
    <mergeCell ref="AH261:AK261"/>
    <mergeCell ref="M262:R262"/>
    <mergeCell ref="M264:T264"/>
    <mergeCell ref="H294:R294"/>
    <mergeCell ref="H295:R295"/>
    <mergeCell ref="V275:W275"/>
    <mergeCell ref="H288:R288"/>
    <mergeCell ref="H290:M290"/>
    <mergeCell ref="M244:T244"/>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AA237:AK237"/>
    <mergeCell ref="T190:AE190"/>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Y132:AK132"/>
    <mergeCell ref="A11:AL11"/>
    <mergeCell ref="O155:AH155"/>
    <mergeCell ref="O153:AH153"/>
    <mergeCell ref="O154:AH154"/>
    <mergeCell ref="M236:AE236"/>
    <mergeCell ref="AI226:AJ226"/>
    <mergeCell ref="C124:K124"/>
    <mergeCell ref="D164:AH164"/>
    <mergeCell ref="O156:AH156"/>
    <mergeCell ref="O157:X157"/>
    <mergeCell ref="O158:R158"/>
    <mergeCell ref="W159:X159"/>
    <mergeCell ref="O159:T159"/>
    <mergeCell ref="O160:T160"/>
    <mergeCell ref="H338:M33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M354:N354"/>
    <mergeCell ref="AG389:AJ389"/>
    <mergeCell ref="J384:U384"/>
    <mergeCell ref="V380:W380"/>
    <mergeCell ref="AC346:AE346"/>
    <mergeCell ref="Q390:U390"/>
    <mergeCell ref="AD376:AE376"/>
    <mergeCell ref="AC541:AF541"/>
    <mergeCell ref="AH539:AK539"/>
    <mergeCell ref="O544:AA544"/>
    <mergeCell ref="AC549:AF549"/>
    <mergeCell ref="W563:Y563"/>
    <mergeCell ref="AC548:AF548"/>
    <mergeCell ref="P423:Q423"/>
    <mergeCell ref="Q504:AK504"/>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S376:T376"/>
    <mergeCell ref="AC539:AF539"/>
    <mergeCell ref="AG448:AJ448"/>
    <mergeCell ref="D464:V464"/>
    <mergeCell ref="W467:Y467"/>
    <mergeCell ref="AG379:AH379"/>
    <mergeCell ref="N377:P37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O794:S794"/>
    <mergeCell ref="H340:R340"/>
    <mergeCell ref="H337:R337"/>
    <mergeCell ref="P344:AE344"/>
    <mergeCell ref="H322:M322"/>
    <mergeCell ref="AA340:AK340"/>
    <mergeCell ref="N371:Q371"/>
    <mergeCell ref="B649:AN649"/>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C830:L830"/>
    <mergeCell ref="T793:W793"/>
    <mergeCell ref="C828:H828"/>
    <mergeCell ref="X792:AB792"/>
    <mergeCell ref="AC768:AG771"/>
    <mergeCell ref="AC789:AG789"/>
    <mergeCell ref="AC795:AG795"/>
    <mergeCell ref="AC824:AF824"/>
    <mergeCell ref="B749:F749"/>
    <mergeCell ref="B750:F750"/>
    <mergeCell ref="Z804:AE804"/>
    <mergeCell ref="Z805:AE805"/>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C823:H823"/>
    <mergeCell ref="AG825:AJ825"/>
    <mergeCell ref="W841:AC841"/>
    <mergeCell ref="AG828:AJ828"/>
    <mergeCell ref="B751:F751"/>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G827:AJ827"/>
    <mergeCell ref="Q829:T829"/>
    <mergeCell ref="AC829:AF829"/>
    <mergeCell ref="Q830:T830"/>
    <mergeCell ref="M830:P830"/>
    <mergeCell ref="W855:AC855"/>
    <mergeCell ref="AC826:AF826"/>
    <mergeCell ref="J847:V847"/>
    <mergeCell ref="AC891:AH891"/>
    <mergeCell ref="W853:AC853"/>
    <mergeCell ref="AC890:AH890"/>
    <mergeCell ref="BD907:BF907"/>
    <mergeCell ref="BD901:BE901"/>
    <mergeCell ref="BD903:BE903"/>
    <mergeCell ref="BD904:BE904"/>
    <mergeCell ref="BD906:BE906"/>
    <mergeCell ref="BD902:BE902"/>
    <mergeCell ref="U827:X827"/>
    <mergeCell ref="C835:AJ835"/>
    <mergeCell ref="W847:AC847"/>
    <mergeCell ref="W870:AC870"/>
    <mergeCell ref="AC882:AH882"/>
    <mergeCell ref="W873:AC873"/>
    <mergeCell ref="T856:V856"/>
    <mergeCell ref="T858:V858"/>
    <mergeCell ref="W865:AC865"/>
    <mergeCell ref="W850:AC850"/>
    <mergeCell ref="W851:AC851"/>
    <mergeCell ref="AC884:AH884"/>
    <mergeCell ref="AA929:AF929"/>
    <mergeCell ref="F913:T914"/>
    <mergeCell ref="U917:Z917"/>
    <mergeCell ref="U927:Z927"/>
    <mergeCell ref="U923:Z923"/>
    <mergeCell ref="AA916:AF916"/>
    <mergeCell ref="M875:V875"/>
    <mergeCell ref="W876:AC876"/>
    <mergeCell ref="W867:AC867"/>
    <mergeCell ref="AC886:AH886"/>
    <mergeCell ref="U915:Z915"/>
    <mergeCell ref="W868:AC868"/>
    <mergeCell ref="M873:V873"/>
    <mergeCell ref="W875:AC875"/>
    <mergeCell ref="W872:AC872"/>
    <mergeCell ref="Z898:AE898"/>
    <mergeCell ref="F912:T912"/>
    <mergeCell ref="AC881:AH881"/>
    <mergeCell ref="AA953:AG953"/>
    <mergeCell ref="T956:Z956"/>
    <mergeCell ref="AA928:AF928"/>
    <mergeCell ref="AA917:AF917"/>
    <mergeCell ref="U919:Z919"/>
    <mergeCell ref="AA921:AF921"/>
    <mergeCell ref="A907:AL908"/>
    <mergeCell ref="AA956:AG956"/>
    <mergeCell ref="M942:S942"/>
    <mergeCell ref="M957:S957"/>
    <mergeCell ref="M956:S956"/>
    <mergeCell ref="M945:S945"/>
    <mergeCell ref="E883:AB883"/>
    <mergeCell ref="U932:Z932"/>
    <mergeCell ref="U926:Z926"/>
    <mergeCell ref="AA926:AF926"/>
    <mergeCell ref="AA915:AF915"/>
    <mergeCell ref="Z896:AE896"/>
    <mergeCell ref="I934:T934"/>
    <mergeCell ref="B734:F734"/>
    <mergeCell ref="AM738:AO738"/>
    <mergeCell ref="AM733:AO733"/>
    <mergeCell ref="AM729:AO729"/>
    <mergeCell ref="X648:AB648"/>
    <mergeCell ref="Y729:AB729"/>
    <mergeCell ref="B738:F738"/>
    <mergeCell ref="AM734:AO734"/>
    <mergeCell ref="G678:R678"/>
    <mergeCell ref="P681:R68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I932:T932"/>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A682:AK682"/>
    <mergeCell ref="AA674:AK674"/>
    <mergeCell ref="AH729:AL729"/>
    <mergeCell ref="G687:R687"/>
    <mergeCell ref="Y730:AB730"/>
    <mergeCell ref="Z688:AK688"/>
    <mergeCell ref="AF640:AJ640"/>
    <mergeCell ref="AF641:AJ641"/>
    <mergeCell ref="AF642:AJ642"/>
    <mergeCell ref="AF643:AJ643"/>
    <mergeCell ref="Z696:AK696"/>
    <mergeCell ref="Z695:AK695"/>
    <mergeCell ref="Z653:AK653"/>
    <mergeCell ref="B650:AN650"/>
    <mergeCell ref="B651:AN651"/>
    <mergeCell ref="AC640:AE640"/>
    <mergeCell ref="O737:S737"/>
    <mergeCell ref="O738:S738"/>
    <mergeCell ref="AC737:AG737"/>
    <mergeCell ref="Y735:AB73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M955:S955"/>
    <mergeCell ref="W864:AC864"/>
    <mergeCell ref="M940:S940"/>
    <mergeCell ref="AA919:AF919"/>
    <mergeCell ref="B735:F735"/>
    <mergeCell ref="M876:V876"/>
    <mergeCell ref="U920:Z920"/>
    <mergeCell ref="B736:F736"/>
    <mergeCell ref="E717:AK717"/>
    <mergeCell ref="B724:F727"/>
    <mergeCell ref="G729:J729"/>
    <mergeCell ref="B739:F739"/>
    <mergeCell ref="O739:S739"/>
    <mergeCell ref="AH744:AL744"/>
    <mergeCell ref="T739:X739"/>
    <mergeCell ref="T740:X740"/>
    <mergeCell ref="AH735:AL735"/>
    <mergeCell ref="AH736:AL736"/>
    <mergeCell ref="AC740:AG740"/>
    <mergeCell ref="AC741:AG741"/>
    <mergeCell ref="AC742:AG742"/>
    <mergeCell ref="AC743:AG743"/>
    <mergeCell ref="K734:N734"/>
    <mergeCell ref="K735:N735"/>
    <mergeCell ref="B737:F737"/>
    <mergeCell ref="Y738:AB738"/>
    <mergeCell ref="Y724:AB727"/>
    <mergeCell ref="AC733:AG733"/>
    <mergeCell ref="O728:S728"/>
    <mergeCell ref="T732:X732"/>
    <mergeCell ref="T733:X733"/>
    <mergeCell ref="T734:X734"/>
    <mergeCell ref="AH739:AL739"/>
    <mergeCell ref="AC739:AG739"/>
    <mergeCell ref="K730:N730"/>
    <mergeCell ref="T724:X727"/>
    <mergeCell ref="AC724:AG727"/>
    <mergeCell ref="AH734:AL734"/>
    <mergeCell ref="B731:F731"/>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O732:S732"/>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E705:AI705"/>
    <mergeCell ref="N691:O691"/>
    <mergeCell ref="BN663:BR663"/>
    <mergeCell ref="BN654:BR654"/>
    <mergeCell ref="BN653:BR653"/>
    <mergeCell ref="K731:N731"/>
    <mergeCell ref="K732:N732"/>
    <mergeCell ref="K733:N733"/>
    <mergeCell ref="B729:F729"/>
    <mergeCell ref="AH730:AL730"/>
    <mergeCell ref="AH731:AL731"/>
    <mergeCell ref="P697:R697"/>
    <mergeCell ref="BN658:BR658"/>
    <mergeCell ref="BS658:BW658"/>
    <mergeCell ref="G653:R653"/>
    <mergeCell ref="AI689:AK689"/>
    <mergeCell ref="AG667:AH667"/>
    <mergeCell ref="G671:R671"/>
    <mergeCell ref="G680:R680"/>
    <mergeCell ref="U646:W646"/>
    <mergeCell ref="G688:R688"/>
    <mergeCell ref="G679:R679"/>
    <mergeCell ref="N659:O659"/>
    <mergeCell ref="G686:R686"/>
    <mergeCell ref="G672:R672"/>
    <mergeCell ref="P665:R665"/>
    <mergeCell ref="Z677:AK677"/>
    <mergeCell ref="Z672:AK672"/>
    <mergeCell ref="Z663:AK663"/>
    <mergeCell ref="R645:T645"/>
    <mergeCell ref="BS663:BW663"/>
    <mergeCell ref="Z661:AK661"/>
    <mergeCell ref="Z681:AE681"/>
    <mergeCell ref="Z678:AK678"/>
    <mergeCell ref="R642:T642"/>
    <mergeCell ref="U641:W641"/>
    <mergeCell ref="U640:W640"/>
    <mergeCell ref="O731:S731"/>
    <mergeCell ref="O639:Q639"/>
    <mergeCell ref="O640:Q640"/>
    <mergeCell ref="O641:Q641"/>
    <mergeCell ref="O642:Q642"/>
    <mergeCell ref="T728:X728"/>
    <mergeCell ref="AG659:AH659"/>
    <mergeCell ref="AI681:AK681"/>
    <mergeCell ref="Z679:AK679"/>
    <mergeCell ref="AE708:AI708"/>
    <mergeCell ref="G677:R677"/>
    <mergeCell ref="H674:R674"/>
    <mergeCell ref="G664:R664"/>
    <mergeCell ref="AF644:AJ644"/>
    <mergeCell ref="AF645:AJ645"/>
    <mergeCell ref="X646:AB646"/>
    <mergeCell ref="X647:AB647"/>
    <mergeCell ref="G695:R695"/>
    <mergeCell ref="H698:R698"/>
    <mergeCell ref="N675:O675"/>
    <mergeCell ref="G670:R670"/>
    <mergeCell ref="K724:N727"/>
    <mergeCell ref="Z694:AK694"/>
    <mergeCell ref="Z697:AE697"/>
    <mergeCell ref="Z654:AK654"/>
    <mergeCell ref="G694:R694"/>
    <mergeCell ref="Z664:AK664"/>
    <mergeCell ref="AI697:AK697"/>
    <mergeCell ref="AA690:AK690"/>
    <mergeCell ref="DM617:DQ617"/>
    <mergeCell ref="DR617:DV617"/>
    <mergeCell ref="CS616:CW616"/>
    <mergeCell ref="CX616:DB616"/>
    <mergeCell ref="DC616:DG616"/>
    <mergeCell ref="DH616:DL616"/>
    <mergeCell ref="DC617:DG617"/>
    <mergeCell ref="DH617:DL617"/>
    <mergeCell ref="DH619:DL619"/>
    <mergeCell ref="DM621:DQ621"/>
    <mergeCell ref="DR621:DV621"/>
    <mergeCell ref="CS620:CW620"/>
    <mergeCell ref="CX620:DB620"/>
    <mergeCell ref="DC620:DG620"/>
    <mergeCell ref="DM616:DQ616"/>
    <mergeCell ref="DR616:DV616"/>
    <mergeCell ref="DM618:DQ618"/>
    <mergeCell ref="DR618:DV618"/>
    <mergeCell ref="CS617:CW617"/>
    <mergeCell ref="CX617:DB617"/>
    <mergeCell ref="CS618:CW618"/>
    <mergeCell ref="CX618:DB618"/>
    <mergeCell ref="DC618:DG618"/>
    <mergeCell ref="DH618:DL618"/>
    <mergeCell ref="CS621:CW621"/>
    <mergeCell ref="CX621:DB621"/>
    <mergeCell ref="AA624:AK624"/>
    <mergeCell ref="AO645:AS645"/>
    <mergeCell ref="AO643:AS643"/>
    <mergeCell ref="AA616:AK616"/>
    <mergeCell ref="BN618:BR618"/>
    <mergeCell ref="BS618:BW618"/>
    <mergeCell ref="BX618:CB618"/>
    <mergeCell ref="CH618:CL618"/>
    <mergeCell ref="BX623:CB623"/>
    <mergeCell ref="CC623:CG623"/>
    <mergeCell ref="G663:R663"/>
    <mergeCell ref="AO646:AS646"/>
    <mergeCell ref="AO637:AS637"/>
    <mergeCell ref="AO647:AS647"/>
    <mergeCell ref="DM614:DQ614"/>
    <mergeCell ref="DR614:DV614"/>
    <mergeCell ref="CS613:CW613"/>
    <mergeCell ref="DC614:DG614"/>
    <mergeCell ref="DH614:DL614"/>
    <mergeCell ref="DC613:DG613"/>
    <mergeCell ref="DH613:DL613"/>
    <mergeCell ref="CS615:CW615"/>
    <mergeCell ref="CX615:DB615"/>
    <mergeCell ref="Z615:AE615"/>
    <mergeCell ref="DH620:DL620"/>
    <mergeCell ref="DM619:DQ619"/>
    <mergeCell ref="DR619:DV619"/>
    <mergeCell ref="DM620:DQ620"/>
    <mergeCell ref="DR620:DV620"/>
    <mergeCell ref="CS619:CW619"/>
    <mergeCell ref="CX619:DB619"/>
    <mergeCell ref="DC619:DG619"/>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AA338:AF338"/>
    <mergeCell ref="DM609:DQ609"/>
    <mergeCell ref="AP204:AQ204"/>
    <mergeCell ref="I420:K420"/>
    <mergeCell ref="AA334:AK334"/>
    <mergeCell ref="AA329:AK329"/>
    <mergeCell ref="H323:M323"/>
    <mergeCell ref="H318:R318"/>
    <mergeCell ref="AA320:AK320"/>
    <mergeCell ref="H324:R324"/>
    <mergeCell ref="DR609:DV609"/>
    <mergeCell ref="CS610:CW610"/>
    <mergeCell ref="CX610:DB610"/>
    <mergeCell ref="DC610:DG610"/>
    <mergeCell ref="DH610:DL610"/>
    <mergeCell ref="DC615:DG615"/>
    <mergeCell ref="DH615:DL615"/>
    <mergeCell ref="DM615:DQ615"/>
    <mergeCell ref="DR615:DV615"/>
    <mergeCell ref="CX613:DB613"/>
    <mergeCell ref="CS614:CW614"/>
    <mergeCell ref="CX614:DB614"/>
    <mergeCell ref="DR610:DV610"/>
    <mergeCell ref="CS609:CW609"/>
    <mergeCell ref="DC611:DG611"/>
    <mergeCell ref="CS611:CW611"/>
    <mergeCell ref="DH609:DL609"/>
    <mergeCell ref="CX609:DB609"/>
    <mergeCell ref="DH611:DL611"/>
    <mergeCell ref="DC609:DG609"/>
    <mergeCell ref="DM611:DQ611"/>
    <mergeCell ref="DR611:DV611"/>
    <mergeCell ref="DM612:DQ612"/>
    <mergeCell ref="DR612:DV612"/>
    <mergeCell ref="CX611:DB611"/>
    <mergeCell ref="DM613:DQ613"/>
    <mergeCell ref="DR613:DV613"/>
    <mergeCell ref="CS612:CW612"/>
    <mergeCell ref="CX612:DB612"/>
    <mergeCell ref="DC612:DG612"/>
    <mergeCell ref="DH612:DL612"/>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M622:DQ622"/>
    <mergeCell ref="DR622:DV622"/>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C629:DG629"/>
    <mergeCell ref="DH629:DL629"/>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41:BW641"/>
    <mergeCell ref="CM651:CQ651"/>
    <mergeCell ref="BX634:CB634"/>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AC738:AG738"/>
    <mergeCell ref="M959:S959"/>
    <mergeCell ref="M953:S953"/>
    <mergeCell ref="M952:S952"/>
    <mergeCell ref="AC885:AH885"/>
    <mergeCell ref="B741:F741"/>
    <mergeCell ref="O774:S774"/>
    <mergeCell ref="J774:N774"/>
    <mergeCell ref="Q824:T824"/>
    <mergeCell ref="Y821:AB822"/>
    <mergeCell ref="C824:H824"/>
    <mergeCell ref="T735:X735"/>
    <mergeCell ref="T736:X736"/>
    <mergeCell ref="T737:X737"/>
    <mergeCell ref="AC892:AH892"/>
    <mergeCell ref="X1035:AC1035"/>
    <mergeCell ref="X1036:AC1036"/>
    <mergeCell ref="AM741:AO741"/>
    <mergeCell ref="AE944:AK944"/>
    <mergeCell ref="AE945:AK945"/>
    <mergeCell ref="AA932:AF932"/>
    <mergeCell ref="Y740:AB740"/>
    <mergeCell ref="M951:S951"/>
    <mergeCell ref="O791:S791"/>
    <mergeCell ref="Y736:AB736"/>
    <mergeCell ref="U921:Z921"/>
    <mergeCell ref="AA920:AF920"/>
    <mergeCell ref="AB914:AE914"/>
    <mergeCell ref="AA924:AF924"/>
    <mergeCell ref="J941:S941"/>
    <mergeCell ref="Z897:AE897"/>
    <mergeCell ref="B742:F742"/>
    <mergeCell ref="AE943:AK943"/>
    <mergeCell ref="W958:AG958"/>
    <mergeCell ref="AA955:AG955"/>
    <mergeCell ref="AE946:AK946"/>
    <mergeCell ref="AA922:AF922"/>
    <mergeCell ref="AE942:AK942"/>
    <mergeCell ref="AA952:AG952"/>
    <mergeCell ref="AE939:AK939"/>
    <mergeCell ref="AA951:AG951"/>
    <mergeCell ref="AA957:AG957"/>
    <mergeCell ref="AA933:AF933"/>
    <mergeCell ref="T957:Z957"/>
    <mergeCell ref="I931:T931"/>
    <mergeCell ref="U922:Z922"/>
    <mergeCell ref="M954:S954"/>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D1044:AK1049"/>
    <mergeCell ref="AH745:AL745"/>
    <mergeCell ref="AH746:AL746"/>
    <mergeCell ref="O793:S793"/>
    <mergeCell ref="J790:N790"/>
    <mergeCell ref="Y748:AB748"/>
    <mergeCell ref="A1074:B1074"/>
    <mergeCell ref="Y737:AB7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AH728:AL728"/>
    <mergeCell ref="AC751:AG751"/>
    <mergeCell ref="AC752:AG752"/>
    <mergeCell ref="W843:AC843"/>
    <mergeCell ref="BG851:BL851"/>
    <mergeCell ref="AM736:AO736"/>
    <mergeCell ref="AM739:AO739"/>
    <mergeCell ref="A8:AL8"/>
    <mergeCell ref="S501:AK502"/>
    <mergeCell ref="I409:AE409"/>
    <mergeCell ref="AF178:AG178"/>
    <mergeCell ref="M27:Q27"/>
    <mergeCell ref="O646:Q646"/>
    <mergeCell ref="O647:Q647"/>
    <mergeCell ref="O648:Q648"/>
    <mergeCell ref="R640:T640"/>
    <mergeCell ref="R641:T641"/>
    <mergeCell ref="X639:AB639"/>
    <mergeCell ref="X640:AB640"/>
    <mergeCell ref="X641:AB641"/>
    <mergeCell ref="X642:AB642"/>
    <mergeCell ref="X643:AB643"/>
    <mergeCell ref="X644:AB644"/>
    <mergeCell ref="AC634:AE636"/>
    <mergeCell ref="U642:W642"/>
    <mergeCell ref="AC638:AE638"/>
    <mergeCell ref="N585:O585"/>
    <mergeCell ref="AI623:AK623"/>
    <mergeCell ref="AC637:AE637"/>
    <mergeCell ref="O645:Q645"/>
    <mergeCell ref="O638:Q638"/>
    <mergeCell ref="A13:AL14"/>
    <mergeCell ref="Q389:U389"/>
    <mergeCell ref="AI388:AJ388"/>
    <mergeCell ref="E367:AH368"/>
    <mergeCell ref="AA323:AF323"/>
    <mergeCell ref="H328:R328"/>
    <mergeCell ref="R646:T646"/>
    <mergeCell ref="U647:W647"/>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A719:AO721"/>
    <mergeCell ref="G689:L689"/>
    <mergeCell ref="AM730:AO730"/>
    <mergeCell ref="B728:F728"/>
    <mergeCell ref="B730:F730"/>
    <mergeCell ref="G724:J727"/>
    <mergeCell ref="P673:R673"/>
    <mergeCell ref="G669:R669"/>
    <mergeCell ref="T738:X738"/>
    <mergeCell ref="AC735:AG735"/>
    <mergeCell ref="Y828:AB828"/>
    <mergeCell ref="U828:X828"/>
    <mergeCell ref="M821:P822"/>
    <mergeCell ref="Q821:T822"/>
    <mergeCell ref="Z807:AE807"/>
    <mergeCell ref="AH753:AL753"/>
    <mergeCell ref="T753:X753"/>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AC745:AG745"/>
    <mergeCell ref="AC747:AG747"/>
    <mergeCell ref="AC748:AG748"/>
    <mergeCell ref="AC749:AG749"/>
    <mergeCell ref="AC750:AG750"/>
    <mergeCell ref="J789:N789"/>
    <mergeCell ref="O789:S789"/>
    <mergeCell ref="AH749:AL749"/>
    <mergeCell ref="AC788:AG788"/>
    <mergeCell ref="O730:S730"/>
    <mergeCell ref="H682:R682"/>
    <mergeCell ref="G673:L673"/>
    <mergeCell ref="Z687:AK687"/>
    <mergeCell ref="G655:R655"/>
    <mergeCell ref="AE709:AI709"/>
    <mergeCell ref="G730:J730"/>
    <mergeCell ref="AI665:AK665"/>
    <mergeCell ref="AM737:AO737"/>
    <mergeCell ref="O729:S729"/>
    <mergeCell ref="AH724:AL727"/>
    <mergeCell ref="T731:X731"/>
    <mergeCell ref="N683:O683"/>
    <mergeCell ref="G662:R662"/>
    <mergeCell ref="Z689:AE689"/>
    <mergeCell ref="H690:R690"/>
    <mergeCell ref="Z680:AK680"/>
    <mergeCell ref="R715:T715"/>
    <mergeCell ref="G728:J728"/>
    <mergeCell ref="W713:AK713"/>
    <mergeCell ref="W716:AK716"/>
    <mergeCell ref="AA698:AK698"/>
    <mergeCell ref="G693:R693"/>
    <mergeCell ref="G681:L681"/>
    <mergeCell ref="AG699:AH699"/>
    <mergeCell ref="AE703:AF703"/>
    <mergeCell ref="AE704:AF704"/>
    <mergeCell ref="AI673:AK673"/>
    <mergeCell ref="Z671:AK671"/>
    <mergeCell ref="Z686:AK686"/>
    <mergeCell ref="O735:S735"/>
    <mergeCell ref="O736:S736"/>
    <mergeCell ref="K740:N740"/>
    <mergeCell ref="K741:N741"/>
    <mergeCell ref="K742:N742"/>
    <mergeCell ref="K743:N743"/>
    <mergeCell ref="O745:S745"/>
    <mergeCell ref="Y739:AB739"/>
    <mergeCell ref="AH740:AL740"/>
    <mergeCell ref="AM747:AO747"/>
    <mergeCell ref="AM748:AO748"/>
    <mergeCell ref="AM746:AO746"/>
    <mergeCell ref="O790:S790"/>
    <mergeCell ref="T742:X742"/>
    <mergeCell ref="T743:X743"/>
    <mergeCell ref="T744:X744"/>
    <mergeCell ref="J787:N787"/>
    <mergeCell ref="T745:X745"/>
    <mergeCell ref="T746:X746"/>
    <mergeCell ref="AH750:AL750"/>
    <mergeCell ref="AH751:AL751"/>
    <mergeCell ref="O740:S740"/>
    <mergeCell ref="O741:S741"/>
    <mergeCell ref="O742:S742"/>
    <mergeCell ref="J788:N788"/>
    <mergeCell ref="O788:S788"/>
    <mergeCell ref="X789:AB789"/>
    <mergeCell ref="X790:AB790"/>
    <mergeCell ref="AH748:AL748"/>
    <mergeCell ref="AM740:AO740"/>
    <mergeCell ref="X788:AB788"/>
    <mergeCell ref="Y747:AB747"/>
    <mergeCell ref="AC744:AG744"/>
    <mergeCell ref="O744:S744"/>
    <mergeCell ref="X791:AB791"/>
    <mergeCell ref="G745:J745"/>
    <mergeCell ref="O787:S787"/>
    <mergeCell ref="T790:W790"/>
    <mergeCell ref="T791:W791"/>
    <mergeCell ref="G746:J746"/>
    <mergeCell ref="G740:J740"/>
    <mergeCell ref="B753:F753"/>
    <mergeCell ref="U823:X823"/>
    <mergeCell ref="Q825:T825"/>
    <mergeCell ref="U825:X825"/>
    <mergeCell ref="O776:S776"/>
    <mergeCell ref="Y824:AB824"/>
    <mergeCell ref="K750:N750"/>
    <mergeCell ref="B744:F744"/>
    <mergeCell ref="B746:F746"/>
    <mergeCell ref="Y744:AB744"/>
    <mergeCell ref="Y745:AB745"/>
    <mergeCell ref="B747:F747"/>
    <mergeCell ref="B745:F745"/>
    <mergeCell ref="T794:W794"/>
    <mergeCell ref="B740:F740"/>
    <mergeCell ref="J793:N793"/>
    <mergeCell ref="K748:N748"/>
    <mergeCell ref="K749:N749"/>
    <mergeCell ref="G748:J748"/>
    <mergeCell ref="Z812:AE812"/>
    <mergeCell ref="T741:X741"/>
    <mergeCell ref="AC776:AG776"/>
    <mergeCell ref="B743:F743"/>
    <mergeCell ref="O751:S751"/>
    <mergeCell ref="O752:S752"/>
    <mergeCell ref="AC825:AF825"/>
    <mergeCell ref="B748:F748"/>
    <mergeCell ref="J791:N791"/>
    <mergeCell ref="AC796:AG796"/>
    <mergeCell ref="AC786:AG786"/>
    <mergeCell ref="AC787:AG787"/>
    <mergeCell ref="O743:S743"/>
    <mergeCell ref="X776:AB776"/>
    <mergeCell ref="X768:AB771"/>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G747:J747"/>
    <mergeCell ref="M828:P82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J975:AQ975"/>
    <mergeCell ref="AJ972:AQ972"/>
    <mergeCell ref="AJ973:AQ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AB968:AI968"/>
    <mergeCell ref="AB969:AI969"/>
    <mergeCell ref="AB970:AI970"/>
    <mergeCell ref="AB971:AI971"/>
    <mergeCell ref="AB972:AI972"/>
    <mergeCell ref="AB973:AI973"/>
    <mergeCell ref="M946:S946"/>
    <mergeCell ref="AB974:AI974"/>
    <mergeCell ref="O643:Q643"/>
    <mergeCell ref="O644:Q64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C652:EG652"/>
    <mergeCell ref="EC651:EG651"/>
    <mergeCell ref="EM653:EQ65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55:EG655"/>
    <mergeCell ref="EH655:EL655"/>
    <mergeCell ref="EM655:EQ655"/>
    <mergeCell ref="ER655:EV655"/>
    <mergeCell ref="DX633:EB633"/>
    <mergeCell ref="ER652:EV652"/>
    <mergeCell ref="EW652:FA652"/>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DX646:EB646"/>
    <mergeCell ref="EC646:EG646"/>
    <mergeCell ref="EH646:EL646"/>
    <mergeCell ref="EM646:EQ646"/>
    <mergeCell ref="DX640:EB640"/>
    <mergeCell ref="EC640:EG640"/>
    <mergeCell ref="EH640:EL640"/>
    <mergeCell ref="EM640:EQ640"/>
    <mergeCell ref="EH650:EL650"/>
    <mergeCell ref="ER645:EV645"/>
    <mergeCell ref="EW645:FA645"/>
    <mergeCell ref="DX642:EB642"/>
    <mergeCell ref="EC642:EG642"/>
    <mergeCell ref="EH642:EL642"/>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CS634:CW634"/>
    <mergeCell ref="CX634:DB634"/>
    <mergeCell ref="EM650:EQ650"/>
    <mergeCell ref="DX651:EB651"/>
    <mergeCell ref="CX649:DB649"/>
    <mergeCell ref="DC649:DG649"/>
    <mergeCell ref="R637:T637"/>
    <mergeCell ref="R638:T638"/>
    <mergeCell ref="R639:T639"/>
    <mergeCell ref="R647:T647"/>
    <mergeCell ref="R648:T648"/>
    <mergeCell ref="X638:AB638"/>
    <mergeCell ref="AC639:AE639"/>
    <mergeCell ref="EH653:EL653"/>
    <mergeCell ref="AK638:AN638"/>
    <mergeCell ref="AF638:AJ638"/>
    <mergeCell ref="AO642:AS642"/>
    <mergeCell ref="U637:W637"/>
    <mergeCell ref="U638:W638"/>
    <mergeCell ref="U639:W639"/>
    <mergeCell ref="CH649:CL649"/>
    <mergeCell ref="BS650:BW650"/>
    <mergeCell ref="BN648:BR648"/>
    <mergeCell ref="BN641:BR641"/>
    <mergeCell ref="EM642:EQ642"/>
    <mergeCell ref="DX638:EB638"/>
    <mergeCell ref="EC638:EG638"/>
    <mergeCell ref="EH638:EL638"/>
    <mergeCell ref="EM638:EQ638"/>
    <mergeCell ref="AO638:AS638"/>
    <mergeCell ref="AO641:AS641"/>
    <mergeCell ref="AO648:AS648"/>
    <mergeCell ref="AO639:AS639"/>
    <mergeCell ref="BX640:CB640"/>
    <mergeCell ref="CH640:CL640"/>
    <mergeCell ref="U648:W648"/>
    <mergeCell ref="AO649:AS649"/>
    <mergeCell ref="X637:AB637"/>
    <mergeCell ref="AF639:AJ639"/>
    <mergeCell ref="AC646:AE646"/>
    <mergeCell ref="AC647:AE647"/>
    <mergeCell ref="AC648:AE648"/>
    <mergeCell ref="X645:AB645"/>
    <mergeCell ref="AO640:AS640"/>
    <mergeCell ref="AO644:AS644"/>
    <mergeCell ref="AC641:AE641"/>
    <mergeCell ref="CS653:CW653"/>
    <mergeCell ref="CX653:DB653"/>
    <mergeCell ref="DC653:DG653"/>
    <mergeCell ref="DH653:DL653"/>
    <mergeCell ref="DM653:DQ653"/>
    <mergeCell ref="DR653:DV653"/>
    <mergeCell ref="AH792:AL792"/>
    <mergeCell ref="AH793:AL793"/>
    <mergeCell ref="AH794:AL794"/>
    <mergeCell ref="AH795:AL795"/>
    <mergeCell ref="DX655:EB655"/>
    <mergeCell ref="AM744:AO744"/>
    <mergeCell ref="DH649:DL649"/>
    <mergeCell ref="DM649:DQ649"/>
    <mergeCell ref="DR649:DV649"/>
    <mergeCell ref="CS652:CW652"/>
    <mergeCell ref="CX652:DB652"/>
    <mergeCell ref="DC652:DG652"/>
    <mergeCell ref="DH652:DL652"/>
    <mergeCell ref="DM652:DQ652"/>
    <mergeCell ref="DR652:DV652"/>
    <mergeCell ref="CS654:CW654"/>
    <mergeCell ref="CX654:DB654"/>
    <mergeCell ref="DC654:DG654"/>
    <mergeCell ref="DH654:DL654"/>
    <mergeCell ref="DM654:DQ654"/>
    <mergeCell ref="DR660:DV660"/>
    <mergeCell ref="CS658:CW658"/>
    <mergeCell ref="CX658:DB658"/>
    <mergeCell ref="CH658:CL658"/>
    <mergeCell ref="CM658:CQ658"/>
    <mergeCell ref="BX656:CB656"/>
    <mergeCell ref="G621:R621"/>
    <mergeCell ref="H600:R600"/>
    <mergeCell ref="DR635:DV63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M663:CQ663"/>
    <mergeCell ref="CM652:CQ652"/>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DR654:DV654"/>
    <mergeCell ref="G619:R619"/>
    <mergeCell ref="AF646:AJ646"/>
    <mergeCell ref="AF647:AJ647"/>
    <mergeCell ref="AF648:AJ648"/>
    <mergeCell ref="AK634:AN636"/>
    <mergeCell ref="AK637:AN637"/>
    <mergeCell ref="U634:W636"/>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U643:W643"/>
    <mergeCell ref="U644:W644"/>
    <mergeCell ref="U645:W645"/>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8" zoomScale="90" zoomScaleNormal="100" zoomScaleSheetLayoutView="90" workbookViewId="0">
      <selection activeCell="A85" sqref="A85:XFD8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79" t="s">
        <v>658</v>
      </c>
      <c r="G1" s="2580"/>
      <c r="H1" s="2580"/>
      <c r="I1" s="2580"/>
      <c r="J1" s="2580"/>
      <c r="K1" s="2580"/>
      <c r="L1" s="2580"/>
      <c r="M1" s="2580"/>
      <c r="N1" s="2580"/>
      <c r="O1" s="2580"/>
      <c r="P1" s="2580"/>
      <c r="Q1" s="2580"/>
      <c r="R1" s="2581"/>
      <c r="S1" s="168"/>
      <c r="T1" s="167"/>
      <c r="U1" s="169"/>
    </row>
    <row r="2" spans="1:21" s="208" customFormat="1" ht="71.25" customHeight="1">
      <c r="A2" s="207"/>
      <c r="B2" s="208" t="s">
        <v>24</v>
      </c>
      <c r="C2" s="208" t="s">
        <v>394</v>
      </c>
      <c r="D2" s="208" t="s">
        <v>393</v>
      </c>
      <c r="E2" s="208" t="s">
        <v>25</v>
      </c>
      <c r="F2" s="209" t="str">
        <f>Application!B637&amp;Application!C637</f>
        <v>1)Citi Community Capital - Perm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217">
        <v>3000000</v>
      </c>
      <c r="D4" s="217"/>
      <c r="E4" s="217">
        <f>C4</f>
        <v>3000000</v>
      </c>
      <c r="F4" s="217"/>
      <c r="G4" s="217"/>
      <c r="H4" s="217"/>
      <c r="I4" s="217"/>
      <c r="J4" s="217"/>
      <c r="K4" s="217"/>
      <c r="L4" s="217"/>
      <c r="M4" s="217"/>
      <c r="N4" s="217"/>
      <c r="O4" s="217"/>
      <c r="P4" s="217"/>
      <c r="Q4" s="217"/>
      <c r="R4" s="881">
        <f>SUM(E4:Q4)</f>
        <v>3000000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60000</v>
      </c>
      <c r="C6" s="217">
        <v>60000</v>
      </c>
      <c r="D6" s="217"/>
      <c r="E6" s="217">
        <f>C6</f>
        <v>60000</v>
      </c>
      <c r="F6" s="217"/>
      <c r="G6" s="217"/>
      <c r="H6" s="217"/>
      <c r="I6" s="217"/>
      <c r="J6" s="217"/>
      <c r="K6" s="217"/>
      <c r="L6" s="217"/>
      <c r="M6" s="217"/>
      <c r="N6" s="217"/>
      <c r="O6" s="217"/>
      <c r="P6" s="217"/>
      <c r="Q6" s="217"/>
      <c r="R6" s="881">
        <f>SUM(E6:Q6)</f>
        <v>60000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3060000</v>
      </c>
      <c r="C8" s="216">
        <f t="shared" ref="C8:Q8" si="0">SUM(C4:C7)</f>
        <v>3060000</v>
      </c>
      <c r="D8" s="216">
        <f t="shared" si="0"/>
        <v>0</v>
      </c>
      <c r="E8" s="216">
        <f t="shared" si="0"/>
        <v>3060000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3060000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3060000</v>
      </c>
      <c r="C12" s="216">
        <f t="shared" si="2"/>
        <v>3060000</v>
      </c>
      <c r="D12" s="216">
        <f t="shared" si="2"/>
        <v>0</v>
      </c>
      <c r="E12" s="216">
        <f t="shared" si="2"/>
        <v>3060000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3060000</v>
      </c>
      <c r="S12" s="218"/>
      <c r="T12" s="218"/>
      <c r="U12" s="213"/>
    </row>
    <row r="13" spans="1:21" s="214" customFormat="1">
      <c r="A13" s="450" t="s">
        <v>975</v>
      </c>
      <c r="B13" s="216">
        <f>SUM(C13+D13)</f>
        <v>172392</v>
      </c>
      <c r="C13" s="217">
        <v>172392</v>
      </c>
      <c r="D13" s="217"/>
      <c r="E13" s="217">
        <f>C13</f>
        <v>172392</v>
      </c>
      <c r="F13" s="217"/>
      <c r="G13" s="217"/>
      <c r="H13" s="217"/>
      <c r="I13" s="217"/>
      <c r="J13" s="217"/>
      <c r="K13" s="217"/>
      <c r="L13" s="217"/>
      <c r="M13" s="217"/>
      <c r="N13" s="217"/>
      <c r="O13" s="217"/>
      <c r="P13" s="217"/>
      <c r="Q13" s="217"/>
      <c r="R13" s="881">
        <f>SUM(E13:Q13)</f>
        <v>172392</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1500000</v>
      </c>
      <c r="C29" s="217">
        <v>1500000</v>
      </c>
      <c r="D29" s="217"/>
      <c r="E29" s="217">
        <f>C29</f>
        <v>1500000</v>
      </c>
      <c r="F29" s="217"/>
      <c r="G29" s="217"/>
      <c r="H29" s="217"/>
      <c r="I29" s="217"/>
      <c r="J29" s="217"/>
      <c r="K29" s="217"/>
      <c r="L29" s="217"/>
      <c r="M29" s="217"/>
      <c r="N29" s="217"/>
      <c r="O29" s="217"/>
      <c r="P29" s="217"/>
      <c r="Q29" s="217"/>
      <c r="R29" s="881">
        <f t="shared" ref="R29:R37" si="7">SUM(E29:Q29)</f>
        <v>1500000</v>
      </c>
      <c r="S29" s="217">
        <f>C29</f>
        <v>1500000</v>
      </c>
      <c r="T29" s="217"/>
      <c r="U29" s="213"/>
    </row>
    <row r="30" spans="1:21" s="214" customFormat="1">
      <c r="A30" s="215" t="s">
        <v>636</v>
      </c>
      <c r="B30" s="216">
        <f t="shared" si="6"/>
        <v>37981025</v>
      </c>
      <c r="C30" s="217">
        <f>34400000+3581025</f>
        <v>37981025</v>
      </c>
      <c r="D30" s="217"/>
      <c r="E30" s="217">
        <f>C30-F30</f>
        <v>8188310</v>
      </c>
      <c r="F30" s="217">
        <f>F108</f>
        <v>29792715</v>
      </c>
      <c r="G30" s="217"/>
      <c r="H30" s="217"/>
      <c r="I30" s="217"/>
      <c r="J30" s="217"/>
      <c r="K30" s="217"/>
      <c r="L30" s="217"/>
      <c r="M30" s="217"/>
      <c r="N30" s="217"/>
      <c r="O30" s="217"/>
      <c r="P30" s="217"/>
      <c r="Q30" s="217"/>
      <c r="R30" s="881">
        <f t="shared" si="7"/>
        <v>37981025</v>
      </c>
      <c r="S30" s="217">
        <f>C30</f>
        <v>37981025</v>
      </c>
      <c r="T30" s="217"/>
      <c r="U30" s="213"/>
    </row>
    <row r="31" spans="1:21" s="214" customFormat="1">
      <c r="A31" s="215" t="s">
        <v>637</v>
      </c>
      <c r="B31" s="216">
        <f t="shared" si="6"/>
        <v>0</v>
      </c>
      <c r="C31" s="217"/>
      <c r="D31" s="217"/>
      <c r="E31" s="217"/>
      <c r="F31" s="217"/>
      <c r="G31" s="217"/>
      <c r="H31" s="217"/>
      <c r="I31" s="217"/>
      <c r="J31" s="217"/>
      <c r="K31" s="217"/>
      <c r="L31" s="217"/>
      <c r="M31" s="217"/>
      <c r="N31" s="217"/>
      <c r="O31" s="217"/>
      <c r="P31" s="217"/>
      <c r="Q31" s="217"/>
      <c r="R31" s="881">
        <f t="shared" si="7"/>
        <v>0</v>
      </c>
      <c r="S31" s="217"/>
      <c r="T31" s="217"/>
      <c r="U31" s="213"/>
    </row>
    <row r="32" spans="1:21" s="214" customFormat="1">
      <c r="A32" s="215" t="s">
        <v>142</v>
      </c>
      <c r="B32" s="216">
        <f t="shared" si="6"/>
        <v>2872000</v>
      </c>
      <c r="C32" s="217">
        <v>2872000</v>
      </c>
      <c r="D32" s="217"/>
      <c r="E32" s="217">
        <f>C32</f>
        <v>2872000</v>
      </c>
      <c r="F32" s="217"/>
      <c r="G32" s="217"/>
      <c r="H32" s="217"/>
      <c r="I32" s="217"/>
      <c r="J32" s="217"/>
      <c r="K32" s="217"/>
      <c r="L32" s="217"/>
      <c r="M32" s="217"/>
      <c r="N32" s="217"/>
      <c r="O32" s="217"/>
      <c r="P32" s="217"/>
      <c r="Q32" s="217"/>
      <c r="R32" s="881">
        <f t="shared" si="7"/>
        <v>2872000</v>
      </c>
      <c r="S32" s="217">
        <f>C32</f>
        <v>2872000</v>
      </c>
      <c r="T32" s="217"/>
      <c r="U32" s="213"/>
    </row>
    <row r="33" spans="1:21" s="214" customFormat="1">
      <c r="A33" s="215" t="s">
        <v>143</v>
      </c>
      <c r="B33" s="216">
        <f t="shared" si="6"/>
        <v>2154000</v>
      </c>
      <c r="C33" s="217">
        <v>2154000</v>
      </c>
      <c r="D33" s="217"/>
      <c r="E33" s="217">
        <f>C33</f>
        <v>2154000</v>
      </c>
      <c r="F33" s="217"/>
      <c r="G33" s="217"/>
      <c r="H33" s="217"/>
      <c r="I33" s="217"/>
      <c r="J33" s="217"/>
      <c r="K33" s="217"/>
      <c r="L33" s="217"/>
      <c r="M33" s="217"/>
      <c r="N33" s="217"/>
      <c r="O33" s="217"/>
      <c r="P33" s="217"/>
      <c r="Q33" s="217"/>
      <c r="R33" s="881">
        <f t="shared" si="7"/>
        <v>2154000</v>
      </c>
      <c r="S33" s="217">
        <f>C33</f>
        <v>2154000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44507025</v>
      </c>
      <c r="C38" s="216">
        <f>SUM(C29:C37)</f>
        <v>44507025</v>
      </c>
      <c r="D38" s="216">
        <f t="shared" ref="D38:Q38" si="8">SUM(D29:D37)</f>
        <v>0</v>
      </c>
      <c r="E38" s="216">
        <f t="shared" si="8"/>
        <v>14714310</v>
      </c>
      <c r="F38" s="216">
        <f t="shared" si="8"/>
        <v>29792715</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44507025</v>
      </c>
      <c r="S38" s="220">
        <f>SUM(S29:S37)</f>
        <v>44507025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777000</v>
      </c>
      <c r="C40" s="217">
        <f>457000+75000+25000+25000+155000+40000</f>
        <v>777000</v>
      </c>
      <c r="D40" s="217"/>
      <c r="E40" s="217">
        <f>C40</f>
        <v>777000</v>
      </c>
      <c r="F40" s="217"/>
      <c r="G40" s="217"/>
      <c r="H40" s="217"/>
      <c r="I40" s="217"/>
      <c r="J40" s="217"/>
      <c r="K40" s="217"/>
      <c r="L40" s="217"/>
      <c r="M40" s="217"/>
      <c r="N40" s="217"/>
      <c r="O40" s="217"/>
      <c r="P40" s="217"/>
      <c r="Q40" s="217"/>
      <c r="R40" s="881">
        <f>SUM(E40:Q40)</f>
        <v>777000</v>
      </c>
      <c r="S40" s="217">
        <f>C40</f>
        <v>777000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777000</v>
      </c>
      <c r="C42" s="216">
        <f>SUM(C39:C41)</f>
        <v>777000</v>
      </c>
      <c r="D42" s="216">
        <f>SUM(D39:D41)</f>
        <v>0</v>
      </c>
      <c r="E42" s="216">
        <f t="shared" ref="E42:T42" si="9">SUM(E40:E41)</f>
        <v>777000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777000</v>
      </c>
      <c r="S42" s="220">
        <f t="shared" si="9"/>
        <v>777000</v>
      </c>
      <c r="T42" s="220">
        <f t="shared" si="9"/>
        <v>0</v>
      </c>
      <c r="U42" s="213"/>
    </row>
    <row r="43" spans="1:21" s="214" customFormat="1">
      <c r="A43" s="219" t="s">
        <v>153</v>
      </c>
      <c r="B43" s="216">
        <f>SUM(C43:D43)</f>
        <v>200000</v>
      </c>
      <c r="C43" s="217">
        <v>200000</v>
      </c>
      <c r="D43" s="217"/>
      <c r="E43" s="217">
        <f>C43</f>
        <v>200000</v>
      </c>
      <c r="F43" s="217"/>
      <c r="G43" s="217"/>
      <c r="H43" s="217"/>
      <c r="I43" s="217"/>
      <c r="J43" s="217"/>
      <c r="K43" s="217"/>
      <c r="L43" s="217"/>
      <c r="M43" s="217"/>
      <c r="N43" s="217"/>
      <c r="O43" s="217"/>
      <c r="P43" s="217"/>
      <c r="Q43" s="217"/>
      <c r="R43" s="881">
        <f>SUM(E43:Q43)</f>
        <v>200000</v>
      </c>
      <c r="S43" s="217">
        <f>C43</f>
        <v>200000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3330000</v>
      </c>
      <c r="C45" s="217">
        <v>3330000</v>
      </c>
      <c r="D45" s="217"/>
      <c r="E45" s="217">
        <f>C45</f>
        <v>3330000</v>
      </c>
      <c r="F45" s="217"/>
      <c r="G45" s="217"/>
      <c r="H45" s="217"/>
      <c r="I45" s="217"/>
      <c r="J45" s="217"/>
      <c r="K45" s="217"/>
      <c r="L45" s="217"/>
      <c r="M45" s="217"/>
      <c r="N45" s="217"/>
      <c r="O45" s="217"/>
      <c r="P45" s="217"/>
      <c r="Q45" s="217"/>
      <c r="R45" s="881">
        <f t="shared" ref="R45:R53" si="11">SUM(E45:Q45)</f>
        <v>3330000</v>
      </c>
      <c r="S45" s="217">
        <f>1998000+100000+155000</f>
        <v>2253000</v>
      </c>
      <c r="T45" s="217"/>
      <c r="U45" s="213"/>
    </row>
    <row r="46" spans="1:21" s="214" customFormat="1">
      <c r="A46" s="215" t="s">
        <v>156</v>
      </c>
      <c r="B46" s="216">
        <f t="shared" si="10"/>
        <v>541000</v>
      </c>
      <c r="C46" s="217">
        <v>541000</v>
      </c>
      <c r="D46" s="217"/>
      <c r="E46" s="217">
        <f>C46</f>
        <v>541000</v>
      </c>
      <c r="F46" s="217"/>
      <c r="G46" s="217"/>
      <c r="H46" s="217"/>
      <c r="I46" s="217"/>
      <c r="J46" s="217"/>
      <c r="K46" s="217"/>
      <c r="L46" s="217"/>
      <c r="M46" s="217"/>
      <c r="N46" s="217"/>
      <c r="O46" s="217"/>
      <c r="P46" s="217"/>
      <c r="Q46" s="217"/>
      <c r="R46" s="881">
        <f t="shared" si="11"/>
        <v>541000</v>
      </c>
      <c r="S46" s="217">
        <v>270500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189080</v>
      </c>
      <c r="C48" s="217">
        <v>189080</v>
      </c>
      <c r="D48" s="217"/>
      <c r="E48" s="217">
        <f>C48</f>
        <v>189080</v>
      </c>
      <c r="F48" s="217"/>
      <c r="G48" s="217"/>
      <c r="H48" s="217"/>
      <c r="I48" s="217"/>
      <c r="J48" s="217"/>
      <c r="K48" s="217"/>
      <c r="L48" s="217"/>
      <c r="M48" s="217"/>
      <c r="N48" s="217"/>
      <c r="O48" s="217"/>
      <c r="P48" s="217"/>
      <c r="Q48" s="217"/>
      <c r="R48" s="881">
        <f t="shared" si="11"/>
        <v>189080</v>
      </c>
      <c r="S48" s="217">
        <f>C48</f>
        <v>189080</v>
      </c>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81">
        <f t="shared" si="11"/>
        <v>0</v>
      </c>
      <c r="S49" s="217"/>
      <c r="T49" s="217"/>
      <c r="U49" s="213"/>
    </row>
    <row r="50" spans="1:21" s="214" customFormat="1">
      <c r="A50" s="215" t="s">
        <v>161</v>
      </c>
      <c r="B50" s="216">
        <f t="shared" si="10"/>
        <v>0</v>
      </c>
      <c r="C50" s="217"/>
      <c r="D50" s="217"/>
      <c r="E50" s="217"/>
      <c r="F50" s="217"/>
      <c r="G50" s="217"/>
      <c r="H50" s="217"/>
      <c r="I50" s="217"/>
      <c r="J50" s="217"/>
      <c r="K50" s="217"/>
      <c r="L50" s="217"/>
      <c r="M50" s="217"/>
      <c r="N50" s="217"/>
      <c r="O50" s="217"/>
      <c r="P50" s="217"/>
      <c r="Q50" s="217"/>
      <c r="R50" s="881">
        <f t="shared" si="11"/>
        <v>0</v>
      </c>
      <c r="S50" s="217"/>
      <c r="T50" s="217"/>
      <c r="U50" s="213"/>
    </row>
    <row r="51" spans="1:21" s="214" customFormat="1">
      <c r="A51" s="441" t="s">
        <v>159</v>
      </c>
      <c r="B51" s="216">
        <f t="shared" si="10"/>
        <v>70000</v>
      </c>
      <c r="C51" s="217">
        <v>70000</v>
      </c>
      <c r="D51" s="217"/>
      <c r="E51" s="217">
        <f>C51</f>
        <v>70000</v>
      </c>
      <c r="F51" s="217"/>
      <c r="G51" s="217"/>
      <c r="H51" s="217"/>
      <c r="I51" s="217"/>
      <c r="J51" s="217"/>
      <c r="K51" s="217"/>
      <c r="L51" s="217"/>
      <c r="M51" s="217"/>
      <c r="N51" s="217"/>
      <c r="O51" s="217"/>
      <c r="P51" s="217"/>
      <c r="Q51" s="217"/>
      <c r="R51" s="881">
        <f t="shared" si="11"/>
        <v>70000</v>
      </c>
      <c r="S51" s="217">
        <f>C51</f>
        <v>70000</v>
      </c>
      <c r="T51" s="217"/>
      <c r="U51" s="213"/>
    </row>
    <row r="52" spans="1:21" s="214" customFormat="1">
      <c r="A52" s="215" t="s">
        <v>160</v>
      </c>
      <c r="B52" s="216">
        <f t="shared" si="10"/>
        <v>667605</v>
      </c>
      <c r="C52" s="217">
        <f>667605</f>
        <v>667605</v>
      </c>
      <c r="D52" s="217"/>
      <c r="E52" s="217">
        <f t="shared" ref="E52:E53" si="12">C52</f>
        <v>667605</v>
      </c>
      <c r="F52" s="217"/>
      <c r="G52" s="217"/>
      <c r="H52" s="217"/>
      <c r="I52" s="217"/>
      <c r="J52" s="217"/>
      <c r="K52" s="217"/>
      <c r="L52" s="217"/>
      <c r="M52" s="217"/>
      <c r="N52" s="217"/>
      <c r="O52" s="217"/>
      <c r="P52" s="217"/>
      <c r="Q52" s="217"/>
      <c r="R52" s="881">
        <f t="shared" si="11"/>
        <v>667605</v>
      </c>
      <c r="S52" s="217">
        <f>C52</f>
        <v>667605</v>
      </c>
      <c r="T52" s="217"/>
      <c r="U52" s="213"/>
    </row>
    <row r="53" spans="1:21" s="214" customFormat="1">
      <c r="A53" s="1846" t="s">
        <v>2574</v>
      </c>
      <c r="B53" s="216">
        <f t="shared" si="10"/>
        <v>50000</v>
      </c>
      <c r="C53" s="217">
        <v>50000</v>
      </c>
      <c r="D53" s="217"/>
      <c r="E53" s="217">
        <f t="shared" si="12"/>
        <v>50000</v>
      </c>
      <c r="F53" s="217"/>
      <c r="G53" s="217"/>
      <c r="H53" s="217"/>
      <c r="I53" s="217"/>
      <c r="J53" s="217"/>
      <c r="K53" s="217"/>
      <c r="L53" s="217"/>
      <c r="M53" s="217"/>
      <c r="N53" s="217"/>
      <c r="O53" s="217"/>
      <c r="P53" s="217"/>
      <c r="Q53" s="217"/>
      <c r="R53" s="881">
        <f t="shared" si="11"/>
        <v>50000</v>
      </c>
      <c r="S53" s="217">
        <f>C53</f>
        <v>50000</v>
      </c>
      <c r="T53" s="217"/>
      <c r="U53" s="213"/>
    </row>
    <row r="54" spans="1:21" s="224" customFormat="1">
      <c r="A54" s="219" t="s">
        <v>162</v>
      </c>
      <c r="B54" s="220">
        <f>SUM(C54:D54)</f>
        <v>4847685</v>
      </c>
      <c r="C54" s="220">
        <f t="shared" ref="C54:T54" si="13">SUM(C45:C53)</f>
        <v>4847685</v>
      </c>
      <c r="D54" s="220">
        <f t="shared" si="13"/>
        <v>0</v>
      </c>
      <c r="E54" s="220">
        <f t="shared" si="13"/>
        <v>4847685</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5">
        <f t="shared" si="13"/>
        <v>4847685</v>
      </c>
      <c r="S54" s="220">
        <f t="shared" si="13"/>
        <v>3500185</v>
      </c>
      <c r="T54" s="220">
        <f t="shared" si="13"/>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549000</v>
      </c>
      <c r="C56" s="217">
        <f>449000+100000</f>
        <v>549000</v>
      </c>
      <c r="D56" s="217"/>
      <c r="E56" s="217">
        <f>C56</f>
        <v>549000</v>
      </c>
      <c r="F56" s="217"/>
      <c r="G56" s="217"/>
      <c r="H56" s="217"/>
      <c r="I56" s="217"/>
      <c r="J56" s="217"/>
      <c r="K56" s="217"/>
      <c r="L56" s="217"/>
      <c r="M56" s="217"/>
      <c r="N56" s="217"/>
      <c r="O56" s="217"/>
      <c r="P56" s="217"/>
      <c r="Q56" s="217"/>
      <c r="R56" s="881">
        <f t="shared" ref="R56:R61" si="15">SUM(E56:Q56)</f>
        <v>549000</v>
      </c>
      <c r="S56" s="218"/>
      <c r="T56" s="218"/>
      <c r="U56" s="213"/>
    </row>
    <row r="57" spans="1:21" s="304" customFormat="1">
      <c r="A57" s="298" t="s">
        <v>157</v>
      </c>
      <c r="B57" s="305">
        <f t="shared" si="14"/>
        <v>0</v>
      </c>
      <c r="C57" s="302"/>
      <c r="D57" s="302"/>
      <c r="E57" s="302"/>
      <c r="F57" s="302"/>
      <c r="G57" s="302"/>
      <c r="H57" s="302"/>
      <c r="I57" s="302"/>
      <c r="J57" s="302"/>
      <c r="K57" s="302"/>
      <c r="L57" s="302"/>
      <c r="M57" s="302"/>
      <c r="N57" s="302"/>
      <c r="O57" s="302"/>
      <c r="P57" s="302"/>
      <c r="Q57" s="302"/>
      <c r="R57" s="881">
        <f t="shared" si="15"/>
        <v>0</v>
      </c>
      <c r="S57" s="306"/>
      <c r="T57" s="306"/>
      <c r="U57" s="303"/>
    </row>
    <row r="58" spans="1:21" s="214" customFormat="1">
      <c r="A58" s="215" t="s">
        <v>161</v>
      </c>
      <c r="B58" s="216">
        <f t="shared" si="14"/>
        <v>30000</v>
      </c>
      <c r="C58" s="217">
        <v>30000</v>
      </c>
      <c r="D58" s="217"/>
      <c r="E58" s="217">
        <f>C58</f>
        <v>30000</v>
      </c>
      <c r="F58" s="217"/>
      <c r="G58" s="217"/>
      <c r="H58" s="217"/>
      <c r="I58" s="217"/>
      <c r="J58" s="217"/>
      <c r="K58" s="217"/>
      <c r="L58" s="217"/>
      <c r="M58" s="217"/>
      <c r="N58" s="217"/>
      <c r="O58" s="217"/>
      <c r="P58" s="217"/>
      <c r="Q58" s="217"/>
      <c r="R58" s="881">
        <f t="shared" si="15"/>
        <v>30000</v>
      </c>
      <c r="S58" s="218"/>
      <c r="T58" s="218"/>
      <c r="U58" s="213"/>
    </row>
    <row r="59" spans="1:21" s="214" customFormat="1">
      <c r="A59" s="441" t="s">
        <v>159</v>
      </c>
      <c r="B59" s="216">
        <f t="shared" si="14"/>
        <v>0</v>
      </c>
      <c r="C59" s="217"/>
      <c r="D59" s="217"/>
      <c r="E59" s="217"/>
      <c r="F59" s="217"/>
      <c r="G59" s="217"/>
      <c r="H59" s="217"/>
      <c r="I59" s="217"/>
      <c r="J59" s="217"/>
      <c r="K59" s="217"/>
      <c r="L59" s="217"/>
      <c r="M59" s="217"/>
      <c r="N59" s="217"/>
      <c r="O59" s="217"/>
      <c r="P59" s="217"/>
      <c r="Q59" s="217"/>
      <c r="R59" s="881">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81">
        <f t="shared" si="15"/>
        <v>0</v>
      </c>
      <c r="S60" s="218"/>
      <c r="T60" s="218"/>
      <c r="U60" s="213"/>
    </row>
    <row r="61" spans="1:21" s="214" customFormat="1">
      <c r="A61" s="1846" t="s">
        <v>2575</v>
      </c>
      <c r="B61" s="216">
        <f t="shared" si="14"/>
        <v>35000</v>
      </c>
      <c r="C61" s="217">
        <v>35000</v>
      </c>
      <c r="D61" s="217"/>
      <c r="E61" s="217">
        <f>C61</f>
        <v>35000</v>
      </c>
      <c r="F61" s="217"/>
      <c r="G61" s="217"/>
      <c r="H61" s="217"/>
      <c r="I61" s="217"/>
      <c r="J61" s="217"/>
      <c r="K61" s="217"/>
      <c r="L61" s="217"/>
      <c r="M61" s="217"/>
      <c r="N61" s="217"/>
      <c r="O61" s="217"/>
      <c r="P61" s="217"/>
      <c r="Q61" s="217"/>
      <c r="R61" s="881">
        <f t="shared" si="15"/>
        <v>35000</v>
      </c>
      <c r="S61" s="218"/>
      <c r="T61" s="218"/>
      <c r="U61" s="213"/>
    </row>
    <row r="62" spans="1:21" s="214" customFormat="1" ht="13.7" customHeight="1">
      <c r="A62" s="219" t="s">
        <v>311</v>
      </c>
      <c r="B62" s="216">
        <f>SUM(C62:D62)</f>
        <v>614000</v>
      </c>
      <c r="C62" s="216">
        <f t="shared" ref="C62:R62" si="16">SUM(C56:C61)</f>
        <v>614000</v>
      </c>
      <c r="D62" s="216">
        <f t="shared" si="16"/>
        <v>0</v>
      </c>
      <c r="E62" s="216">
        <f t="shared" si="16"/>
        <v>614000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5">
        <f t="shared" si="16"/>
        <v>614000</v>
      </c>
      <c r="S62" s="218"/>
      <c r="T62" s="218"/>
      <c r="U62" s="213"/>
    </row>
    <row r="63" spans="1:21" s="214" customFormat="1">
      <c r="A63" s="225" t="s">
        <v>312</v>
      </c>
      <c r="B63" s="216">
        <f t="shared" ref="B63:R63" si="17">SUM(B8+B11+B13+B14+B15+B26+B27+B38+B42+B43+B54+B62)</f>
        <v>54178102</v>
      </c>
      <c r="C63" s="216">
        <f t="shared" si="17"/>
        <v>54178102</v>
      </c>
      <c r="D63" s="216">
        <f t="shared" si="17"/>
        <v>0</v>
      </c>
      <c r="E63" s="216">
        <f t="shared" si="17"/>
        <v>24385387</v>
      </c>
      <c r="F63" s="216">
        <f t="shared" si="17"/>
        <v>29792715</v>
      </c>
      <c r="G63" s="216">
        <f t="shared" si="17"/>
        <v>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5">
        <f t="shared" si="17"/>
        <v>54178102</v>
      </c>
      <c r="S63" s="216">
        <f>SUM(S10+S13+S14+S15+S26+S27+S38+S42+S43+S54)</f>
        <v>48984210</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81">
        <f>SUM(E65:Q65)</f>
        <v>0</v>
      </c>
      <c r="S65" s="217"/>
      <c r="T65" s="217"/>
      <c r="U65" s="213"/>
    </row>
    <row r="66" spans="1:21" s="214" customFormat="1" ht="24" customHeight="1">
      <c r="A66" s="441" t="s">
        <v>2010</v>
      </c>
      <c r="B66" s="216"/>
      <c r="C66" s="217">
        <v>25000</v>
      </c>
      <c r="D66" s="217"/>
      <c r="E66" s="217">
        <f t="shared" ref="E66:E67" si="18">C66</f>
        <v>25000</v>
      </c>
      <c r="F66" s="217"/>
      <c r="G66" s="217"/>
      <c r="H66" s="217"/>
      <c r="I66" s="217"/>
      <c r="J66" s="217"/>
      <c r="K66" s="217"/>
      <c r="L66" s="217"/>
      <c r="M66" s="217"/>
      <c r="N66" s="217"/>
      <c r="O66" s="217"/>
      <c r="P66" s="217"/>
      <c r="Q66" s="217"/>
      <c r="R66" s="881">
        <f t="shared" ref="R66:R68" si="19">SUM(E66:Q66)</f>
        <v>25000</v>
      </c>
      <c r="S66" s="217">
        <f>C66</f>
        <v>25000</v>
      </c>
      <c r="T66" s="217"/>
      <c r="U66" s="213"/>
    </row>
    <row r="67" spans="1:21" s="214" customFormat="1" ht="24" customHeight="1">
      <c r="A67" s="441" t="s">
        <v>2011</v>
      </c>
      <c r="B67" s="216"/>
      <c r="C67" s="217">
        <v>41160</v>
      </c>
      <c r="D67" s="217"/>
      <c r="E67" s="217">
        <f t="shared" si="18"/>
        <v>41160</v>
      </c>
      <c r="F67" s="217"/>
      <c r="G67" s="217"/>
      <c r="H67" s="217"/>
      <c r="I67" s="217"/>
      <c r="J67" s="217"/>
      <c r="K67" s="217"/>
      <c r="L67" s="217"/>
      <c r="M67" s="217"/>
      <c r="N67" s="217"/>
      <c r="O67" s="217"/>
      <c r="P67" s="217"/>
      <c r="Q67" s="217"/>
      <c r="R67" s="881">
        <f t="shared" si="19"/>
        <v>41160</v>
      </c>
      <c r="S67" s="217">
        <f>C67</f>
        <v>41160</v>
      </c>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19"/>
        <v>0</v>
      </c>
      <c r="S68" s="217"/>
      <c r="T68" s="217"/>
      <c r="U68" s="213"/>
    </row>
    <row r="69" spans="1:21" s="214" customFormat="1">
      <c r="A69" s="1846" t="s">
        <v>2573</v>
      </c>
      <c r="B69" s="216">
        <f>SUM(C69+D69)</f>
        <v>210000</v>
      </c>
      <c r="C69" s="217">
        <f>60000+70000+80000</f>
        <v>210000</v>
      </c>
      <c r="D69" s="217"/>
      <c r="E69" s="217">
        <f>C69</f>
        <v>210000</v>
      </c>
      <c r="F69" s="217"/>
      <c r="G69" s="217"/>
      <c r="H69" s="217"/>
      <c r="I69" s="217"/>
      <c r="J69" s="217"/>
      <c r="K69" s="217"/>
      <c r="L69" s="217"/>
      <c r="M69" s="217"/>
      <c r="N69" s="217"/>
      <c r="O69" s="217"/>
      <c r="P69" s="217"/>
      <c r="Q69" s="217"/>
      <c r="R69" s="881">
        <f>SUM(E69:Q69)</f>
        <v>210000</v>
      </c>
      <c r="S69" s="217">
        <v>60000</v>
      </c>
      <c r="T69" s="217"/>
      <c r="U69" s="213"/>
    </row>
    <row r="70" spans="1:21" s="214" customFormat="1">
      <c r="A70" s="219" t="s">
        <v>2014</v>
      </c>
      <c r="B70" s="216">
        <f>SUM(C70:D70)</f>
        <v>276160</v>
      </c>
      <c r="C70" s="216">
        <f>SUM(C65:C69)</f>
        <v>276160</v>
      </c>
      <c r="D70" s="216">
        <f>SUM(D65:D69)</f>
        <v>0</v>
      </c>
      <c r="E70" s="216">
        <f t="shared" ref="E70:T70" si="20">SUM(E65:E69)</f>
        <v>276160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5">
        <f t="shared" si="20"/>
        <v>276160</v>
      </c>
      <c r="S70" s="220">
        <f t="shared" si="20"/>
        <v>126160</v>
      </c>
      <c r="T70" s="220">
        <f t="shared" si="20"/>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160000</v>
      </c>
      <c r="C72" s="217">
        <v>160000</v>
      </c>
      <c r="D72" s="217"/>
      <c r="E72" s="217">
        <f>C72</f>
        <v>160000</v>
      </c>
      <c r="F72" s="217"/>
      <c r="G72" s="217"/>
      <c r="H72" s="217"/>
      <c r="I72" s="217"/>
      <c r="J72" s="217"/>
      <c r="K72" s="217"/>
      <c r="L72" s="217"/>
      <c r="M72" s="217"/>
      <c r="N72" s="217"/>
      <c r="O72" s="217"/>
      <c r="P72" s="217"/>
      <c r="Q72" s="217"/>
      <c r="R72" s="881">
        <f>SUM(E72:Q72)</f>
        <v>160000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48000</v>
      </c>
      <c r="C74" s="217">
        <v>48000</v>
      </c>
      <c r="D74" s="217"/>
      <c r="E74" s="217">
        <f t="shared" ref="E74:E75" si="21">C74</f>
        <v>48000</v>
      </c>
      <c r="F74" s="217"/>
      <c r="G74" s="217"/>
      <c r="H74" s="217"/>
      <c r="I74" s="217"/>
      <c r="J74" s="217"/>
      <c r="K74" s="217"/>
      <c r="L74" s="217"/>
      <c r="M74" s="217"/>
      <c r="N74" s="217"/>
      <c r="O74" s="217"/>
      <c r="P74" s="217"/>
      <c r="Q74" s="217"/>
      <c r="R74" s="881">
        <f>SUM(E74:Q74)</f>
        <v>48000</v>
      </c>
      <c r="S74" s="218"/>
      <c r="T74" s="218"/>
      <c r="U74" s="213"/>
    </row>
    <row r="75" spans="1:21" s="214" customFormat="1">
      <c r="A75" s="215" t="s">
        <v>642</v>
      </c>
      <c r="B75" s="216">
        <f>SUM(C75+D75)</f>
        <v>1294276</v>
      </c>
      <c r="C75" s="217">
        <v>1294276</v>
      </c>
      <c r="D75" s="217"/>
      <c r="E75" s="217">
        <f t="shared" si="21"/>
        <v>1294276</v>
      </c>
      <c r="F75" s="217"/>
      <c r="G75" s="217"/>
      <c r="H75" s="217"/>
      <c r="I75" s="217"/>
      <c r="J75" s="217"/>
      <c r="K75" s="217"/>
      <c r="L75" s="217"/>
      <c r="M75" s="217"/>
      <c r="N75" s="217"/>
      <c r="O75" s="217"/>
      <c r="P75" s="217"/>
      <c r="Q75" s="217"/>
      <c r="R75" s="881">
        <f>SUM(E75:Q75)</f>
        <v>1294276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1502276</v>
      </c>
      <c r="C77" s="216">
        <f>SUM(C72:C76)</f>
        <v>1502276</v>
      </c>
      <c r="D77" s="216">
        <f>SUM(D72:D76)</f>
        <v>0</v>
      </c>
      <c r="E77" s="216">
        <f t="shared" ref="E77:Q77" si="22">SUM(E72:E76)</f>
        <v>1502276</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5">
        <f>SUM(R72:R76)</f>
        <v>1502276</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1720000</v>
      </c>
      <c r="C79" s="217">
        <v>1720000</v>
      </c>
      <c r="D79" s="217"/>
      <c r="E79" s="217">
        <f t="shared" ref="E79:E80" si="23">C79</f>
        <v>1720000</v>
      </c>
      <c r="F79" s="217"/>
      <c r="G79" s="217"/>
      <c r="H79" s="217"/>
      <c r="I79" s="217"/>
      <c r="J79" s="217"/>
      <c r="K79" s="217"/>
      <c r="L79" s="217"/>
      <c r="M79" s="217"/>
      <c r="N79" s="217"/>
      <c r="O79" s="217"/>
      <c r="P79" s="217"/>
      <c r="Q79" s="217"/>
      <c r="R79" s="881">
        <f>SUM(E79:Q79)</f>
        <v>1720000</v>
      </c>
      <c r="S79" s="217">
        <f>C79</f>
        <v>1720000</v>
      </c>
      <c r="T79" s="217"/>
      <c r="U79" s="213"/>
    </row>
    <row r="80" spans="1:21" s="214" customFormat="1">
      <c r="A80" s="441" t="s">
        <v>61</v>
      </c>
      <c r="B80" s="216">
        <f>SUM(C80:D80)</f>
        <v>200000</v>
      </c>
      <c r="C80" s="217">
        <v>200000</v>
      </c>
      <c r="D80" s="217"/>
      <c r="E80" s="217">
        <f t="shared" si="23"/>
        <v>200000</v>
      </c>
      <c r="F80" s="217"/>
      <c r="G80" s="217"/>
      <c r="H80" s="217"/>
      <c r="I80" s="217"/>
      <c r="J80" s="217"/>
      <c r="K80" s="217"/>
      <c r="L80" s="217"/>
      <c r="M80" s="217"/>
      <c r="N80" s="217"/>
      <c r="O80" s="217"/>
      <c r="P80" s="217"/>
      <c r="Q80" s="217"/>
      <c r="R80" s="881">
        <f>SUM(E80:Q80)</f>
        <v>200000</v>
      </c>
      <c r="S80" s="217">
        <f>C80</f>
        <v>200000</v>
      </c>
      <c r="T80" s="217"/>
      <c r="U80" s="213"/>
    </row>
    <row r="81" spans="1:21" s="214" customFormat="1">
      <c r="A81" s="219" t="s">
        <v>1427</v>
      </c>
      <c r="B81" s="216">
        <f>SUM(C81:D81)</f>
        <v>1920000</v>
      </c>
      <c r="C81" s="861">
        <f>SUM(C79:C80)</f>
        <v>1920000</v>
      </c>
      <c r="D81" s="861">
        <f t="shared" ref="D81:T81" si="24">SUM(D79:D80)</f>
        <v>0</v>
      </c>
      <c r="E81" s="861">
        <f t="shared" si="24"/>
        <v>1920000</v>
      </c>
      <c r="F81" s="861">
        <f t="shared" si="24"/>
        <v>0</v>
      </c>
      <c r="G81" s="861">
        <f t="shared" si="24"/>
        <v>0</v>
      </c>
      <c r="H81" s="861">
        <f t="shared" si="24"/>
        <v>0</v>
      </c>
      <c r="I81" s="861">
        <f t="shared" si="24"/>
        <v>0</v>
      </c>
      <c r="J81" s="861">
        <f t="shared" si="24"/>
        <v>0</v>
      </c>
      <c r="K81" s="861">
        <f t="shared" si="24"/>
        <v>0</v>
      </c>
      <c r="L81" s="861">
        <f t="shared" si="24"/>
        <v>0</v>
      </c>
      <c r="M81" s="861">
        <f t="shared" si="24"/>
        <v>0</v>
      </c>
      <c r="N81" s="861">
        <f t="shared" si="24"/>
        <v>0</v>
      </c>
      <c r="O81" s="861">
        <f t="shared" si="24"/>
        <v>0</v>
      </c>
      <c r="P81" s="861">
        <f t="shared" si="24"/>
        <v>0</v>
      </c>
      <c r="Q81" s="861">
        <f t="shared" si="24"/>
        <v>0</v>
      </c>
      <c r="R81" s="861">
        <f t="shared" si="24"/>
        <v>1920000</v>
      </c>
      <c r="S81" s="861">
        <f t="shared" si="24"/>
        <v>1920000</v>
      </c>
      <c r="T81" s="861">
        <f t="shared" si="24"/>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5">SUM(C83+D83)</f>
        <v>234000</v>
      </c>
      <c r="C83" s="217">
        <v>234000</v>
      </c>
      <c r="D83" s="217"/>
      <c r="E83" s="217">
        <f>C83</f>
        <v>234000</v>
      </c>
      <c r="F83" s="217"/>
      <c r="G83" s="217"/>
      <c r="H83" s="217"/>
      <c r="I83" s="217"/>
      <c r="J83" s="217"/>
      <c r="K83" s="217"/>
      <c r="L83" s="217"/>
      <c r="M83" s="217"/>
      <c r="N83" s="217"/>
      <c r="O83" s="217"/>
      <c r="P83" s="217"/>
      <c r="Q83" s="217"/>
      <c r="R83" s="881">
        <f t="shared" ref="R83:R95" si="26">SUM(E83:Q83)</f>
        <v>234000</v>
      </c>
      <c r="S83" s="218"/>
      <c r="T83" s="218"/>
      <c r="U83" s="213"/>
    </row>
    <row r="84" spans="1:21" s="214" customFormat="1">
      <c r="A84" s="215" t="s">
        <v>829</v>
      </c>
      <c r="B84" s="216">
        <f t="shared" si="25"/>
        <v>0</v>
      </c>
      <c r="C84" s="217"/>
      <c r="D84" s="217"/>
      <c r="E84" s="217"/>
      <c r="F84" s="217"/>
      <c r="G84" s="217"/>
      <c r="H84" s="217"/>
      <c r="I84" s="217"/>
      <c r="J84" s="217"/>
      <c r="K84" s="217"/>
      <c r="L84" s="217"/>
      <c r="M84" s="217"/>
      <c r="N84" s="217"/>
      <c r="O84" s="217"/>
      <c r="P84" s="217"/>
      <c r="Q84" s="217"/>
      <c r="R84" s="881">
        <f t="shared" si="26"/>
        <v>0</v>
      </c>
      <c r="S84" s="217"/>
      <c r="T84" s="217"/>
      <c r="U84" s="213"/>
    </row>
    <row r="85" spans="1:21" s="214" customFormat="1">
      <c r="A85" s="215" t="s">
        <v>830</v>
      </c>
      <c r="B85" s="216">
        <f t="shared" si="25"/>
        <v>2666720</v>
      </c>
      <c r="C85" s="217">
        <f>2069932+596788</f>
        <v>2666720</v>
      </c>
      <c r="D85" s="217"/>
      <c r="E85" s="217">
        <f t="shared" ref="E85:E86" si="27">C85</f>
        <v>2666720</v>
      </c>
      <c r="F85" s="217"/>
      <c r="G85" s="217"/>
      <c r="H85" s="217"/>
      <c r="I85" s="217"/>
      <c r="J85" s="217"/>
      <c r="K85" s="217"/>
      <c r="L85" s="217"/>
      <c r="M85" s="217"/>
      <c r="N85" s="217"/>
      <c r="O85" s="217"/>
      <c r="P85" s="217"/>
      <c r="Q85" s="217"/>
      <c r="R85" s="881">
        <f t="shared" si="26"/>
        <v>2666720</v>
      </c>
      <c r="S85" s="217">
        <f>C85</f>
        <v>2666720</v>
      </c>
      <c r="T85" s="217"/>
      <c r="U85" s="213"/>
    </row>
    <row r="86" spans="1:21" s="214" customFormat="1">
      <c r="A86" s="215" t="s">
        <v>831</v>
      </c>
      <c r="B86" s="216">
        <f t="shared" si="25"/>
        <v>240000</v>
      </c>
      <c r="C86" s="217">
        <v>240000</v>
      </c>
      <c r="D86" s="217"/>
      <c r="E86" s="217">
        <f t="shared" si="27"/>
        <v>240000</v>
      </c>
      <c r="F86" s="217"/>
      <c r="G86" s="217"/>
      <c r="H86" s="217"/>
      <c r="I86" s="217"/>
      <c r="J86" s="217"/>
      <c r="K86" s="217"/>
      <c r="L86" s="217"/>
      <c r="M86" s="217"/>
      <c r="N86" s="217"/>
      <c r="O86" s="217"/>
      <c r="P86" s="217"/>
      <c r="Q86" s="217"/>
      <c r="R86" s="881">
        <f t="shared" si="26"/>
        <v>240000</v>
      </c>
      <c r="S86" s="217">
        <f>C86</f>
        <v>240000</v>
      </c>
      <c r="T86" s="217"/>
      <c r="U86" s="213"/>
    </row>
    <row r="87" spans="1:21" s="214" customFormat="1">
      <c r="A87" s="215" t="s">
        <v>832</v>
      </c>
      <c r="B87" s="216">
        <f t="shared" si="25"/>
        <v>0</v>
      </c>
      <c r="C87" s="217"/>
      <c r="D87" s="217"/>
      <c r="E87" s="217"/>
      <c r="F87" s="217"/>
      <c r="G87" s="217"/>
      <c r="H87" s="217"/>
      <c r="I87" s="217"/>
      <c r="J87" s="217"/>
      <c r="K87" s="217"/>
      <c r="L87" s="217"/>
      <c r="M87" s="217"/>
      <c r="N87" s="217"/>
      <c r="O87" s="217"/>
      <c r="P87" s="217"/>
      <c r="Q87" s="217"/>
      <c r="R87" s="881">
        <f t="shared" si="26"/>
        <v>0</v>
      </c>
      <c r="S87" s="217"/>
      <c r="T87" s="217"/>
      <c r="U87" s="213"/>
    </row>
    <row r="88" spans="1:21" s="214" customFormat="1">
      <c r="A88" s="215" t="s">
        <v>833</v>
      </c>
      <c r="B88" s="216">
        <f t="shared" si="25"/>
        <v>160000</v>
      </c>
      <c r="C88" s="217">
        <v>160000</v>
      </c>
      <c r="D88" s="217"/>
      <c r="E88" s="217">
        <f t="shared" ref="E88:E93" si="28">C88</f>
        <v>160000</v>
      </c>
      <c r="F88" s="217"/>
      <c r="G88" s="217"/>
      <c r="H88" s="217"/>
      <c r="I88" s="217"/>
      <c r="J88" s="217"/>
      <c r="K88" s="217"/>
      <c r="L88" s="217"/>
      <c r="M88" s="217"/>
      <c r="N88" s="217"/>
      <c r="O88" s="217"/>
      <c r="P88" s="217"/>
      <c r="Q88" s="217"/>
      <c r="R88" s="881">
        <f t="shared" si="26"/>
        <v>160000</v>
      </c>
      <c r="S88" s="218"/>
      <c r="T88" s="218"/>
      <c r="U88" s="213"/>
    </row>
    <row r="89" spans="1:21" s="214" customFormat="1">
      <c r="A89" s="215" t="s">
        <v>834</v>
      </c>
      <c r="B89" s="216">
        <f t="shared" si="25"/>
        <v>103626</v>
      </c>
      <c r="C89" s="217">
        <f>32000+71625+1</f>
        <v>103626</v>
      </c>
      <c r="D89" s="217"/>
      <c r="E89" s="217">
        <f t="shared" si="28"/>
        <v>103626</v>
      </c>
      <c r="F89" s="217"/>
      <c r="G89" s="217"/>
      <c r="H89" s="217"/>
      <c r="I89" s="217"/>
      <c r="J89" s="217"/>
      <c r="K89" s="217"/>
      <c r="L89" s="217"/>
      <c r="M89" s="217"/>
      <c r="N89" s="217"/>
      <c r="O89" s="217"/>
      <c r="P89" s="217"/>
      <c r="Q89" s="217"/>
      <c r="R89" s="881">
        <f t="shared" si="26"/>
        <v>103626</v>
      </c>
      <c r="S89" s="217">
        <f>C89-71625-1</f>
        <v>32000</v>
      </c>
      <c r="T89" s="217"/>
      <c r="U89" s="213"/>
    </row>
    <row r="90" spans="1:21" s="214" customFormat="1">
      <c r="A90" s="215" t="s">
        <v>835</v>
      </c>
      <c r="B90" s="216">
        <f t="shared" si="25"/>
        <v>12000</v>
      </c>
      <c r="C90" s="217">
        <v>12000</v>
      </c>
      <c r="D90" s="217"/>
      <c r="E90" s="217">
        <f t="shared" si="28"/>
        <v>12000</v>
      </c>
      <c r="F90" s="217"/>
      <c r="G90" s="217"/>
      <c r="H90" s="217"/>
      <c r="I90" s="217"/>
      <c r="J90" s="217"/>
      <c r="K90" s="217"/>
      <c r="L90" s="217"/>
      <c r="M90" s="217"/>
      <c r="N90" s="217"/>
      <c r="O90" s="217"/>
      <c r="P90" s="217"/>
      <c r="Q90" s="217"/>
      <c r="R90" s="881">
        <f t="shared" si="26"/>
        <v>12000</v>
      </c>
      <c r="S90" s="217">
        <f>C90</f>
        <v>12000</v>
      </c>
      <c r="T90" s="217"/>
      <c r="U90" s="213"/>
    </row>
    <row r="91" spans="1:21" s="214" customFormat="1">
      <c r="A91" s="1828" t="s">
        <v>392</v>
      </c>
      <c r="B91" s="216">
        <f t="shared" si="25"/>
        <v>30000</v>
      </c>
      <c r="C91" s="217">
        <f>30000</f>
        <v>30000</v>
      </c>
      <c r="D91" s="217"/>
      <c r="E91" s="217">
        <f t="shared" si="28"/>
        <v>30000</v>
      </c>
      <c r="F91" s="217"/>
      <c r="G91" s="217"/>
      <c r="H91" s="217"/>
      <c r="I91" s="217"/>
      <c r="J91" s="217"/>
      <c r="K91" s="217"/>
      <c r="L91" s="217"/>
      <c r="M91" s="217"/>
      <c r="N91" s="217"/>
      <c r="O91" s="217"/>
      <c r="P91" s="217"/>
      <c r="Q91" s="217"/>
      <c r="R91" s="881">
        <f t="shared" si="26"/>
        <v>30000</v>
      </c>
      <c r="S91" s="217"/>
      <c r="T91" s="217"/>
      <c r="U91" s="213"/>
    </row>
    <row r="92" spans="1:21" s="214" customFormat="1">
      <c r="A92" s="1827" t="s">
        <v>1429</v>
      </c>
      <c r="B92" s="216">
        <f t="shared" si="25"/>
        <v>15000</v>
      </c>
      <c r="C92" s="217">
        <v>15000</v>
      </c>
      <c r="D92" s="217"/>
      <c r="E92" s="217">
        <f t="shared" si="28"/>
        <v>15000</v>
      </c>
      <c r="F92" s="217"/>
      <c r="G92" s="217"/>
      <c r="H92" s="217"/>
      <c r="I92" s="217"/>
      <c r="J92" s="217"/>
      <c r="K92" s="217"/>
      <c r="L92" s="217"/>
      <c r="M92" s="217"/>
      <c r="N92" s="217"/>
      <c r="O92" s="217"/>
      <c r="P92" s="217"/>
      <c r="Q92" s="217"/>
      <c r="R92" s="881">
        <f t="shared" si="26"/>
        <v>15000</v>
      </c>
      <c r="S92" s="217"/>
      <c r="T92" s="217"/>
      <c r="U92" s="213"/>
    </row>
    <row r="93" spans="1:21" s="214" customFormat="1">
      <c r="A93" s="1846" t="s">
        <v>2576</v>
      </c>
      <c r="B93" s="216">
        <f t="shared" si="25"/>
        <v>430000</v>
      </c>
      <c r="C93" s="217">
        <f>80000+200000+150000</f>
        <v>430000</v>
      </c>
      <c r="D93" s="217"/>
      <c r="E93" s="217">
        <f t="shared" si="28"/>
        <v>430000</v>
      </c>
      <c r="F93" s="217"/>
      <c r="G93" s="217"/>
      <c r="H93" s="217"/>
      <c r="I93" s="217"/>
      <c r="J93" s="217"/>
      <c r="K93" s="217"/>
      <c r="L93" s="217"/>
      <c r="M93" s="217"/>
      <c r="N93" s="217"/>
      <c r="O93" s="217"/>
      <c r="P93" s="217"/>
      <c r="Q93" s="217"/>
      <c r="R93" s="881">
        <f t="shared" si="26"/>
        <v>430000</v>
      </c>
      <c r="S93" s="217"/>
      <c r="T93" s="217"/>
      <c r="U93" s="213"/>
    </row>
    <row r="94" spans="1:21" s="214" customFormat="1">
      <c r="A94" s="222" t="s">
        <v>35</v>
      </c>
      <c r="B94" s="216">
        <f t="shared" si="25"/>
        <v>0</v>
      </c>
      <c r="C94" s="217"/>
      <c r="D94" s="217"/>
      <c r="E94" s="217"/>
      <c r="F94" s="217"/>
      <c r="G94" s="217"/>
      <c r="H94" s="217"/>
      <c r="I94" s="217"/>
      <c r="J94" s="217"/>
      <c r="K94" s="217"/>
      <c r="L94" s="217"/>
      <c r="M94" s="217"/>
      <c r="N94" s="217"/>
      <c r="O94" s="217"/>
      <c r="P94" s="217"/>
      <c r="Q94" s="217"/>
      <c r="R94" s="881">
        <f t="shared" si="26"/>
        <v>0</v>
      </c>
      <c r="S94" s="217"/>
      <c r="T94" s="217"/>
      <c r="U94" s="213"/>
    </row>
    <row r="95" spans="1:21" s="214" customFormat="1">
      <c r="A95" s="222" t="s">
        <v>35</v>
      </c>
      <c r="B95" s="216">
        <f t="shared" si="25"/>
        <v>0</v>
      </c>
      <c r="C95" s="217"/>
      <c r="D95" s="217"/>
      <c r="E95" s="217"/>
      <c r="F95" s="217"/>
      <c r="G95" s="217"/>
      <c r="H95" s="217"/>
      <c r="I95" s="217"/>
      <c r="J95" s="217"/>
      <c r="K95" s="217"/>
      <c r="L95" s="217"/>
      <c r="M95" s="217"/>
      <c r="N95" s="217"/>
      <c r="O95" s="217"/>
      <c r="P95" s="217"/>
      <c r="Q95" s="217"/>
      <c r="R95" s="881">
        <f t="shared" si="26"/>
        <v>0</v>
      </c>
      <c r="S95" s="217"/>
      <c r="T95" s="217"/>
      <c r="U95" s="213"/>
    </row>
    <row r="96" spans="1:21" s="214" customFormat="1">
      <c r="A96" s="219" t="s">
        <v>836</v>
      </c>
      <c r="B96" s="216">
        <f>SUM(C96:D96)</f>
        <v>3891346</v>
      </c>
      <c r="C96" s="216">
        <f t="shared" ref="C96:R96" si="29">SUM(C83:C95)</f>
        <v>3891346</v>
      </c>
      <c r="D96" s="216">
        <f t="shared" si="29"/>
        <v>0</v>
      </c>
      <c r="E96" s="216">
        <f t="shared" si="29"/>
        <v>3891346</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5">
        <f t="shared" si="29"/>
        <v>3891346</v>
      </c>
      <c r="S96" s="220">
        <f>SUM(S84:S87,S89:S95)</f>
        <v>2950720</v>
      </c>
      <c r="T96" s="216">
        <f>SUM(T84:T87,T89:T95)</f>
        <v>0</v>
      </c>
      <c r="U96" s="213"/>
    </row>
    <row r="97" spans="1:21" s="214" customFormat="1">
      <c r="A97" s="219" t="s">
        <v>837</v>
      </c>
      <c r="B97" s="216">
        <f>SUM(C97:D97)</f>
        <v>61767884</v>
      </c>
      <c r="C97" s="216">
        <f t="shared" ref="C97:R97" si="30">SUM(C63+C70+C77+C81+C96)</f>
        <v>61767884</v>
      </c>
      <c r="D97" s="216">
        <f t="shared" si="30"/>
        <v>0</v>
      </c>
      <c r="E97" s="216">
        <f t="shared" si="30"/>
        <v>31975169</v>
      </c>
      <c r="F97" s="216">
        <f t="shared" si="30"/>
        <v>29792715</v>
      </c>
      <c r="G97" s="216">
        <f t="shared" si="30"/>
        <v>0</v>
      </c>
      <c r="H97" s="216">
        <f t="shared" si="30"/>
        <v>0</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61767884</v>
      </c>
      <c r="S97" s="216">
        <f>SUM(S63+S70+S81+S96)</f>
        <v>53981090</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8046914</v>
      </c>
      <c r="C99" s="1706">
        <v>8046914</v>
      </c>
      <c r="D99" s="1706"/>
      <c r="E99" s="1706">
        <f>C99-G99</f>
        <v>2907962</v>
      </c>
      <c r="F99" s="217"/>
      <c r="G99" s="217">
        <f>G108</f>
        <v>5138952</v>
      </c>
      <c r="H99" s="217"/>
      <c r="I99" s="217"/>
      <c r="J99" s="217"/>
      <c r="K99" s="217"/>
      <c r="L99" s="217"/>
      <c r="M99" s="217"/>
      <c r="N99" s="217"/>
      <c r="O99" s="217"/>
      <c r="P99" s="217"/>
      <c r="Q99" s="217"/>
      <c r="R99" s="881">
        <f t="shared" ref="R99:R103" si="31">SUM(E99:Q99)</f>
        <v>8046914</v>
      </c>
      <c r="S99" s="217">
        <f>C99</f>
        <v>8046914</v>
      </c>
      <c r="T99" s="217"/>
      <c r="U99" s="213"/>
    </row>
    <row r="100" spans="1:21" s="214" customFormat="1">
      <c r="A100" s="441" t="s">
        <v>2015</v>
      </c>
      <c r="B100" s="216">
        <f t="shared" ref="B100:B103" si="32">SUM(C100+D100)</f>
        <v>0</v>
      </c>
      <c r="C100" s="217"/>
      <c r="D100" s="217"/>
      <c r="E100" s="217"/>
      <c r="F100" s="217"/>
      <c r="G100" s="217"/>
      <c r="H100" s="217"/>
      <c r="I100" s="217"/>
      <c r="J100" s="217"/>
      <c r="K100" s="217"/>
      <c r="L100" s="217"/>
      <c r="M100" s="217"/>
      <c r="N100" s="217"/>
      <c r="O100" s="217"/>
      <c r="P100" s="217"/>
      <c r="Q100" s="217"/>
      <c r="R100" s="881">
        <f t="shared" si="31"/>
        <v>0</v>
      </c>
      <c r="S100" s="217"/>
      <c r="T100" s="217"/>
      <c r="U100" s="213"/>
    </row>
    <row r="101" spans="1:21" s="214" customFormat="1" ht="12" customHeight="1">
      <c r="A101" s="215" t="s">
        <v>840</v>
      </c>
      <c r="B101" s="216">
        <f t="shared" si="32"/>
        <v>0</v>
      </c>
      <c r="C101" s="217"/>
      <c r="D101" s="217"/>
      <c r="E101" s="217"/>
      <c r="F101" s="217"/>
      <c r="G101" s="217"/>
      <c r="H101" s="217"/>
      <c r="I101" s="217"/>
      <c r="J101" s="217"/>
      <c r="K101" s="217"/>
      <c r="L101" s="217"/>
      <c r="M101" s="217"/>
      <c r="N101" s="217"/>
      <c r="O101" s="217"/>
      <c r="P101" s="217"/>
      <c r="Q101" s="217"/>
      <c r="R101" s="881">
        <f t="shared" si="31"/>
        <v>0</v>
      </c>
      <c r="S101" s="217"/>
      <c r="T101" s="217"/>
      <c r="U101" s="213"/>
    </row>
    <row r="102" spans="1:21" s="214" customFormat="1">
      <c r="A102" s="441" t="s">
        <v>2016</v>
      </c>
      <c r="B102" s="216">
        <f t="shared" si="32"/>
        <v>0</v>
      </c>
      <c r="C102" s="217"/>
      <c r="D102" s="217"/>
      <c r="E102" s="217"/>
      <c r="F102" s="217"/>
      <c r="G102" s="217"/>
      <c r="H102" s="217"/>
      <c r="I102" s="217"/>
      <c r="J102" s="217"/>
      <c r="K102" s="217"/>
      <c r="L102" s="217"/>
      <c r="M102" s="217"/>
      <c r="N102" s="217"/>
      <c r="O102" s="217"/>
      <c r="P102" s="217"/>
      <c r="Q102" s="217"/>
      <c r="R102" s="881">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81">
        <f t="shared" si="31"/>
        <v>0</v>
      </c>
      <c r="S103" s="217"/>
      <c r="T103" s="217"/>
      <c r="U103" s="213"/>
    </row>
    <row r="104" spans="1:21" s="214" customFormat="1">
      <c r="A104" s="219" t="s">
        <v>841</v>
      </c>
      <c r="B104" s="216">
        <f>SUM(C104:D104)</f>
        <v>8046914</v>
      </c>
      <c r="C104" s="216">
        <f>SUM(C99:C103)</f>
        <v>8046914</v>
      </c>
      <c r="D104" s="216">
        <f t="shared" ref="D104:T104" si="33">SUM(D99:D103)</f>
        <v>0</v>
      </c>
      <c r="E104" s="216">
        <f t="shared" si="33"/>
        <v>2907962</v>
      </c>
      <c r="F104" s="216">
        <f t="shared" si="33"/>
        <v>0</v>
      </c>
      <c r="G104" s="216">
        <f t="shared" si="33"/>
        <v>5138952</v>
      </c>
      <c r="H104" s="216">
        <f t="shared" si="33"/>
        <v>0</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5">
        <f t="shared" si="33"/>
        <v>8046914</v>
      </c>
      <c r="S104" s="220">
        <f t="shared" si="33"/>
        <v>8046914</v>
      </c>
      <c r="T104" s="220">
        <f t="shared" si="33"/>
        <v>0</v>
      </c>
      <c r="U104" s="213"/>
    </row>
    <row r="105" spans="1:21" s="214" customFormat="1">
      <c r="A105" s="219" t="s">
        <v>842</v>
      </c>
      <c r="B105" s="220">
        <f>SUM(C105:D105)</f>
        <v>69814798</v>
      </c>
      <c r="C105" s="220">
        <f t="shared" ref="C105:R105" si="34">SUM(C97+C104)</f>
        <v>69814798</v>
      </c>
      <c r="D105" s="220">
        <f t="shared" si="34"/>
        <v>0</v>
      </c>
      <c r="E105" s="220">
        <f t="shared" si="34"/>
        <v>34883131</v>
      </c>
      <c r="F105" s="220">
        <f t="shared" si="34"/>
        <v>29792715</v>
      </c>
      <c r="G105" s="220">
        <f t="shared" si="34"/>
        <v>5138952</v>
      </c>
      <c r="H105" s="220">
        <f t="shared" si="34"/>
        <v>0</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35">
        <f t="shared" si="34"/>
        <v>69814798</v>
      </c>
      <c r="S105" s="220">
        <f>S97+S104</f>
        <v>62028004</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62028004</v>
      </c>
      <c r="T107" s="234">
        <f>T105+T106</f>
        <v>0</v>
      </c>
    </row>
    <row r="108" spans="1:21" s="301" customFormat="1">
      <c r="A108" s="233" t="s">
        <v>948</v>
      </c>
      <c r="B108" s="228"/>
      <c r="C108" s="228"/>
      <c r="D108" s="228"/>
      <c r="E108" s="465">
        <f>Application!AO650</f>
        <v>34883131</v>
      </c>
      <c r="F108" s="465">
        <f>Application!AO637</f>
        <v>29792715</v>
      </c>
      <c r="G108" s="465">
        <f>Application!AO638</f>
        <v>5138952</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85" t="s">
        <v>1100</v>
      </c>
      <c r="E122" s="2585"/>
      <c r="F122" s="2585"/>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88" t="s">
        <v>1447</v>
      </c>
      <c r="E123" s="2589"/>
      <c r="F123" s="2589"/>
      <c r="G123" s="2589"/>
      <c r="H123" s="2589"/>
      <c r="I123" s="2589"/>
      <c r="J123" s="2589"/>
      <c r="K123" s="2589"/>
      <c r="L123" s="2589"/>
      <c r="M123" s="2589"/>
      <c r="N123" s="2589"/>
      <c r="O123" s="2589"/>
      <c r="P123" s="2589"/>
      <c r="Q123" s="2589"/>
      <c r="R123" s="2589"/>
      <c r="S123" s="2589"/>
      <c r="T123" s="515"/>
      <c r="U123" s="517"/>
    </row>
    <row r="124" spans="1:21" ht="12.75">
      <c r="A124" s="514" t="s">
        <v>1102</v>
      </c>
      <c r="B124" s="524"/>
      <c r="C124" s="514"/>
      <c r="D124" s="2589"/>
      <c r="E124" s="2589"/>
      <c r="F124" s="2589"/>
      <c r="G124" s="2589"/>
      <c r="H124" s="2589"/>
      <c r="I124" s="2589"/>
      <c r="J124" s="2589"/>
      <c r="K124" s="2589"/>
      <c r="L124" s="2589"/>
      <c r="M124" s="2589"/>
      <c r="N124" s="2589"/>
      <c r="O124" s="2589"/>
      <c r="P124" s="2589"/>
      <c r="Q124" s="2589"/>
      <c r="R124" s="2589"/>
      <c r="S124" s="2589"/>
      <c r="T124" s="515"/>
      <c r="U124" s="517"/>
    </row>
    <row r="125" spans="1:21" ht="12.75">
      <c r="A125" s="514" t="s">
        <v>1103</v>
      </c>
      <c r="B125" s="524"/>
      <c r="C125" s="514"/>
      <c r="D125" s="2589"/>
      <c r="E125" s="2589"/>
      <c r="F125" s="2589"/>
      <c r="G125" s="2589"/>
      <c r="H125" s="2589"/>
      <c r="I125" s="2589"/>
      <c r="J125" s="2589"/>
      <c r="K125" s="2589"/>
      <c r="L125" s="2589"/>
      <c r="M125" s="2589"/>
      <c r="N125" s="2589"/>
      <c r="O125" s="2589"/>
      <c r="P125" s="2589"/>
      <c r="Q125" s="2589"/>
      <c r="R125" s="2589"/>
      <c r="S125" s="2589"/>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82"/>
      <c r="E128" s="2582"/>
      <c r="F128" s="2582"/>
      <c r="G128" s="2582"/>
      <c r="H128" s="2582"/>
      <c r="I128" s="514"/>
      <c r="J128" s="2583"/>
      <c r="K128" s="2583"/>
      <c r="L128" s="514"/>
      <c r="M128" s="514"/>
      <c r="N128" s="514"/>
      <c r="O128" s="514"/>
      <c r="P128" s="514"/>
      <c r="Q128" s="514"/>
      <c r="R128" s="514"/>
      <c r="S128" s="514"/>
      <c r="T128" s="515"/>
      <c r="U128" s="517"/>
    </row>
    <row r="129" spans="1:21" ht="12.75">
      <c r="A129" s="514" t="s">
        <v>310</v>
      </c>
      <c r="B129" s="524"/>
      <c r="C129" s="514"/>
      <c r="D129" s="2584" t="s">
        <v>1107</v>
      </c>
      <c r="E129" s="2584"/>
      <c r="F129" s="2584"/>
      <c r="G129" s="2584"/>
      <c r="H129" s="2584"/>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554"/>
      <c r="E131" s="2554"/>
      <c r="F131" s="2554"/>
      <c r="G131" s="2554"/>
      <c r="H131" s="2554"/>
      <c r="I131" s="514"/>
      <c r="J131" s="2554"/>
      <c r="K131" s="2554"/>
      <c r="L131" s="2554"/>
      <c r="M131" s="2554"/>
      <c r="N131" s="514"/>
      <c r="O131" s="514"/>
      <c r="P131" s="514"/>
      <c r="Q131" s="514"/>
      <c r="R131" s="514"/>
      <c r="S131" s="514"/>
      <c r="T131" s="515"/>
      <c r="U131" s="517"/>
    </row>
    <row r="132" spans="1:21" ht="12" customHeight="1">
      <c r="A132" s="528"/>
      <c r="B132" s="514"/>
      <c r="C132" s="514"/>
      <c r="D132" s="2590" t="s">
        <v>1110</v>
      </c>
      <c r="E132" s="2590"/>
      <c r="F132" s="2590"/>
      <c r="G132" s="2590"/>
      <c r="H132" s="2590"/>
      <c r="I132" s="514"/>
      <c r="J132" s="2590" t="s">
        <v>1111</v>
      </c>
      <c r="K132" s="2590"/>
      <c r="L132" s="2590"/>
      <c r="M132" s="2590"/>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91"/>
      <c r="B138" s="2592"/>
      <c r="C138" s="2592"/>
      <c r="D138" s="519"/>
      <c r="E138" s="2583"/>
      <c r="F138" s="2583"/>
      <c r="G138" s="514"/>
      <c r="H138" s="514"/>
      <c r="I138" s="514"/>
      <c r="J138" s="514"/>
      <c r="K138" s="514"/>
      <c r="L138" s="514"/>
      <c r="M138" s="514"/>
      <c r="N138" s="514"/>
      <c r="O138" s="514"/>
      <c r="P138" s="514"/>
      <c r="Q138" s="514"/>
      <c r="R138" s="514"/>
      <c r="S138" s="514"/>
      <c r="T138" s="521"/>
      <c r="U138" s="522"/>
    </row>
    <row r="139" spans="1:21" ht="12.75">
      <c r="A139" s="2586" t="s">
        <v>1114</v>
      </c>
      <c r="B139" s="2587"/>
      <c r="C139" s="2587"/>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267" stopIfTrue="1">
      <formula>T9&gt;C9</formula>
    </cfRule>
  </conditionalFormatting>
  <conditionalFormatting sqref="S10">
    <cfRule type="expression" dxfId="149" priority="266" stopIfTrue="1">
      <formula>(S10+T10)&gt;C10</formula>
    </cfRule>
  </conditionalFormatting>
  <conditionalFormatting sqref="R8">
    <cfRule type="cellIs" dxfId="148" priority="255" stopIfTrue="1" operator="notEqual">
      <formula>$B8</formula>
    </cfRule>
    <cfRule type="cellIs" priority="258" stopIfTrue="1" operator="notEqual">
      <formula>$B8</formula>
    </cfRule>
  </conditionalFormatting>
  <conditionalFormatting sqref="R4:R7 R56:R61 R45:R53 R83:R95 R99:R103">
    <cfRule type="cellIs" dxfId="147" priority="257" stopIfTrue="1" operator="notEqual">
      <formula>$B4</formula>
    </cfRule>
  </conditionalFormatting>
  <conditionalFormatting sqref="R9:R10">
    <cfRule type="cellIs" dxfId="146" priority="256" stopIfTrue="1" operator="notEqual">
      <formula>$B9</formula>
    </cfRule>
  </conditionalFormatting>
  <conditionalFormatting sqref="R11:R12">
    <cfRule type="cellIs" dxfId="145" priority="253" stopIfTrue="1" operator="notEqual">
      <formula>$B11</formula>
    </cfRule>
    <cfRule type="cellIs" priority="254" stopIfTrue="1" operator="notEqual">
      <formula>$B11</formula>
    </cfRule>
  </conditionalFormatting>
  <conditionalFormatting sqref="R13:R15">
    <cfRule type="cellIs" dxfId="144" priority="252" stopIfTrue="1" operator="notEqual">
      <formula>$B13</formula>
    </cfRule>
  </conditionalFormatting>
  <conditionalFormatting sqref="R26">
    <cfRule type="cellIs" dxfId="143" priority="250" stopIfTrue="1" operator="notEqual">
      <formula>$B26</formula>
    </cfRule>
    <cfRule type="cellIs" priority="251" stopIfTrue="1" operator="notEqual">
      <formula>$B26</formula>
    </cfRule>
  </conditionalFormatting>
  <conditionalFormatting sqref="R17:R25">
    <cfRule type="cellIs" dxfId="142" priority="249" stopIfTrue="1" operator="notEqual">
      <formula>$B17</formula>
    </cfRule>
  </conditionalFormatting>
  <conditionalFormatting sqref="R27">
    <cfRule type="cellIs" dxfId="141" priority="248" stopIfTrue="1" operator="notEqual">
      <formula>$B27</formula>
    </cfRule>
  </conditionalFormatting>
  <conditionalFormatting sqref="R38">
    <cfRule type="cellIs" dxfId="140" priority="246" stopIfTrue="1" operator="notEqual">
      <formula>$B38</formula>
    </cfRule>
    <cfRule type="cellIs" priority="247" stopIfTrue="1" operator="notEqual">
      <formula>$B38</formula>
    </cfRule>
  </conditionalFormatting>
  <conditionalFormatting sqref="R29:R37">
    <cfRule type="cellIs" dxfId="139" priority="245" stopIfTrue="1" operator="notEqual">
      <formula>$B29</formula>
    </cfRule>
  </conditionalFormatting>
  <conditionalFormatting sqref="R42">
    <cfRule type="cellIs" dxfId="138" priority="243" stopIfTrue="1" operator="notEqual">
      <formula>$B42</formula>
    </cfRule>
    <cfRule type="cellIs" priority="244" stopIfTrue="1" operator="notEqual">
      <formula>$B42</formula>
    </cfRule>
  </conditionalFormatting>
  <conditionalFormatting sqref="R40:R41">
    <cfRule type="cellIs" dxfId="137" priority="242" stopIfTrue="1" operator="notEqual">
      <formula>$B40</formula>
    </cfRule>
  </conditionalFormatting>
  <conditionalFormatting sqref="R43">
    <cfRule type="cellIs" dxfId="136" priority="241" stopIfTrue="1" operator="notEqual">
      <formula>$B43</formula>
    </cfRule>
  </conditionalFormatting>
  <conditionalFormatting sqref="R54">
    <cfRule type="cellIs" dxfId="135" priority="239" stopIfTrue="1" operator="notEqual">
      <formula>$B54</formula>
    </cfRule>
    <cfRule type="cellIs" priority="240" stopIfTrue="1" operator="notEqual">
      <formula>$B54</formula>
    </cfRule>
  </conditionalFormatting>
  <conditionalFormatting sqref="R62:R63">
    <cfRule type="cellIs" dxfId="134" priority="236" stopIfTrue="1" operator="notEqual">
      <formula>$B62</formula>
    </cfRule>
    <cfRule type="cellIs" priority="237" stopIfTrue="1" operator="notEqual">
      <formula>$B62</formula>
    </cfRule>
  </conditionalFormatting>
  <conditionalFormatting sqref="R70">
    <cfRule type="cellIs" dxfId="133" priority="233" stopIfTrue="1" operator="notEqual">
      <formula>$B70</formula>
    </cfRule>
    <cfRule type="cellIs" priority="234" stopIfTrue="1" operator="notEqual">
      <formula>$B70</formula>
    </cfRule>
  </conditionalFormatting>
  <conditionalFormatting sqref="R65:R69">
    <cfRule type="cellIs" dxfId="132" priority="232" stopIfTrue="1" operator="notEqual">
      <formula>$B65</formula>
    </cfRule>
  </conditionalFormatting>
  <conditionalFormatting sqref="R77">
    <cfRule type="cellIs" dxfId="131" priority="230" stopIfTrue="1" operator="notEqual">
      <formula>$B77</formula>
    </cfRule>
    <cfRule type="cellIs" priority="231" stopIfTrue="1" operator="notEqual">
      <formula>$B77</formula>
    </cfRule>
  </conditionalFormatting>
  <conditionalFormatting sqref="R96">
    <cfRule type="cellIs" dxfId="130" priority="228" stopIfTrue="1" operator="notEqual">
      <formula>$B96</formula>
    </cfRule>
    <cfRule type="cellIs" priority="229" stopIfTrue="1" operator="notEqual">
      <formula>$B96</formula>
    </cfRule>
  </conditionalFormatting>
  <conditionalFormatting sqref="R72:R76">
    <cfRule type="cellIs" dxfId="129" priority="227" stopIfTrue="1" operator="notEqual">
      <formula>$B72</formula>
    </cfRule>
  </conditionalFormatting>
  <conditionalFormatting sqref="R79:R80">
    <cfRule type="cellIs" dxfId="128" priority="226" stopIfTrue="1" operator="notEqual">
      <formula>$B79</formula>
    </cfRule>
  </conditionalFormatting>
  <conditionalFormatting sqref="R104:R105">
    <cfRule type="cellIs" dxfId="127" priority="223" stopIfTrue="1" operator="notEqual">
      <formula>$B104</formula>
    </cfRule>
    <cfRule type="cellIs" priority="224" stopIfTrue="1" operator="notEqual">
      <formula>$B104</formula>
    </cfRule>
  </conditionalFormatting>
  <conditionalFormatting sqref="E105:Q105">
    <cfRule type="cellIs" dxfId="126" priority="221" stopIfTrue="1" operator="notEqual">
      <formula>E$108</formula>
    </cfRule>
  </conditionalFormatting>
  <conditionalFormatting sqref="S13">
    <cfRule type="expression" dxfId="125" priority="218" stopIfTrue="1">
      <formula>(S13+T13)&gt;C13</formula>
    </cfRule>
  </conditionalFormatting>
  <conditionalFormatting sqref="S14">
    <cfRule type="expression" dxfId="124" priority="215" stopIfTrue="1">
      <formula>(S14+T14)&gt;C14</formula>
    </cfRule>
  </conditionalFormatting>
  <conditionalFormatting sqref="S17">
    <cfRule type="expression" dxfId="123" priority="214" stopIfTrue="1">
      <formula>(S17+T17)&gt;C17</formula>
    </cfRule>
  </conditionalFormatting>
  <conditionalFormatting sqref="S18">
    <cfRule type="expression" dxfId="122" priority="206" stopIfTrue="1">
      <formula>(S18+T18)&gt;C18</formula>
    </cfRule>
  </conditionalFormatting>
  <conditionalFormatting sqref="S19">
    <cfRule type="expression" dxfId="121" priority="204" stopIfTrue="1">
      <formula>(S19+T19)&gt;C19</formula>
    </cfRule>
  </conditionalFormatting>
  <conditionalFormatting sqref="S20">
    <cfRule type="expression" dxfId="120" priority="203" stopIfTrue="1">
      <formula>(S20+T20)&gt;C20</formula>
    </cfRule>
  </conditionalFormatting>
  <conditionalFormatting sqref="S21">
    <cfRule type="expression" dxfId="119" priority="202" stopIfTrue="1">
      <formula>(S21+T21)&gt;C21</formula>
    </cfRule>
  </conditionalFormatting>
  <conditionalFormatting sqref="S22">
    <cfRule type="expression" dxfId="118" priority="201" stopIfTrue="1">
      <formula>(S22+T22)&gt;C22</formula>
    </cfRule>
  </conditionalFormatting>
  <conditionalFormatting sqref="S23:S24">
    <cfRule type="expression" dxfId="117" priority="200" stopIfTrue="1">
      <formula>(S23+T23)&gt;C23</formula>
    </cfRule>
  </conditionalFormatting>
  <conditionalFormatting sqref="S25">
    <cfRule type="expression" dxfId="116" priority="199" stopIfTrue="1">
      <formula>(S25+T25)&gt;C25</formula>
    </cfRule>
  </conditionalFormatting>
  <conditionalFormatting sqref="S27">
    <cfRule type="expression" dxfId="115" priority="192" stopIfTrue="1">
      <formula>(S27+T27)&gt;C27</formula>
    </cfRule>
  </conditionalFormatting>
  <conditionalFormatting sqref="S30">
    <cfRule type="expression" dxfId="114" priority="188" stopIfTrue="1">
      <formula>(S30+T30)&gt;C30</formula>
    </cfRule>
  </conditionalFormatting>
  <conditionalFormatting sqref="S31">
    <cfRule type="expression" dxfId="113" priority="187" stopIfTrue="1">
      <formula>(S31+T31)&gt;C31</formula>
    </cfRule>
  </conditionalFormatting>
  <conditionalFormatting sqref="S34">
    <cfRule type="expression" dxfId="112" priority="184" stopIfTrue="1">
      <formula>(S34+T34)&gt;C34</formula>
    </cfRule>
  </conditionalFormatting>
  <conditionalFormatting sqref="S35:S36">
    <cfRule type="expression" dxfId="111" priority="183" stopIfTrue="1">
      <formula>(S35+T35)&gt;C35</formula>
    </cfRule>
  </conditionalFormatting>
  <conditionalFormatting sqref="S37">
    <cfRule type="expression" dxfId="110" priority="182" stopIfTrue="1">
      <formula>(S37+T37)&gt;C37</formula>
    </cfRule>
  </conditionalFormatting>
  <conditionalFormatting sqref="S41">
    <cfRule type="expression" dxfId="109" priority="173" stopIfTrue="1">
      <formula>(S41+T41)&gt;C41</formula>
    </cfRule>
  </conditionalFormatting>
  <conditionalFormatting sqref="S45">
    <cfRule type="expression" dxfId="108" priority="168" stopIfTrue="1">
      <formula>(S45+T45)&gt;C45</formula>
    </cfRule>
  </conditionalFormatting>
  <conditionalFormatting sqref="S47">
    <cfRule type="expression" dxfId="107" priority="162" stopIfTrue="1">
      <formula>(S47+T47)&gt;C47</formula>
    </cfRule>
  </conditionalFormatting>
  <conditionalFormatting sqref="S49">
    <cfRule type="expression" dxfId="106" priority="160" stopIfTrue="1">
      <formula>(S49+T49)&gt;C49</formula>
    </cfRule>
  </conditionalFormatting>
  <conditionalFormatting sqref="S50">
    <cfRule type="expression" dxfId="105" priority="159" stopIfTrue="1">
      <formula>(S50+T50)&gt;C50</formula>
    </cfRule>
  </conditionalFormatting>
  <conditionalFormatting sqref="S65 S68">
    <cfRule type="expression" dxfId="104" priority="145" stopIfTrue="1">
      <formula>(S65+T65)&gt;C65</formula>
    </cfRule>
  </conditionalFormatting>
  <conditionalFormatting sqref="S69">
    <cfRule type="expression" dxfId="103" priority="144" stopIfTrue="1">
      <formula>(S69+T69)&gt;C69</formula>
    </cfRule>
  </conditionalFormatting>
  <conditionalFormatting sqref="S84">
    <cfRule type="expression" dxfId="102" priority="137" stopIfTrue="1">
      <formula>(S84+T84)&gt;C84</formula>
    </cfRule>
  </conditionalFormatting>
  <conditionalFormatting sqref="S87">
    <cfRule type="expression" dxfId="101" priority="134" stopIfTrue="1">
      <formula>(S87+T87)&gt;C87</formula>
    </cfRule>
  </conditionalFormatting>
  <conditionalFormatting sqref="S91">
    <cfRule type="expression" dxfId="100" priority="127" stopIfTrue="1">
      <formula>(S91+T91)&gt;C91</formula>
    </cfRule>
  </conditionalFormatting>
  <conditionalFormatting sqref="S93">
    <cfRule type="expression" dxfId="99" priority="125" stopIfTrue="1">
      <formula>(S93+T93)&gt;C93</formula>
    </cfRule>
  </conditionalFormatting>
  <conditionalFormatting sqref="S94">
    <cfRule type="expression" dxfId="98" priority="124" stopIfTrue="1">
      <formula>(S94+T94)&gt;C94</formula>
    </cfRule>
  </conditionalFormatting>
  <conditionalFormatting sqref="S95">
    <cfRule type="expression" dxfId="97" priority="123" stopIfTrue="1">
      <formula>(S95+T95)&gt;C95</formula>
    </cfRule>
  </conditionalFormatting>
  <conditionalFormatting sqref="S100">
    <cfRule type="expression" dxfId="96" priority="110" stopIfTrue="1">
      <formula>(S100+T100)&gt;C100</formula>
    </cfRule>
  </conditionalFormatting>
  <conditionalFormatting sqref="S101">
    <cfRule type="expression" dxfId="95" priority="108" stopIfTrue="1">
      <formula>(S101+T101)&gt;C101</formula>
    </cfRule>
  </conditionalFormatting>
  <conditionalFormatting sqref="S102">
    <cfRule type="expression" dxfId="94" priority="107" stopIfTrue="1">
      <formula>(S102+T102)&gt;C102</formula>
    </cfRule>
  </conditionalFormatting>
  <conditionalFormatting sqref="S103">
    <cfRule type="expression" dxfId="93" priority="106" stopIfTrue="1">
      <formula>(S103+T103)&gt;C103</formula>
    </cfRule>
  </conditionalFormatting>
  <conditionalFormatting sqref="C10">
    <cfRule type="expression" dxfId="92" priority="98">
      <formula>"(S10+T10)&gt;C10 "</formula>
    </cfRule>
  </conditionalFormatting>
  <conditionalFormatting sqref="T10">
    <cfRule type="expression" dxfId="91" priority="96" stopIfTrue="1">
      <formula>(S10+T10)&gt;C10</formula>
    </cfRule>
  </conditionalFormatting>
  <conditionalFormatting sqref="T13">
    <cfRule type="expression" dxfId="90" priority="94" stopIfTrue="1">
      <formula>(S13+T13)&gt;C13</formula>
    </cfRule>
  </conditionalFormatting>
  <conditionalFormatting sqref="T14">
    <cfRule type="expression" dxfId="89" priority="93" stopIfTrue="1">
      <formula>(S14+T14)&gt;C14</formula>
    </cfRule>
  </conditionalFormatting>
  <conditionalFormatting sqref="T17">
    <cfRule type="expression" dxfId="88" priority="92" stopIfTrue="1">
      <formula>(S17+T17)&gt;C17</formula>
    </cfRule>
  </conditionalFormatting>
  <conditionalFormatting sqref="T18">
    <cfRule type="expression" dxfId="87" priority="75" stopIfTrue="1">
      <formula>(S18+T18)&gt;C18</formula>
    </cfRule>
  </conditionalFormatting>
  <conditionalFormatting sqref="T19">
    <cfRule type="expression" dxfId="86" priority="74" stopIfTrue="1">
      <formula>(S19+T19)&gt;C19</formula>
    </cfRule>
  </conditionalFormatting>
  <conditionalFormatting sqref="T20">
    <cfRule type="expression" dxfId="85" priority="73" stopIfTrue="1">
      <formula>(S20+T20)&gt;C20</formula>
    </cfRule>
  </conditionalFormatting>
  <conditionalFormatting sqref="T21">
    <cfRule type="expression" dxfId="84" priority="72" stopIfTrue="1">
      <formula>(S21+T21)&gt;C21</formula>
    </cfRule>
  </conditionalFormatting>
  <conditionalFormatting sqref="T22">
    <cfRule type="expression" dxfId="83" priority="71" stopIfTrue="1">
      <formula>(S22+T22)&gt;C22</formula>
    </cfRule>
  </conditionalFormatting>
  <conditionalFormatting sqref="T23:T24">
    <cfRule type="expression" dxfId="82" priority="70" stopIfTrue="1">
      <formula>(S23+T23)&gt;C23</formula>
    </cfRule>
  </conditionalFormatting>
  <conditionalFormatting sqref="T25">
    <cfRule type="expression" dxfId="81" priority="69" stopIfTrue="1">
      <formula>(S25+T25)&gt;C25</formula>
    </cfRule>
  </conditionalFormatting>
  <conditionalFormatting sqref="T27">
    <cfRule type="expression" dxfId="80" priority="67" stopIfTrue="1">
      <formula>(S27+T27)&gt;C27</formula>
    </cfRule>
  </conditionalFormatting>
  <conditionalFormatting sqref="T29">
    <cfRule type="expression" dxfId="79" priority="66" stopIfTrue="1">
      <formula>(S29+T29)&gt;C29</formula>
    </cfRule>
  </conditionalFormatting>
  <conditionalFormatting sqref="T30">
    <cfRule type="expression" dxfId="78" priority="64" stopIfTrue="1">
      <formula>(S30+T30)&gt;C30</formula>
    </cfRule>
  </conditionalFormatting>
  <conditionalFormatting sqref="T31">
    <cfRule type="expression" dxfId="77" priority="63" stopIfTrue="1">
      <formula>(S31+T31)&gt;C31</formula>
    </cfRule>
  </conditionalFormatting>
  <conditionalFormatting sqref="T32">
    <cfRule type="expression" dxfId="76" priority="62" stopIfTrue="1">
      <formula>(S32+T32)&gt;C32</formula>
    </cfRule>
  </conditionalFormatting>
  <conditionalFormatting sqref="T33">
    <cfRule type="expression" dxfId="75" priority="61" stopIfTrue="1">
      <formula>(S33+T33)&gt;C33</formula>
    </cfRule>
  </conditionalFormatting>
  <conditionalFormatting sqref="T34">
    <cfRule type="expression" dxfId="74" priority="60" stopIfTrue="1">
      <formula>(S34+T34)&gt;C34</formula>
    </cfRule>
  </conditionalFormatting>
  <conditionalFormatting sqref="T35:T36">
    <cfRule type="expression" dxfId="73" priority="59" stopIfTrue="1">
      <formula>(S35+T35)&gt;C35</formula>
    </cfRule>
  </conditionalFormatting>
  <conditionalFormatting sqref="T37">
    <cfRule type="expression" dxfId="72" priority="58" stopIfTrue="1">
      <formula>(S37+T37)&gt;C37</formula>
    </cfRule>
  </conditionalFormatting>
  <conditionalFormatting sqref="T40">
    <cfRule type="expression" dxfId="71" priority="57" stopIfTrue="1">
      <formula>(S40+T40)&gt;C40</formula>
    </cfRule>
  </conditionalFormatting>
  <conditionalFormatting sqref="T41">
    <cfRule type="expression" dxfId="70" priority="56" stopIfTrue="1">
      <formula>(S41+T41)&gt;C41</formula>
    </cfRule>
  </conditionalFormatting>
  <conditionalFormatting sqref="T43">
    <cfRule type="expression" dxfId="69" priority="55" stopIfTrue="1">
      <formula>(S43+T43)&gt;C43</formula>
    </cfRule>
  </conditionalFormatting>
  <conditionalFormatting sqref="T45">
    <cfRule type="expression" dxfId="68" priority="54" stopIfTrue="1">
      <formula>(S45+T45)&gt;C45</formula>
    </cfRule>
  </conditionalFormatting>
  <conditionalFormatting sqref="T46">
    <cfRule type="expression" dxfId="67" priority="53" stopIfTrue="1">
      <formula>(S46+T46)&gt;C46</formula>
    </cfRule>
  </conditionalFormatting>
  <conditionalFormatting sqref="T47">
    <cfRule type="expression" dxfId="66" priority="52" stopIfTrue="1">
      <formula>(S47+T47)&gt;C47</formula>
    </cfRule>
  </conditionalFormatting>
  <conditionalFormatting sqref="T48">
    <cfRule type="expression" dxfId="65" priority="51" stopIfTrue="1">
      <formula>(S48+T48)&gt;C48</formula>
    </cfRule>
  </conditionalFormatting>
  <conditionalFormatting sqref="T49">
    <cfRule type="expression" dxfId="64" priority="50" stopIfTrue="1">
      <formula>(S49+T49)&gt;C49</formula>
    </cfRule>
  </conditionalFormatting>
  <conditionalFormatting sqref="T50">
    <cfRule type="expression" dxfId="63" priority="49" stopIfTrue="1">
      <formula>(S50+T50)&gt;C50</formula>
    </cfRule>
  </conditionalFormatting>
  <conditionalFormatting sqref="T51">
    <cfRule type="expression" dxfId="62" priority="48" stopIfTrue="1">
      <formula>(S51+T51)&gt;C51</formula>
    </cfRule>
  </conditionalFormatting>
  <conditionalFormatting sqref="T52">
    <cfRule type="expression" dxfId="61" priority="47" stopIfTrue="1">
      <formula>(S52+T52)&gt;C52</formula>
    </cfRule>
  </conditionalFormatting>
  <conditionalFormatting sqref="T53">
    <cfRule type="expression" dxfId="60" priority="45" stopIfTrue="1">
      <formula>(S53+T53)&gt;C53</formula>
    </cfRule>
  </conditionalFormatting>
  <conditionalFormatting sqref="T65:T68">
    <cfRule type="expression" dxfId="59" priority="44" stopIfTrue="1">
      <formula>(S65+T65)&gt;C65</formula>
    </cfRule>
  </conditionalFormatting>
  <conditionalFormatting sqref="T69">
    <cfRule type="expression" dxfId="58" priority="43" stopIfTrue="1">
      <formula>(S69+T69)&gt;C69</formula>
    </cfRule>
  </conditionalFormatting>
  <conditionalFormatting sqref="T79">
    <cfRule type="expression" dxfId="57" priority="42" stopIfTrue="1">
      <formula>(S79+T79)&gt;C79</formula>
    </cfRule>
  </conditionalFormatting>
  <conditionalFormatting sqref="T80">
    <cfRule type="expression" dxfId="56" priority="41" stopIfTrue="1">
      <formula>(S80+T80)&gt;C80</formula>
    </cfRule>
  </conditionalFormatting>
  <conditionalFormatting sqref="T84">
    <cfRule type="expression" dxfId="55" priority="40" stopIfTrue="1">
      <formula>(S84+T84)&gt;C84</formula>
    </cfRule>
  </conditionalFormatting>
  <conditionalFormatting sqref="T85">
    <cfRule type="expression" dxfId="54" priority="39" stopIfTrue="1">
      <formula>(S85+T85)&gt;C85</formula>
    </cfRule>
  </conditionalFormatting>
  <conditionalFormatting sqref="T86">
    <cfRule type="expression" dxfId="53" priority="38" stopIfTrue="1">
      <formula>(S86+T86)&gt;C86</formula>
    </cfRule>
  </conditionalFormatting>
  <conditionalFormatting sqref="T87">
    <cfRule type="expression" dxfId="52" priority="37" stopIfTrue="1">
      <formula>(S87+T87)&gt;C87</formula>
    </cfRule>
  </conditionalFormatting>
  <conditionalFormatting sqref="T89">
    <cfRule type="expression" dxfId="51" priority="36" stopIfTrue="1">
      <formula>(S89+T89)&gt;C89</formula>
    </cfRule>
  </conditionalFormatting>
  <conditionalFormatting sqref="T90">
    <cfRule type="expression" dxfId="50" priority="35" stopIfTrue="1">
      <formula>(S90+T90)&gt;C90</formula>
    </cfRule>
  </conditionalFormatting>
  <conditionalFormatting sqref="T91">
    <cfRule type="expression" dxfId="49" priority="34" stopIfTrue="1">
      <formula>(S91+T91)&gt;C91</formula>
    </cfRule>
  </conditionalFormatting>
  <conditionalFormatting sqref="T92">
    <cfRule type="expression" dxfId="48" priority="33" stopIfTrue="1">
      <formula>(S92+T92)&gt;C92</formula>
    </cfRule>
  </conditionalFormatting>
  <conditionalFormatting sqref="T93">
    <cfRule type="expression" dxfId="47" priority="32" stopIfTrue="1">
      <formula>(S93+T93)&gt;C93</formula>
    </cfRule>
  </conditionalFormatting>
  <conditionalFormatting sqref="T94">
    <cfRule type="expression" dxfId="46" priority="31" stopIfTrue="1">
      <formula>(S94+T94)&gt;C94</formula>
    </cfRule>
  </conditionalFormatting>
  <conditionalFormatting sqref="T95">
    <cfRule type="expression" dxfId="45" priority="30" stopIfTrue="1">
      <formula>(S95+T95)&gt;C95</formula>
    </cfRule>
  </conditionalFormatting>
  <conditionalFormatting sqref="T99">
    <cfRule type="expression" dxfId="44" priority="27" stopIfTrue="1">
      <formula>(S99+T99)&gt;C99</formula>
    </cfRule>
  </conditionalFormatting>
  <conditionalFormatting sqref="T100">
    <cfRule type="expression" dxfId="43" priority="26" stopIfTrue="1">
      <formula>(S100+T100)&gt;C100</formula>
    </cfRule>
  </conditionalFormatting>
  <conditionalFormatting sqref="T101">
    <cfRule type="expression" dxfId="42" priority="24" stopIfTrue="1">
      <formula>(S101+T101)&gt;C101</formula>
    </cfRule>
  </conditionalFormatting>
  <conditionalFormatting sqref="T102">
    <cfRule type="expression" dxfId="41" priority="23" stopIfTrue="1">
      <formula>(S102+T102)&gt;C102</formula>
    </cfRule>
  </conditionalFormatting>
  <conditionalFormatting sqref="T103">
    <cfRule type="expression" dxfId="40" priority="22" stopIfTrue="1">
      <formula>(S103+T103)&gt;C103</formula>
    </cfRule>
  </conditionalFormatting>
  <conditionalFormatting sqref="S32">
    <cfRule type="expression" dxfId="39" priority="21" stopIfTrue="1">
      <formula>(S32+T32)&gt;C32</formula>
    </cfRule>
  </conditionalFormatting>
  <conditionalFormatting sqref="S33">
    <cfRule type="expression" dxfId="38" priority="20" stopIfTrue="1">
      <formula>(S33+T33)&gt;C33</formula>
    </cfRule>
  </conditionalFormatting>
  <conditionalFormatting sqref="S79">
    <cfRule type="expression" dxfId="37" priority="19" stopIfTrue="1">
      <formula>(S79+T79)&gt;C79</formula>
    </cfRule>
  </conditionalFormatting>
  <conditionalFormatting sqref="S29">
    <cfRule type="expression" dxfId="36" priority="18" stopIfTrue="1">
      <formula>(S29+T29)&gt;C29</formula>
    </cfRule>
  </conditionalFormatting>
  <conditionalFormatting sqref="S48">
    <cfRule type="expression" dxfId="35" priority="17" stopIfTrue="1">
      <formula>(S48+T48)&gt;C48</formula>
    </cfRule>
  </conditionalFormatting>
  <conditionalFormatting sqref="S89">
    <cfRule type="expression" dxfId="34" priority="16" stopIfTrue="1">
      <formula>(S89+T89)&gt;C89</formula>
    </cfRule>
  </conditionalFormatting>
  <conditionalFormatting sqref="S92">
    <cfRule type="expression" dxfId="33" priority="15" stopIfTrue="1">
      <formula>(S92+T92)&gt;C92</formula>
    </cfRule>
  </conditionalFormatting>
  <conditionalFormatting sqref="S90">
    <cfRule type="expression" dxfId="32" priority="14" stopIfTrue="1">
      <formula>(S90+T90)&gt;C90</formula>
    </cfRule>
  </conditionalFormatting>
  <conditionalFormatting sqref="S40">
    <cfRule type="expression" dxfId="31" priority="13" stopIfTrue="1">
      <formula>(S40+T40)&gt;C40</formula>
    </cfRule>
  </conditionalFormatting>
  <conditionalFormatting sqref="S43">
    <cfRule type="expression" dxfId="30" priority="12" stopIfTrue="1">
      <formula>(S43+T43)&gt;C43</formula>
    </cfRule>
  </conditionalFormatting>
  <conditionalFormatting sqref="S99">
    <cfRule type="expression" dxfId="29" priority="11" stopIfTrue="1">
      <formula>(S99+T99)&gt;C99</formula>
    </cfRule>
  </conditionalFormatting>
  <conditionalFormatting sqref="S66">
    <cfRule type="expression" dxfId="28" priority="9" stopIfTrue="1">
      <formula>(S66+T66)&gt;C66</formula>
    </cfRule>
  </conditionalFormatting>
  <conditionalFormatting sqref="S80">
    <cfRule type="expression" dxfId="27" priority="8" stopIfTrue="1">
      <formula>(S80+T80)&gt;C80</formula>
    </cfRule>
  </conditionalFormatting>
  <conditionalFormatting sqref="S46">
    <cfRule type="expression" dxfId="26" priority="7" stopIfTrue="1">
      <formula>(S46+T46)&gt;C46</formula>
    </cfRule>
  </conditionalFormatting>
  <conditionalFormatting sqref="S53">
    <cfRule type="expression" dxfId="25" priority="6" stopIfTrue="1">
      <formula>(S53+T53)&gt;C53</formula>
    </cfRule>
  </conditionalFormatting>
  <conditionalFormatting sqref="S51">
    <cfRule type="expression" dxfId="24" priority="5" stopIfTrue="1">
      <formula>(S51+T51)&gt;C51</formula>
    </cfRule>
  </conditionalFormatting>
  <conditionalFormatting sqref="S52">
    <cfRule type="expression" dxfId="23" priority="4" stopIfTrue="1">
      <formula>(S52+T52)&gt;C52</formula>
    </cfRule>
  </conditionalFormatting>
  <conditionalFormatting sqref="S67">
    <cfRule type="expression" dxfId="22" priority="3" stopIfTrue="1">
      <formula>(S67+T67)&gt;C67</formula>
    </cfRule>
  </conditionalFormatting>
  <conditionalFormatting sqref="S86">
    <cfRule type="expression" dxfId="21" priority="2" stopIfTrue="1">
      <formula>(S86+T86)&gt;C86</formula>
    </cfRule>
  </conditionalFormatting>
  <conditionalFormatting sqref="S85">
    <cfRule type="expression" dxfId="20" priority="1" stopIfTrue="1">
      <formula>(S85+T85)&gt;C85</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8"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9" t="s">
        <v>1450</v>
      </c>
      <c r="B1" s="2600"/>
      <c r="C1" s="2600"/>
      <c r="D1" s="2600"/>
      <c r="E1" s="2600"/>
      <c r="F1" s="2600"/>
      <c r="G1" s="2600"/>
      <c r="H1" s="2600"/>
      <c r="I1" s="2600"/>
      <c r="J1" s="2601"/>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3000000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60000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3060000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3060000</v>
      </c>
      <c r="C12" s="566">
        <f>SUM(C8+C11)</f>
        <v>0</v>
      </c>
      <c r="D12" s="566">
        <f>SUM(D8+D11)</f>
        <v>0</v>
      </c>
      <c r="E12" s="568"/>
      <c r="F12" s="568"/>
      <c r="G12" s="568"/>
      <c r="H12" s="568"/>
      <c r="I12" s="568"/>
      <c r="J12" s="568"/>
      <c r="K12" s="564"/>
    </row>
    <row r="13" spans="1:11" s="565" customFormat="1">
      <c r="A13" s="571" t="s">
        <v>975</v>
      </c>
      <c r="B13" s="566">
        <f>'Sources and Uses Budget'!C13</f>
        <v>172392</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1500000</v>
      </c>
      <c r="C29" s="567"/>
      <c r="D29" s="567"/>
      <c r="E29" s="566">
        <f>'Sources and Uses Budget'!S29</f>
        <v>1500000</v>
      </c>
      <c r="F29" s="567"/>
      <c r="G29" s="567"/>
      <c r="H29" s="566">
        <f>'Sources and Uses Budget'!T29</f>
        <v>0</v>
      </c>
      <c r="I29" s="567"/>
      <c r="J29" s="567"/>
      <c r="K29" s="564"/>
    </row>
    <row r="30" spans="1:11" s="565" customFormat="1">
      <c r="A30" s="215" t="s">
        <v>636</v>
      </c>
      <c r="B30" s="566">
        <f>'Sources and Uses Budget'!C30</f>
        <v>37981025</v>
      </c>
      <c r="C30" s="567"/>
      <c r="D30" s="567"/>
      <c r="E30" s="566">
        <f>'Sources and Uses Budget'!S30</f>
        <v>37981025</v>
      </c>
      <c r="F30" s="567"/>
      <c r="G30" s="567"/>
      <c r="H30" s="566">
        <f>'Sources and Uses Budget'!T30</f>
        <v>0</v>
      </c>
      <c r="I30" s="567"/>
      <c r="J30" s="567"/>
      <c r="K30" s="564"/>
    </row>
    <row r="31" spans="1:11" s="565" customFormat="1">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2872000</v>
      </c>
      <c r="C32" s="567"/>
      <c r="D32" s="567"/>
      <c r="E32" s="566">
        <f>'Sources and Uses Budget'!S32</f>
        <v>2872000</v>
      </c>
      <c r="F32" s="567"/>
      <c r="G32" s="567"/>
      <c r="H32" s="566">
        <f>'Sources and Uses Budget'!T32</f>
        <v>0</v>
      </c>
      <c r="I32" s="567"/>
      <c r="J32" s="567"/>
      <c r="K32" s="564"/>
    </row>
    <row r="33" spans="1:11" s="565" customFormat="1">
      <c r="A33" s="215" t="s">
        <v>143</v>
      </c>
      <c r="B33" s="566">
        <f>'Sources and Uses Budget'!C33</f>
        <v>2154000</v>
      </c>
      <c r="C33" s="567"/>
      <c r="D33" s="567"/>
      <c r="E33" s="566">
        <f>'Sources and Uses Budget'!S33</f>
        <v>2154000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44507025</v>
      </c>
      <c r="C38" s="566">
        <f>SUM(C29:C37)</f>
        <v>0</v>
      </c>
      <c r="D38" s="566">
        <f>SUM(D29:D37)</f>
        <v>0</v>
      </c>
      <c r="E38" s="566">
        <f>'Sources and Uses Budget'!S38</f>
        <v>44507025</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777000</v>
      </c>
      <c r="C40" s="567"/>
      <c r="D40" s="567"/>
      <c r="E40" s="566">
        <f>'Sources and Uses Budget'!S40</f>
        <v>777000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777000</v>
      </c>
      <c r="C42" s="566">
        <f>SUM(C39:C41)</f>
        <v>0</v>
      </c>
      <c r="D42" s="566">
        <f>SUM(D39:D41)</f>
        <v>0</v>
      </c>
      <c r="E42" s="566">
        <f>'Sources and Uses Budget'!S42</f>
        <v>777000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200000</v>
      </c>
      <c r="C43" s="567"/>
      <c r="D43" s="567"/>
      <c r="E43" s="566">
        <f>'Sources and Uses Budget'!S43</f>
        <v>200000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3330000</v>
      </c>
      <c r="C45" s="567"/>
      <c r="D45" s="567"/>
      <c r="E45" s="566">
        <f>'Sources and Uses Budget'!S45</f>
        <v>2253000</v>
      </c>
      <c r="F45" s="567"/>
      <c r="G45" s="567"/>
      <c r="H45" s="566">
        <f>'Sources and Uses Budget'!T45</f>
        <v>0</v>
      </c>
      <c r="I45" s="567"/>
      <c r="J45" s="567"/>
      <c r="K45" s="564"/>
    </row>
    <row r="46" spans="1:11" s="565" customFormat="1">
      <c r="A46" s="569" t="s">
        <v>156</v>
      </c>
      <c r="B46" s="566">
        <f>'Sources and Uses Budget'!C46</f>
        <v>541000</v>
      </c>
      <c r="C46" s="567"/>
      <c r="D46" s="567"/>
      <c r="E46" s="566">
        <f>'Sources and Uses Budget'!S46</f>
        <v>270500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189080</v>
      </c>
      <c r="C48" s="567"/>
      <c r="D48" s="567"/>
      <c r="E48" s="566">
        <f>'Sources and Uses Budget'!S48</f>
        <v>189080</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0</v>
      </c>
      <c r="C50" s="567"/>
      <c r="D50" s="567"/>
      <c r="E50" s="566">
        <f>'Sources and Uses Budget'!S50</f>
        <v>0</v>
      </c>
      <c r="F50" s="567"/>
      <c r="G50" s="567"/>
      <c r="H50" s="566">
        <f>'Sources and Uses Budget'!T50</f>
        <v>0</v>
      </c>
      <c r="I50" s="567"/>
      <c r="J50" s="567"/>
      <c r="K50" s="564"/>
    </row>
    <row r="51" spans="1:11" s="565" customFormat="1">
      <c r="A51" s="569" t="s">
        <v>159</v>
      </c>
      <c r="B51" s="566">
        <f>'Sources and Uses Budget'!C51</f>
        <v>70000</v>
      </c>
      <c r="C51" s="567"/>
      <c r="D51" s="567"/>
      <c r="E51" s="566">
        <f>'Sources and Uses Budget'!S51</f>
        <v>70000</v>
      </c>
      <c r="F51" s="567"/>
      <c r="G51" s="567"/>
      <c r="H51" s="566">
        <f>'Sources and Uses Budget'!T51</f>
        <v>0</v>
      </c>
      <c r="I51" s="567"/>
      <c r="J51" s="567"/>
      <c r="K51" s="564"/>
    </row>
    <row r="52" spans="1:11" s="565" customFormat="1">
      <c r="A52" s="569" t="s">
        <v>160</v>
      </c>
      <c r="B52" s="566">
        <f>'Sources and Uses Budget'!C52</f>
        <v>667605</v>
      </c>
      <c r="C52" s="567"/>
      <c r="D52" s="567"/>
      <c r="E52" s="566">
        <f>'Sources and Uses Budget'!S52</f>
        <v>667605</v>
      </c>
      <c r="F52" s="567"/>
      <c r="G52" s="567"/>
      <c r="H52" s="566">
        <f>'Sources and Uses Budget'!T52</f>
        <v>0</v>
      </c>
      <c r="I52" s="567"/>
      <c r="J52" s="567"/>
      <c r="K52" s="564"/>
    </row>
    <row r="53" spans="1:11" s="565" customFormat="1">
      <c r="A53" s="572" t="str">
        <f>'Sources and Uses Budget'!$A53</f>
        <v>Construction Monitoring</v>
      </c>
      <c r="B53" s="566">
        <f>'Sources and Uses Budget'!C53</f>
        <v>50000</v>
      </c>
      <c r="C53" s="567"/>
      <c r="D53" s="567"/>
      <c r="E53" s="566">
        <f>'Sources and Uses Budget'!S53</f>
        <v>50000</v>
      </c>
      <c r="F53" s="567"/>
      <c r="G53" s="567"/>
      <c r="H53" s="566">
        <f>'Sources and Uses Budget'!T53</f>
        <v>0</v>
      </c>
      <c r="I53" s="567"/>
      <c r="J53" s="567"/>
      <c r="K53" s="564"/>
    </row>
    <row r="54" spans="1:11" s="576" customFormat="1">
      <c r="A54" s="570" t="s">
        <v>162</v>
      </c>
      <c r="B54" s="566">
        <f>'Sources and Uses Budget'!C54</f>
        <v>4847685</v>
      </c>
      <c r="C54" s="573">
        <f>SUM(C45:C53)</f>
        <v>0</v>
      </c>
      <c r="D54" s="573">
        <f>SUM(D45:D53)</f>
        <v>0</v>
      </c>
      <c r="E54" s="566">
        <f>'Sources and Uses Budget'!S54</f>
        <v>3500185</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549000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30000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Reports</v>
      </c>
      <c r="B61" s="566">
        <f>'Sources and Uses Budget'!C61</f>
        <v>35000</v>
      </c>
      <c r="C61" s="567"/>
      <c r="D61" s="567"/>
      <c r="E61" s="568"/>
      <c r="F61" s="568"/>
      <c r="G61" s="568"/>
      <c r="H61" s="568"/>
      <c r="I61" s="568"/>
      <c r="J61" s="568"/>
      <c r="K61" s="564"/>
    </row>
    <row r="62" spans="1:11" s="565" customFormat="1" ht="13.7" customHeight="1">
      <c r="A62" s="570" t="s">
        <v>311</v>
      </c>
      <c r="B62" s="566">
        <f>'Sources and Uses Budget'!C62</f>
        <v>614000</v>
      </c>
      <c r="C62" s="566">
        <f>SUM(C56:C61)</f>
        <v>0</v>
      </c>
      <c r="D62" s="566">
        <f>SUM(D56:D61)</f>
        <v>0</v>
      </c>
      <c r="E62" s="568"/>
      <c r="F62" s="568"/>
      <c r="G62" s="568"/>
      <c r="H62" s="568"/>
      <c r="I62" s="568"/>
      <c r="J62" s="568"/>
      <c r="K62" s="564"/>
    </row>
    <row r="63" spans="1:11" s="565" customFormat="1">
      <c r="A63" s="577" t="s">
        <v>312</v>
      </c>
      <c r="B63" s="566">
        <f>'Sources and Uses Budget'!C63</f>
        <v>54178102</v>
      </c>
      <c r="C63" s="566">
        <f>SUM(C8+C11+C13+C14+C15+C26+C27+C38+C42+C43+C54+C62)</f>
        <v>0</v>
      </c>
      <c r="D63" s="566">
        <f>SUM(D8+D11+D13+D14+D15+D26+D27+D38+D42+D43+D54+D62)</f>
        <v>0</v>
      </c>
      <c r="E63" s="566">
        <f>'Sources and Uses Budget'!S63</f>
        <v>48984210</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0</v>
      </c>
      <c r="C65" s="567"/>
      <c r="D65" s="567"/>
      <c r="E65" s="566">
        <f>'Sources and Uses Budget'!S65</f>
        <v>0</v>
      </c>
      <c r="F65" s="567"/>
      <c r="G65" s="567"/>
      <c r="H65" s="566">
        <f>'Sources and Uses Budget'!T65</f>
        <v>0</v>
      </c>
      <c r="I65" s="567"/>
      <c r="J65" s="567"/>
      <c r="K65" s="564"/>
    </row>
    <row r="66" spans="1:11" s="565" customFormat="1" ht="24">
      <c r="A66" s="441" t="s">
        <v>2010</v>
      </c>
      <c r="B66" s="566">
        <f>'Sources and Uses Budget'!C66</f>
        <v>25000</v>
      </c>
      <c r="C66" s="567"/>
      <c r="D66" s="567"/>
      <c r="E66" s="566">
        <f>'Sources and Uses Budget'!S66</f>
        <v>25000</v>
      </c>
      <c r="F66" s="567"/>
      <c r="G66" s="567"/>
      <c r="H66" s="566">
        <f>'Sources and Uses Budget'!T66</f>
        <v>0</v>
      </c>
      <c r="I66" s="567"/>
      <c r="J66" s="567"/>
      <c r="K66" s="564"/>
    </row>
    <row r="67" spans="1:11" s="565" customFormat="1" ht="24">
      <c r="A67" s="441" t="s">
        <v>2011</v>
      </c>
      <c r="B67" s="566">
        <f>'Sources and Uses Budget'!C67</f>
        <v>41160</v>
      </c>
      <c r="C67" s="567"/>
      <c r="D67" s="567"/>
      <c r="E67" s="566">
        <f>'Sources and Uses Budget'!S67</f>
        <v>41160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Transaction Legal</v>
      </c>
      <c r="B69" s="566">
        <f>'Sources and Uses Budget'!C69</f>
        <v>210000</v>
      </c>
      <c r="C69" s="567"/>
      <c r="D69" s="567"/>
      <c r="E69" s="566">
        <f>'Sources and Uses Budget'!S69</f>
        <v>60000</v>
      </c>
      <c r="F69" s="567"/>
      <c r="G69" s="567"/>
      <c r="H69" s="566">
        <f>'Sources and Uses Budget'!T69</f>
        <v>0</v>
      </c>
      <c r="I69" s="567"/>
      <c r="J69" s="567"/>
      <c r="K69" s="564"/>
    </row>
    <row r="70" spans="1:11" s="565" customFormat="1">
      <c r="A70" s="570" t="s">
        <v>638</v>
      </c>
      <c r="B70" s="566">
        <f>'Sources and Uses Budget'!C70</f>
        <v>276160</v>
      </c>
      <c r="C70" s="566">
        <f>SUM(C64:C69)</f>
        <v>0</v>
      </c>
      <c r="D70" s="566">
        <f>SUM(D64:D69)</f>
        <v>0</v>
      </c>
      <c r="E70" s="566">
        <f>'Sources and Uses Budget'!S70</f>
        <v>126160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160000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48000</v>
      </c>
      <c r="C74" s="567"/>
      <c r="D74" s="567"/>
      <c r="E74" s="568"/>
      <c r="F74" s="568"/>
      <c r="G74" s="568"/>
      <c r="H74" s="568"/>
      <c r="I74" s="568"/>
      <c r="J74" s="568"/>
      <c r="K74" s="564"/>
    </row>
    <row r="75" spans="1:11" s="565" customFormat="1">
      <c r="A75" s="569" t="s">
        <v>642</v>
      </c>
      <c r="B75" s="566">
        <f>'Sources and Uses Budget'!C75</f>
        <v>1294276</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1502276</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1720000</v>
      </c>
      <c r="C79" s="567"/>
      <c r="D79" s="567"/>
      <c r="E79" s="566">
        <f>'Sources and Uses Budget'!S79</f>
        <v>1720000</v>
      </c>
      <c r="F79" s="567"/>
      <c r="G79" s="567"/>
      <c r="H79" s="566">
        <f>'Sources and Uses Budget'!T79</f>
        <v>0</v>
      </c>
      <c r="I79" s="567"/>
      <c r="J79" s="567"/>
      <c r="K79" s="564"/>
    </row>
    <row r="80" spans="1:11" s="565" customFormat="1">
      <c r="A80" s="569" t="s">
        <v>61</v>
      </c>
      <c r="B80" s="566">
        <f>'Sources and Uses Budget'!C80</f>
        <v>200000</v>
      </c>
      <c r="C80" s="567"/>
      <c r="D80" s="567"/>
      <c r="E80" s="566">
        <f>'Sources and Uses Budget'!S80</f>
        <v>200000</v>
      </c>
      <c r="F80" s="567"/>
      <c r="G80" s="567"/>
      <c r="H80" s="566">
        <f>'Sources and Uses Budget'!T80</f>
        <v>0</v>
      </c>
      <c r="I80" s="567"/>
      <c r="J80" s="567"/>
      <c r="K80" s="564"/>
    </row>
    <row r="81" spans="1:11" s="565" customFormat="1">
      <c r="A81" s="570" t="s">
        <v>1427</v>
      </c>
      <c r="B81" s="566">
        <f>'Sources and Uses Budget'!C81</f>
        <v>1920000</v>
      </c>
      <c r="C81" s="566">
        <f>SUM(C79:C80)</f>
        <v>0</v>
      </c>
      <c r="D81" s="566">
        <f>SUM(D79:D80)</f>
        <v>0</v>
      </c>
      <c r="E81" s="566">
        <f>'Sources and Uses Budget'!S81</f>
        <v>1920000</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234000</v>
      </c>
      <c r="C83" s="567"/>
      <c r="D83" s="567"/>
      <c r="E83" s="568"/>
      <c r="F83" s="568"/>
      <c r="G83" s="568"/>
      <c r="H83" s="568"/>
      <c r="I83" s="568"/>
      <c r="J83" s="568"/>
      <c r="K83" s="564"/>
    </row>
    <row r="84" spans="1:11" s="565" customFormat="1">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830</v>
      </c>
      <c r="B85" s="566">
        <f>'Sources and Uses Budget'!C85</f>
        <v>2666720</v>
      </c>
      <c r="C85" s="567"/>
      <c r="D85" s="567"/>
      <c r="E85" s="566">
        <f>'Sources and Uses Budget'!S85</f>
        <v>2666720</v>
      </c>
      <c r="F85" s="567"/>
      <c r="G85" s="567"/>
      <c r="H85" s="566">
        <f>'Sources and Uses Budget'!T85</f>
        <v>0</v>
      </c>
      <c r="I85" s="567"/>
      <c r="J85" s="567"/>
      <c r="K85" s="564"/>
    </row>
    <row r="86" spans="1:11" s="565" customFormat="1">
      <c r="A86" s="215" t="s">
        <v>831</v>
      </c>
      <c r="B86" s="566">
        <f>'Sources and Uses Budget'!C86</f>
        <v>240000</v>
      </c>
      <c r="C86" s="567"/>
      <c r="D86" s="567"/>
      <c r="E86" s="566">
        <f>'Sources and Uses Budget'!S86</f>
        <v>240000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160000</v>
      </c>
      <c r="C88" s="567"/>
      <c r="D88" s="567"/>
      <c r="E88" s="568"/>
      <c r="F88" s="568"/>
      <c r="G88" s="568"/>
      <c r="H88" s="568"/>
      <c r="I88" s="568"/>
      <c r="J88" s="568"/>
      <c r="K88" s="564"/>
    </row>
    <row r="89" spans="1:11" s="565" customFormat="1">
      <c r="A89" s="215" t="s">
        <v>834</v>
      </c>
      <c r="B89" s="566">
        <f>'Sources and Uses Budget'!C89</f>
        <v>103626</v>
      </c>
      <c r="C89" s="567"/>
      <c r="D89" s="567"/>
      <c r="E89" s="566">
        <f>'Sources and Uses Budget'!S89</f>
        <v>32000</v>
      </c>
      <c r="F89" s="567"/>
      <c r="G89" s="567"/>
      <c r="H89" s="566">
        <f>'Sources and Uses Budget'!T89</f>
        <v>0</v>
      </c>
      <c r="I89" s="567"/>
      <c r="J89" s="567"/>
      <c r="K89" s="564"/>
    </row>
    <row r="90" spans="1:11" s="565" customFormat="1">
      <c r="A90" s="215" t="s">
        <v>835</v>
      </c>
      <c r="B90" s="566">
        <f>'Sources and Uses Budget'!C90</f>
        <v>12000</v>
      </c>
      <c r="C90" s="567"/>
      <c r="D90" s="567"/>
      <c r="E90" s="566">
        <f>'Sources and Uses Budget'!S90</f>
        <v>12000</v>
      </c>
      <c r="F90" s="567"/>
      <c r="G90" s="567"/>
      <c r="H90" s="566">
        <f>'Sources and Uses Budget'!T90</f>
        <v>0</v>
      </c>
      <c r="I90" s="567"/>
      <c r="J90" s="567"/>
      <c r="K90" s="564"/>
    </row>
    <row r="91" spans="1:11" s="565" customFormat="1">
      <c r="A91" s="226" t="s">
        <v>392</v>
      </c>
      <c r="B91" s="566">
        <f>'Sources and Uses Budget'!C91</f>
        <v>30000</v>
      </c>
      <c r="C91" s="567"/>
      <c r="D91" s="567"/>
      <c r="E91" s="566">
        <f>'Sources and Uses Budget'!S91</f>
        <v>0</v>
      </c>
      <c r="F91" s="567"/>
      <c r="G91" s="567"/>
      <c r="H91" s="566">
        <f>'Sources and Uses Budget'!T91</f>
        <v>0</v>
      </c>
      <c r="I91" s="567"/>
      <c r="J91" s="567"/>
      <c r="K91" s="564"/>
    </row>
    <row r="92" spans="1:11" s="565" customFormat="1">
      <c r="A92" s="860" t="s">
        <v>1429</v>
      </c>
      <c r="B92" s="566">
        <f>'Sources and Uses Budget'!C92</f>
        <v>15000</v>
      </c>
      <c r="C92" s="567"/>
      <c r="D92" s="567"/>
      <c r="E92" s="566">
        <f>'Sources and Uses Budget'!S92</f>
        <v>0</v>
      </c>
      <c r="F92" s="567"/>
      <c r="G92" s="567"/>
      <c r="H92" s="566">
        <f>'Sources and Uses Budget'!T92</f>
        <v>0</v>
      </c>
      <c r="I92" s="567"/>
      <c r="J92" s="567"/>
      <c r="K92" s="564"/>
    </row>
    <row r="93" spans="1:11" s="565" customFormat="1">
      <c r="A93" s="572" t="str">
        <f>'Sources and Uses Budget'!$A93</f>
        <v>Bond Issuance</v>
      </c>
      <c r="B93" s="566">
        <f>'Sources and Uses Budget'!C93</f>
        <v>430000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3891346</v>
      </c>
      <c r="C96" s="566">
        <f>SUM(C83:C95)</f>
        <v>0</v>
      </c>
      <c r="D96" s="566">
        <f>SUM(D83:D95)</f>
        <v>0</v>
      </c>
      <c r="E96" s="566">
        <f>'Sources and Uses Budget'!S96</f>
        <v>2950720</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61767884</v>
      </c>
      <c r="C97" s="566">
        <f>SUM(C63+C70+C77+C81+C96)</f>
        <v>0</v>
      </c>
      <c r="D97" s="566">
        <f>SUM(D63+D70+D77+D81+D96)</f>
        <v>0</v>
      </c>
      <c r="E97" s="566">
        <f>'Sources and Uses Budget'!S97</f>
        <v>53981090</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8046914</v>
      </c>
      <c r="C99" s="567"/>
      <c r="D99" s="567"/>
      <c r="E99" s="566">
        <f>'Sources and Uses Budget'!S99</f>
        <v>8046914</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8046914</v>
      </c>
      <c r="C104" s="566">
        <f>SUM(C99:C103)</f>
        <v>0</v>
      </c>
      <c r="D104" s="566">
        <f>SUM(D99:D103)</f>
        <v>0</v>
      </c>
      <c r="E104" s="566">
        <f>'Sources and Uses Budget'!S104</f>
        <v>8046914</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69814798</v>
      </c>
      <c r="C105" s="573">
        <f>SUM(C97+C104)</f>
        <v>0</v>
      </c>
      <c r="D105" s="573">
        <f>SUM(D97+D104)</f>
        <v>0</v>
      </c>
      <c r="E105" s="566">
        <f>'Sources and Uses Budget'!S105</f>
        <v>62028004</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62028004</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3"/>
      <c r="E124" s="2594"/>
      <c r="F124" s="2594"/>
      <c r="G124" s="2594"/>
      <c r="H124" s="2594"/>
      <c r="I124" s="2594"/>
      <c r="J124" s="584"/>
      <c r="K124" s="564"/>
    </row>
    <row r="125" spans="1:11" s="565" customFormat="1" ht="12.75">
      <c r="A125" s="595"/>
      <c r="B125" s="594"/>
      <c r="C125" s="595"/>
      <c r="D125" s="2594"/>
      <c r="E125" s="2594"/>
      <c r="F125" s="2594"/>
      <c r="G125" s="2594"/>
      <c r="H125" s="2594"/>
      <c r="I125" s="2594"/>
      <c r="J125" s="584"/>
      <c r="K125" s="564"/>
    </row>
    <row r="126" spans="1:11" s="565" customFormat="1" ht="12.75">
      <c r="A126" s="595"/>
      <c r="B126" s="594"/>
      <c r="C126" s="595"/>
      <c r="D126" s="2594"/>
      <c r="E126" s="2594"/>
      <c r="F126" s="2594"/>
      <c r="G126" s="2594"/>
      <c r="H126" s="2594"/>
      <c r="I126" s="2594"/>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5"/>
      <c r="B139" s="2596"/>
      <c r="C139" s="2596"/>
      <c r="D139" s="607"/>
      <c r="E139" s="595"/>
      <c r="F139" s="595"/>
      <c r="G139" s="595"/>
    </row>
    <row r="140" spans="1:11" ht="12" customHeight="1">
      <c r="A140" s="2597"/>
      <c r="B140" s="2598"/>
      <c r="C140" s="2598"/>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30"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84" t="s">
        <v>2048</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6"/>
    </row>
    <row r="2" spans="1:58" ht="15.75" customHeight="1">
      <c r="A2" s="2987" t="s">
        <v>2049</v>
      </c>
      <c r="B2" s="2988"/>
      <c r="C2" s="2988"/>
      <c r="D2" s="2988"/>
      <c r="E2" s="2988"/>
      <c r="F2" s="2988"/>
      <c r="G2" s="2988"/>
      <c r="H2" s="2988"/>
      <c r="I2" s="2988"/>
      <c r="J2" s="2988"/>
      <c r="K2" s="2988"/>
      <c r="L2" s="2988"/>
      <c r="M2" s="2988"/>
      <c r="N2" s="2988"/>
      <c r="O2" s="2988"/>
      <c r="P2" s="2988"/>
      <c r="Q2" s="2988"/>
      <c r="R2" s="2988"/>
      <c r="S2" s="2988"/>
      <c r="T2" s="2988"/>
      <c r="U2" s="2988"/>
      <c r="V2" s="2988"/>
      <c r="W2" s="2988"/>
      <c r="X2" s="2988"/>
      <c r="Y2" s="2988"/>
      <c r="Z2" s="2988"/>
      <c r="AA2" s="2988"/>
      <c r="AB2" s="2988"/>
      <c r="AC2" s="2988"/>
      <c r="AD2" s="2988"/>
      <c r="AE2" s="2988"/>
      <c r="AF2" s="2988"/>
      <c r="AG2" s="2988"/>
      <c r="AH2" s="2988"/>
      <c r="AI2" s="2988"/>
      <c r="AJ2" s="2988"/>
      <c r="AK2" s="2988"/>
      <c r="AL2" s="2988"/>
      <c r="AM2" s="2988"/>
      <c r="AN2" s="2988"/>
      <c r="AO2" s="2988"/>
      <c r="AP2" s="2988"/>
      <c r="AQ2" s="2988"/>
      <c r="AR2" s="2988"/>
      <c r="AS2" s="2988"/>
      <c r="AT2" s="2988"/>
      <c r="AU2" s="2988"/>
      <c r="AV2" s="2988"/>
      <c r="AW2" s="2988"/>
      <c r="AX2" s="2988"/>
      <c r="AY2" s="2988"/>
      <c r="AZ2" s="2988"/>
      <c r="BA2" s="2988"/>
      <c r="BB2" s="2988"/>
      <c r="BC2" s="2988"/>
      <c r="BD2" s="2988"/>
      <c r="BE2" s="2989"/>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90" t="str">
        <f>IF(Application!H18="","",Application!H18)</f>
        <v>Centennial Gardens</v>
      </c>
      <c r="M4" s="2991"/>
      <c r="N4" s="2991"/>
      <c r="O4" s="2991"/>
      <c r="P4" s="2991"/>
      <c r="Q4" s="2991"/>
      <c r="R4" s="2991"/>
      <c r="S4" s="2991"/>
      <c r="T4" s="2991"/>
      <c r="U4" s="2991"/>
      <c r="V4" s="2991"/>
      <c r="W4" s="2991"/>
      <c r="X4" s="2991"/>
      <c r="Y4" s="2991"/>
      <c r="Z4" s="2991"/>
      <c r="AA4" s="2991"/>
      <c r="AB4" s="2991"/>
      <c r="AC4" s="2992"/>
      <c r="AD4" s="1531"/>
      <c r="AE4" s="1531"/>
      <c r="AF4" s="2695" t="s">
        <v>2050</v>
      </c>
      <c r="AG4" s="2696"/>
      <c r="AH4" s="2696"/>
      <c r="AI4" s="2696"/>
      <c r="AJ4" s="2696"/>
      <c r="AK4" s="2696"/>
      <c r="AL4" s="2696"/>
      <c r="AM4" s="2696"/>
      <c r="AN4" s="2696"/>
      <c r="AO4" s="2696"/>
      <c r="AP4" s="2993">
        <v>44197</v>
      </c>
      <c r="AQ4" s="2963"/>
      <c r="AR4" s="2963"/>
      <c r="AS4" s="2963"/>
      <c r="AT4" s="2963"/>
      <c r="AU4" s="2964"/>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12" t="s">
        <v>2051</v>
      </c>
      <c r="AG5" s="2713"/>
      <c r="AH5" s="2713"/>
      <c r="AI5" s="2713"/>
      <c r="AJ5" s="2713"/>
      <c r="AK5" s="2713"/>
      <c r="AL5" s="2713"/>
      <c r="AM5" s="2713"/>
      <c r="AN5" s="2713"/>
      <c r="AO5" s="2713"/>
      <c r="AP5" s="2993">
        <v>44197</v>
      </c>
      <c r="AQ5" s="2963"/>
      <c r="AR5" s="2963"/>
      <c r="AS5" s="2963"/>
      <c r="AT5" s="2963"/>
      <c r="AU5" s="2964"/>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69" t="str">
        <f>IF(Application!H16="","",Application!H16)</f>
        <v>Kingdom Development, Inc</v>
      </c>
      <c r="M6" s="2970"/>
      <c r="N6" s="2970"/>
      <c r="O6" s="2970"/>
      <c r="P6" s="2970"/>
      <c r="Q6" s="2970"/>
      <c r="R6" s="2970"/>
      <c r="S6" s="2970"/>
      <c r="T6" s="2970"/>
      <c r="U6" s="2970"/>
      <c r="V6" s="2970"/>
      <c r="W6" s="2970"/>
      <c r="X6" s="2970"/>
      <c r="Y6" s="2970"/>
      <c r="Z6" s="2970"/>
      <c r="AA6" s="2970"/>
      <c r="AB6" s="2970"/>
      <c r="AC6" s="297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72" t="str">
        <f>Application!T196</f>
        <v>No</v>
      </c>
      <c r="AC8" s="2973"/>
      <c r="AD8" s="2974"/>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75">
        <f>VLOOKUP("CalHFA Permanent Loan",Application!C564:AS575,37,TRUE)</f>
        <v>8720783</v>
      </c>
      <c r="O10" s="2976"/>
      <c r="P10" s="2976"/>
      <c r="Q10" s="2976"/>
      <c r="R10" s="2976"/>
      <c r="S10" s="2976"/>
      <c r="T10" s="2977"/>
      <c r="U10" s="1531"/>
      <c r="V10" s="1531"/>
      <c r="W10" s="1531"/>
      <c r="X10" s="2697" t="s">
        <v>2056</v>
      </c>
      <c r="Y10" s="2698"/>
      <c r="Z10" s="2698"/>
      <c r="AA10" s="2698"/>
      <c r="AB10" s="2698"/>
      <c r="AC10" s="2698"/>
      <c r="AD10" s="2698"/>
      <c r="AE10" s="2698"/>
      <c r="AF10" s="2698"/>
      <c r="AG10" s="2698"/>
      <c r="AH10" s="2698"/>
      <c r="AI10" s="2698"/>
      <c r="AJ10" s="2698"/>
      <c r="AK10" s="2699"/>
      <c r="AL10" s="2997" t="str">
        <f>Application!W471</f>
        <v>N/A</v>
      </c>
      <c r="AM10" s="2998"/>
      <c r="AN10" s="2998"/>
      <c r="AO10" s="2998"/>
      <c r="AP10" s="2999"/>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78">
        <f>Application!AA925</f>
        <v>0</v>
      </c>
      <c r="O11" s="2979"/>
      <c r="P11" s="2979"/>
      <c r="Q11" s="2979"/>
      <c r="R11" s="2979"/>
      <c r="S11" s="2979"/>
      <c r="T11" s="2980"/>
      <c r="U11" s="1531"/>
      <c r="V11" s="1531"/>
      <c r="W11" s="1531"/>
      <c r="X11" s="2981" t="s">
        <v>2058</v>
      </c>
      <c r="Y11" s="2982"/>
      <c r="Z11" s="2982"/>
      <c r="AA11" s="2982"/>
      <c r="AB11" s="2982"/>
      <c r="AC11" s="2982"/>
      <c r="AD11" s="2982"/>
      <c r="AE11" s="2982"/>
      <c r="AF11" s="2982"/>
      <c r="AG11" s="2982"/>
      <c r="AH11" s="2982"/>
      <c r="AI11" s="2982"/>
      <c r="AJ11" s="2982"/>
      <c r="AK11" s="2983"/>
      <c r="AL11" s="2994">
        <v>44197</v>
      </c>
      <c r="AM11" s="2995"/>
      <c r="AN11" s="2995"/>
      <c r="AO11" s="2995"/>
      <c r="AP11" s="2996"/>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97" t="s">
        <v>2059</v>
      </c>
      <c r="Y12" s="2698"/>
      <c r="Z12" s="2698"/>
      <c r="AA12" s="2698"/>
      <c r="AB12" s="2698"/>
      <c r="AC12" s="2698"/>
      <c r="AD12" s="2698"/>
      <c r="AE12" s="2698"/>
      <c r="AF12" s="2698"/>
      <c r="AG12" s="2698"/>
      <c r="AH12" s="2698"/>
      <c r="AI12" s="2698"/>
      <c r="AJ12" s="2698"/>
      <c r="AK12" s="2699"/>
      <c r="AL12" s="2994">
        <v>44197</v>
      </c>
      <c r="AM12" s="2995"/>
      <c r="AN12" s="2995"/>
      <c r="AO12" s="2995"/>
      <c r="AP12" s="2996"/>
      <c r="AQ12" s="1534"/>
      <c r="AR12" s="1534"/>
      <c r="AS12" s="1534"/>
      <c r="AT12" s="1534"/>
      <c r="AU12" s="1534"/>
      <c r="AV12" s="1531"/>
      <c r="AW12" s="1531"/>
      <c r="AX12" s="1531"/>
      <c r="AY12" s="1531"/>
      <c r="AZ12" s="1531"/>
      <c r="BA12" s="1531"/>
      <c r="BB12" s="1531"/>
      <c r="BC12" s="1531"/>
      <c r="BD12" s="1531"/>
      <c r="BE12" s="1537"/>
    </row>
    <row r="13" spans="1:58" thickBot="1">
      <c r="A13" s="1836"/>
      <c r="B13" s="2697" t="s">
        <v>2060</v>
      </c>
      <c r="C13" s="2698"/>
      <c r="D13" s="2698"/>
      <c r="E13" s="2698"/>
      <c r="F13" s="2698"/>
      <c r="G13" s="2698"/>
      <c r="H13" s="2698"/>
      <c r="I13" s="2698"/>
      <c r="J13" s="2698"/>
      <c r="K13" s="2698"/>
      <c r="L13" s="2698"/>
      <c r="M13" s="2698"/>
      <c r="N13" s="2698"/>
      <c r="O13" s="2698"/>
      <c r="P13" s="2699"/>
      <c r="Q13" s="2962" t="s">
        <v>2054</v>
      </c>
      <c r="R13" s="2963"/>
      <c r="S13" s="2963"/>
      <c r="T13" s="2964"/>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65" t="s">
        <v>2061</v>
      </c>
      <c r="C15" s="2965"/>
      <c r="D15" s="2965"/>
      <c r="E15" s="2965"/>
      <c r="F15" s="2965"/>
      <c r="G15" s="2965"/>
      <c r="H15" s="2965"/>
      <c r="I15" s="2965"/>
      <c r="J15" s="2965"/>
      <c r="K15" s="2965"/>
      <c r="L15" s="2966"/>
      <c r="M15" s="2695" t="s">
        <v>2062</v>
      </c>
      <c r="N15" s="2696"/>
      <c r="O15" s="2696"/>
      <c r="P15" s="2696"/>
      <c r="Q15" s="2696"/>
      <c r="R15" s="2696"/>
      <c r="S15" s="2967" t="str">
        <f>IF(Application!AB214="","",Application!AB214)</f>
        <v/>
      </c>
      <c r="T15" s="2967"/>
      <c r="U15" s="2967"/>
      <c r="V15" s="2967"/>
      <c r="W15" s="2968"/>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66" t="s">
        <v>2063</v>
      </c>
      <c r="C17" s="2767"/>
      <c r="D17" s="2767"/>
      <c r="E17" s="2767"/>
      <c r="F17" s="2767"/>
      <c r="G17" s="2767"/>
      <c r="H17" s="2767"/>
      <c r="I17" s="2767"/>
      <c r="J17" s="2767"/>
      <c r="K17" s="2767"/>
      <c r="L17" s="2767"/>
      <c r="M17" s="2767"/>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c r="AL17" s="2767"/>
      <c r="AM17" s="2767"/>
      <c r="AN17" s="2767"/>
      <c r="AO17" s="2767"/>
      <c r="AP17" s="2767"/>
      <c r="AQ17" s="2767"/>
      <c r="AR17" s="2767"/>
      <c r="AS17" s="2767"/>
      <c r="AT17" s="2767"/>
      <c r="AU17" s="2767"/>
      <c r="AV17" s="2767"/>
      <c r="AW17" s="2767"/>
      <c r="AX17" s="2767"/>
      <c r="AY17" s="2828"/>
      <c r="AZ17" s="1531"/>
      <c r="BA17" s="1531"/>
      <c r="BB17" s="1531"/>
      <c r="BC17" s="1531"/>
      <c r="BD17" s="1531"/>
      <c r="BE17" s="1537"/>
      <c r="BF17" s="1529"/>
    </row>
    <row r="18" spans="1:58" ht="15.75" customHeight="1">
      <c r="A18" s="1836"/>
      <c r="B18" s="2958" t="s">
        <v>2064</v>
      </c>
      <c r="C18" s="2959"/>
      <c r="D18" s="2959"/>
      <c r="E18" s="2959"/>
      <c r="F18" s="2959"/>
      <c r="G18" s="2959"/>
      <c r="H18" s="2959"/>
      <c r="I18" s="2960"/>
      <c r="J18" s="2944" t="s">
        <v>1894</v>
      </c>
      <c r="K18" s="2945"/>
      <c r="L18" s="2945"/>
      <c r="M18" s="2945"/>
      <c r="N18" s="2945"/>
      <c r="O18" s="2946"/>
      <c r="P18" s="2944" t="s">
        <v>335</v>
      </c>
      <c r="Q18" s="2945"/>
      <c r="R18" s="2945"/>
      <c r="S18" s="2945"/>
      <c r="T18" s="2945"/>
      <c r="U18" s="2946"/>
      <c r="V18" s="2944" t="s">
        <v>336</v>
      </c>
      <c r="W18" s="2945"/>
      <c r="X18" s="2945"/>
      <c r="Y18" s="2945"/>
      <c r="Z18" s="2945"/>
      <c r="AA18" s="2946"/>
      <c r="AB18" s="2944" t="s">
        <v>168</v>
      </c>
      <c r="AC18" s="2945"/>
      <c r="AD18" s="2945"/>
      <c r="AE18" s="2945"/>
      <c r="AF18" s="2945"/>
      <c r="AG18" s="2946"/>
      <c r="AH18" s="2944" t="s">
        <v>169</v>
      </c>
      <c r="AI18" s="2945"/>
      <c r="AJ18" s="2945"/>
      <c r="AK18" s="2945"/>
      <c r="AL18" s="2945"/>
      <c r="AM18" s="2946"/>
      <c r="AN18" s="2944" t="s">
        <v>170</v>
      </c>
      <c r="AO18" s="2945"/>
      <c r="AP18" s="2945"/>
      <c r="AQ18" s="2945"/>
      <c r="AR18" s="2945"/>
      <c r="AS18" s="2946"/>
      <c r="AT18" s="2944" t="s">
        <v>2065</v>
      </c>
      <c r="AU18" s="2945"/>
      <c r="AV18" s="2945"/>
      <c r="AW18" s="2945"/>
      <c r="AX18" s="2945"/>
      <c r="AY18" s="2961"/>
      <c r="AZ18" s="1531"/>
      <c r="BA18" s="1531"/>
      <c r="BB18" s="1531"/>
      <c r="BC18" s="1531"/>
      <c r="BD18" s="1531"/>
      <c r="BE18" s="1537"/>
    </row>
    <row r="19" spans="1:58" ht="15">
      <c r="A19" s="1836"/>
      <c r="B19" s="2956">
        <v>0.2</v>
      </c>
      <c r="C19" s="2957"/>
      <c r="D19" s="2957"/>
      <c r="E19" s="2957"/>
      <c r="F19" s="2957"/>
      <c r="G19" s="2957"/>
      <c r="H19" s="2957"/>
      <c r="I19" s="2957"/>
      <c r="J19" s="2944">
        <f>SUM(P19:AS19)</f>
        <v>0</v>
      </c>
      <c r="K19" s="2945"/>
      <c r="L19" s="2945"/>
      <c r="M19" s="2945"/>
      <c r="N19" s="2945"/>
      <c r="O19" s="2946"/>
      <c r="P19" s="2950" cm="1">
        <f t="array" ref="P19">SUMPRODUCT((Application!$B$728:$B$752 = 'CalHFA Addendum'!P$18)*(Application!$AH$728:$AH$752 = 'CalHFA Addendum'!$B19),Application!$G$728:$G$752)</f>
        <v>0</v>
      </c>
      <c r="Q19" s="2951"/>
      <c r="R19" s="2951"/>
      <c r="S19" s="2951"/>
      <c r="T19" s="2951"/>
      <c r="U19" s="2952"/>
      <c r="V19" s="2950" cm="1">
        <f t="array" ref="V19">SUMPRODUCT((Application!$B$728:$B$752 = 'CalHFA Addendum'!V$18)*(Application!$AH$728:$AH$752 = 'CalHFA Addendum'!$B19),Application!$G$728:$G$752)</f>
        <v>0</v>
      </c>
      <c r="W19" s="2951"/>
      <c r="X19" s="2951"/>
      <c r="Y19" s="2951"/>
      <c r="Z19" s="2951"/>
      <c r="AA19" s="2952"/>
      <c r="AB19" s="2950" cm="1">
        <f t="array" ref="AB19">SUMPRODUCT((Application!$B$728:$B$752 = 'CalHFA Addendum'!AB$18)*(Application!$AH$728:$AH$752 = 'CalHFA Addendum'!$B19),Application!$G$728:$G$752)</f>
        <v>0</v>
      </c>
      <c r="AC19" s="2951"/>
      <c r="AD19" s="2951"/>
      <c r="AE19" s="2951"/>
      <c r="AF19" s="2951"/>
      <c r="AG19" s="2952"/>
      <c r="AH19" s="2950" cm="1">
        <f t="array" ref="AH19">SUMPRODUCT((Application!$B$728:$B$752 = 'CalHFA Addendum'!AH$18)*(Application!$AH$728:$AH$752 = 'CalHFA Addendum'!$B19),Application!$G$728:$G$752)</f>
        <v>0</v>
      </c>
      <c r="AI19" s="2951"/>
      <c r="AJ19" s="2951"/>
      <c r="AK19" s="2951"/>
      <c r="AL19" s="2951"/>
      <c r="AM19" s="2952"/>
      <c r="AN19" s="2950" cm="1">
        <f t="array" ref="AN19">SUMPRODUCT((Application!$B$728:$B$752 = 'CalHFA Addendum'!AN$18)*(Application!$AH$728:$AH$752 = 'CalHFA Addendum'!$B19),Application!$G$728:$G$752)</f>
        <v>0</v>
      </c>
      <c r="AO19" s="2951"/>
      <c r="AP19" s="2951"/>
      <c r="AQ19" s="2951"/>
      <c r="AR19" s="2951"/>
      <c r="AS19" s="2952"/>
      <c r="AT19" s="2953">
        <f t="shared" ref="AT19:AT27" si="0">J19/$J$29</f>
        <v>0</v>
      </c>
      <c r="AU19" s="2954"/>
      <c r="AV19" s="2954"/>
      <c r="AW19" s="2954"/>
      <c r="AX19" s="2954"/>
      <c r="AY19" s="2955"/>
      <c r="AZ19" s="1538"/>
      <c r="BA19" s="1531"/>
      <c r="BB19" s="1531"/>
      <c r="BC19" s="1531"/>
      <c r="BD19" s="1531"/>
      <c r="BE19" s="1537"/>
    </row>
    <row r="20" spans="1:58" ht="15" customHeight="1">
      <c r="A20" s="1836"/>
      <c r="B20" s="2956">
        <v>0.3</v>
      </c>
      <c r="C20" s="2957"/>
      <c r="D20" s="2957"/>
      <c r="E20" s="2957"/>
      <c r="F20" s="2957"/>
      <c r="G20" s="2957"/>
      <c r="H20" s="2957"/>
      <c r="I20" s="2957"/>
      <c r="J20" s="2944">
        <f t="shared" ref="J20:J27" si="1">SUM(P20:AS20)</f>
        <v>16</v>
      </c>
      <c r="K20" s="2945"/>
      <c r="L20" s="2945"/>
      <c r="M20" s="2945"/>
      <c r="N20" s="2945"/>
      <c r="O20" s="2946"/>
      <c r="P20" s="2950" cm="1">
        <f t="array" ref="P20">SUMPRODUCT((Application!$B$728:$B$752 = 'CalHFA Addendum'!P$18)*(Application!$AH$728:$AH$752 = 'CalHFA Addendum'!$B20),Application!$G$728:$G$752)</f>
        <v>0</v>
      </c>
      <c r="Q20" s="2951"/>
      <c r="R20" s="2951"/>
      <c r="S20" s="2951"/>
      <c r="T20" s="2951"/>
      <c r="U20" s="2952"/>
      <c r="V20" s="2950" cm="1">
        <f t="array" ref="V20">SUMPRODUCT((Application!$B$728:$B$752 = 'CalHFA Addendum'!V$18)*(Application!$AH$728:$AH$752 = 'CalHFA Addendum'!$B20),Application!$G$728:$G$752)</f>
        <v>0</v>
      </c>
      <c r="W20" s="2951"/>
      <c r="X20" s="2951"/>
      <c r="Y20" s="2951"/>
      <c r="Z20" s="2951"/>
      <c r="AA20" s="2952"/>
      <c r="AB20" s="2950" cm="1">
        <f t="array" ref="AB20">SUMPRODUCT((Application!$B$728:$B$752 = 'CalHFA Addendum'!AB$18)*(Application!$AH$728:$AH$752 = 'CalHFA Addendum'!$B20),Application!$G$728:$G$752)</f>
        <v>7</v>
      </c>
      <c r="AC20" s="2951"/>
      <c r="AD20" s="2951"/>
      <c r="AE20" s="2951"/>
      <c r="AF20" s="2951"/>
      <c r="AG20" s="2952"/>
      <c r="AH20" s="2950" cm="1">
        <f t="array" ref="AH20">SUMPRODUCT((Application!$B$728:$B$752 = 'CalHFA Addendum'!AH$18)*(Application!$AH$728:$AH$752 = 'CalHFA Addendum'!$B20),Application!$G$728:$G$752)</f>
        <v>7</v>
      </c>
      <c r="AI20" s="2951"/>
      <c r="AJ20" s="2951"/>
      <c r="AK20" s="2951"/>
      <c r="AL20" s="2951"/>
      <c r="AM20" s="2952"/>
      <c r="AN20" s="2950" cm="1">
        <f t="array" ref="AN20">SUMPRODUCT((Application!$B$728:$B$752 = 'CalHFA Addendum'!AN$18)*(Application!$AH$728:$AH$752 = 'CalHFA Addendum'!$B20),Application!$G$728:$G$752)</f>
        <v>2</v>
      </c>
      <c r="AO20" s="2951"/>
      <c r="AP20" s="2951"/>
      <c r="AQ20" s="2951"/>
      <c r="AR20" s="2951"/>
      <c r="AS20" s="2952"/>
      <c r="AT20" s="2953">
        <f t="shared" si="0"/>
        <v>0.1</v>
      </c>
      <c r="AU20" s="2954"/>
      <c r="AV20" s="2954"/>
      <c r="AW20" s="2954"/>
      <c r="AX20" s="2954"/>
      <c r="AY20" s="2955"/>
      <c r="AZ20" s="1531"/>
      <c r="BA20" s="1531"/>
      <c r="BB20" s="1531"/>
      <c r="BC20" s="1531"/>
      <c r="BD20" s="1531"/>
      <c r="BE20" s="1537"/>
    </row>
    <row r="21" spans="1:58" ht="15">
      <c r="A21" s="1836"/>
      <c r="B21" s="2956">
        <v>0.4</v>
      </c>
      <c r="C21" s="2957"/>
      <c r="D21" s="2957"/>
      <c r="E21" s="2957"/>
      <c r="F21" s="2957"/>
      <c r="G21" s="2957"/>
      <c r="H21" s="2957"/>
      <c r="I21" s="2957"/>
      <c r="J21" s="2944">
        <f t="shared" si="1"/>
        <v>0</v>
      </c>
      <c r="K21" s="2945"/>
      <c r="L21" s="2945"/>
      <c r="M21" s="2945"/>
      <c r="N21" s="2945"/>
      <c r="O21" s="2946"/>
      <c r="P21" s="2950" cm="1">
        <f t="array" ref="P21">SUMPRODUCT((Application!$B$728:$B$752 = 'CalHFA Addendum'!P$18)*(Application!$AH$728:$AH$752 = 'CalHFA Addendum'!$B21),Application!$G$728:$G$752)</f>
        <v>0</v>
      </c>
      <c r="Q21" s="2951"/>
      <c r="R21" s="2951"/>
      <c r="S21" s="2951"/>
      <c r="T21" s="2951"/>
      <c r="U21" s="2952"/>
      <c r="V21" s="2950" cm="1">
        <f t="array" ref="V21">SUMPRODUCT((Application!$B$728:$B$752 = 'CalHFA Addendum'!V$18)*(Application!$AH$728:$AH$752 = 'CalHFA Addendum'!$B21),Application!$G$728:$G$752)</f>
        <v>0</v>
      </c>
      <c r="W21" s="2951"/>
      <c r="X21" s="2951"/>
      <c r="Y21" s="2951"/>
      <c r="Z21" s="2951"/>
      <c r="AA21" s="2952"/>
      <c r="AB21" s="2950" cm="1">
        <f t="array" ref="AB21">SUMPRODUCT((Application!$B$728:$B$752 = 'CalHFA Addendum'!AB$18)*(Application!$AH$728:$AH$752 = 'CalHFA Addendum'!$B21),Application!$G$728:$G$752)</f>
        <v>0</v>
      </c>
      <c r="AC21" s="2951"/>
      <c r="AD21" s="2951"/>
      <c r="AE21" s="2951"/>
      <c r="AF21" s="2951"/>
      <c r="AG21" s="2952"/>
      <c r="AH21" s="2950" cm="1">
        <f t="array" ref="AH21">SUMPRODUCT((Application!$B$728:$B$752 = 'CalHFA Addendum'!AH$18)*(Application!$AH$728:$AH$752 = 'CalHFA Addendum'!$B21),Application!$G$728:$G$752)</f>
        <v>0</v>
      </c>
      <c r="AI21" s="2951"/>
      <c r="AJ21" s="2951"/>
      <c r="AK21" s="2951"/>
      <c r="AL21" s="2951"/>
      <c r="AM21" s="2952"/>
      <c r="AN21" s="2950" cm="1">
        <f t="array" ref="AN21">SUMPRODUCT((Application!$B$728:$B$752 = 'CalHFA Addendum'!AN$18)*(Application!$AH$728:$AH$752 = 'CalHFA Addendum'!$B21),Application!$G$728:$G$752)</f>
        <v>0</v>
      </c>
      <c r="AO21" s="2951"/>
      <c r="AP21" s="2951"/>
      <c r="AQ21" s="2951"/>
      <c r="AR21" s="2951"/>
      <c r="AS21" s="2952"/>
      <c r="AT21" s="2953">
        <f t="shared" si="0"/>
        <v>0</v>
      </c>
      <c r="AU21" s="2954"/>
      <c r="AV21" s="2954"/>
      <c r="AW21" s="2954"/>
      <c r="AX21" s="2954"/>
      <c r="AY21" s="2955"/>
      <c r="AZ21" s="1531"/>
      <c r="BA21" s="1531"/>
      <c r="BB21" s="1531"/>
      <c r="BC21" s="1531"/>
      <c r="BD21" s="1531"/>
      <c r="BE21" s="1537"/>
    </row>
    <row r="22" spans="1:58" ht="15">
      <c r="A22" s="1836"/>
      <c r="B22" s="2956">
        <v>0.5</v>
      </c>
      <c r="C22" s="2957"/>
      <c r="D22" s="2957"/>
      <c r="E22" s="2957"/>
      <c r="F22" s="2957"/>
      <c r="G22" s="2957"/>
      <c r="H22" s="2957"/>
      <c r="I22" s="2957"/>
      <c r="J22" s="2944">
        <f t="shared" si="1"/>
        <v>16</v>
      </c>
      <c r="K22" s="2945"/>
      <c r="L22" s="2945"/>
      <c r="M22" s="2945"/>
      <c r="N22" s="2945"/>
      <c r="O22" s="2946"/>
      <c r="P22" s="2950" cm="1">
        <f t="array" ref="P22">SUMPRODUCT((Application!$B$728:$B$752 = 'CalHFA Addendum'!P$18)*(Application!$AH$728:$AH$752 = 'CalHFA Addendum'!$B22),Application!$G$728:$G$752)</f>
        <v>0</v>
      </c>
      <c r="Q22" s="2951"/>
      <c r="R22" s="2951"/>
      <c r="S22" s="2951"/>
      <c r="T22" s="2951"/>
      <c r="U22" s="2952"/>
      <c r="V22" s="2950" cm="1">
        <f t="array" ref="V22">SUMPRODUCT((Application!$B$728:$B$752 = 'CalHFA Addendum'!V$18)*(Application!$AH$728:$AH$752 = 'CalHFA Addendum'!$B22),Application!$G$728:$G$752)</f>
        <v>0</v>
      </c>
      <c r="W22" s="2951"/>
      <c r="X22" s="2951"/>
      <c r="Y22" s="2951"/>
      <c r="Z22" s="2951"/>
      <c r="AA22" s="2952"/>
      <c r="AB22" s="2950" cm="1">
        <f t="array" ref="AB22">SUMPRODUCT((Application!$B$728:$B$752 = 'CalHFA Addendum'!AB$18)*(Application!$AH$728:$AH$752 = 'CalHFA Addendum'!$B22),Application!$G$728:$G$752)</f>
        <v>7</v>
      </c>
      <c r="AC22" s="2951"/>
      <c r="AD22" s="2951"/>
      <c r="AE22" s="2951"/>
      <c r="AF22" s="2951"/>
      <c r="AG22" s="2952"/>
      <c r="AH22" s="2950" cm="1">
        <f t="array" ref="AH22">SUMPRODUCT((Application!$B$728:$B$752 = 'CalHFA Addendum'!AH$18)*(Application!$AH$728:$AH$752 = 'CalHFA Addendum'!$B22),Application!$G$728:$G$752)</f>
        <v>7</v>
      </c>
      <c r="AI22" s="2951"/>
      <c r="AJ22" s="2951"/>
      <c r="AK22" s="2951"/>
      <c r="AL22" s="2951"/>
      <c r="AM22" s="2952"/>
      <c r="AN22" s="2950" cm="1">
        <f t="array" ref="AN22">SUMPRODUCT((Application!$B$728:$B$752 = 'CalHFA Addendum'!AN$18)*(Application!$AH$728:$AH$752 = 'CalHFA Addendum'!$B22),Application!$G$728:$G$752)</f>
        <v>2</v>
      </c>
      <c r="AO22" s="2951"/>
      <c r="AP22" s="2951"/>
      <c r="AQ22" s="2951"/>
      <c r="AR22" s="2951"/>
      <c r="AS22" s="2952"/>
      <c r="AT22" s="2953">
        <f t="shared" si="0"/>
        <v>0.1</v>
      </c>
      <c r="AU22" s="2954"/>
      <c r="AV22" s="2954"/>
      <c r="AW22" s="2954"/>
      <c r="AX22" s="2954"/>
      <c r="AY22" s="2955"/>
      <c r="AZ22" s="1531"/>
      <c r="BA22" s="1531"/>
      <c r="BB22" s="1531"/>
      <c r="BC22" s="1531"/>
      <c r="BD22" s="1531"/>
      <c r="BE22" s="1537"/>
    </row>
    <row r="23" spans="1:58" ht="15">
      <c r="A23" s="1836"/>
      <c r="B23" s="2956">
        <v>0.6</v>
      </c>
      <c r="C23" s="2957"/>
      <c r="D23" s="2957"/>
      <c r="E23" s="2957"/>
      <c r="F23" s="2957"/>
      <c r="G23" s="2957"/>
      <c r="H23" s="2957"/>
      <c r="I23" s="2957"/>
      <c r="J23" s="2944">
        <f t="shared" si="1"/>
        <v>111</v>
      </c>
      <c r="K23" s="2945"/>
      <c r="L23" s="2945"/>
      <c r="M23" s="2945"/>
      <c r="N23" s="2945"/>
      <c r="O23" s="2946"/>
      <c r="P23" s="2950" cm="1">
        <f t="array" ref="P23">SUMPRODUCT((Application!$B$728:$B$752 = 'CalHFA Addendum'!P$18)*(Application!$AH$728:$AH$752 = 'CalHFA Addendum'!$B23),Application!$G$728:$G$752)</f>
        <v>0</v>
      </c>
      <c r="Q23" s="2951"/>
      <c r="R23" s="2951"/>
      <c r="S23" s="2951"/>
      <c r="T23" s="2951"/>
      <c r="U23" s="2952"/>
      <c r="V23" s="2950" cm="1">
        <f t="array" ref="V23">SUMPRODUCT((Application!$B$728:$B$752 = 'CalHFA Addendum'!V$18)*(Application!$AH$728:$AH$752 = 'CalHFA Addendum'!$B23),Application!$G$728:$G$752)</f>
        <v>0</v>
      </c>
      <c r="W23" s="2951"/>
      <c r="X23" s="2951"/>
      <c r="Y23" s="2951"/>
      <c r="Z23" s="2951"/>
      <c r="AA23" s="2952"/>
      <c r="AB23" s="2950" cm="1">
        <f t="array" ref="AB23">SUMPRODUCT((Application!$B$728:$B$752 = 'CalHFA Addendum'!AB$18)*(Application!$AH$728:$AH$752 = 'CalHFA Addendum'!$B23),Application!$G$728:$G$752)</f>
        <v>49</v>
      </c>
      <c r="AC23" s="2951"/>
      <c r="AD23" s="2951"/>
      <c r="AE23" s="2951"/>
      <c r="AF23" s="2951"/>
      <c r="AG23" s="2952"/>
      <c r="AH23" s="2950" cm="1">
        <f t="array" ref="AH23">SUMPRODUCT((Application!$B$728:$B$752 = 'CalHFA Addendum'!AH$18)*(Application!$AH$728:$AH$752 = 'CalHFA Addendum'!$B23),Application!$G$728:$G$752)</f>
        <v>48</v>
      </c>
      <c r="AI23" s="2951"/>
      <c r="AJ23" s="2951"/>
      <c r="AK23" s="2951"/>
      <c r="AL23" s="2951"/>
      <c r="AM23" s="2952"/>
      <c r="AN23" s="2950" cm="1">
        <f t="array" ref="AN23">SUMPRODUCT((Application!$B$728:$B$752 = 'CalHFA Addendum'!AN$18)*(Application!$AH$728:$AH$752 = 'CalHFA Addendum'!$B23),Application!$G$728:$G$752)</f>
        <v>14</v>
      </c>
      <c r="AO23" s="2951"/>
      <c r="AP23" s="2951"/>
      <c r="AQ23" s="2951"/>
      <c r="AR23" s="2951"/>
      <c r="AS23" s="2952"/>
      <c r="AT23" s="2953">
        <f t="shared" si="0"/>
        <v>0.69374999999999998</v>
      </c>
      <c r="AU23" s="2954"/>
      <c r="AV23" s="2954"/>
      <c r="AW23" s="2954"/>
      <c r="AX23" s="2954"/>
      <c r="AY23" s="2955"/>
      <c r="AZ23" s="1531"/>
      <c r="BA23" s="1531"/>
      <c r="BB23" s="1531"/>
      <c r="BC23" s="1531"/>
      <c r="BD23" s="1531"/>
      <c r="BE23" s="1537"/>
    </row>
    <row r="24" spans="1:58" ht="15">
      <c r="A24" s="1836"/>
      <c r="B24" s="2956">
        <v>0.7</v>
      </c>
      <c r="C24" s="2957"/>
      <c r="D24" s="2957"/>
      <c r="E24" s="2957"/>
      <c r="F24" s="2957"/>
      <c r="G24" s="2957"/>
      <c r="H24" s="2957"/>
      <c r="I24" s="2957"/>
      <c r="J24" s="2944">
        <f t="shared" si="1"/>
        <v>16</v>
      </c>
      <c r="K24" s="2945"/>
      <c r="L24" s="2945"/>
      <c r="M24" s="2945"/>
      <c r="N24" s="2945"/>
      <c r="O24" s="2946"/>
      <c r="P24" s="2950" cm="1">
        <f t="array" ref="P24">SUMPRODUCT((Application!$B$728:$B$752 = 'CalHFA Addendum'!P$18)*(Application!$AH$728:$AH$752 = 'CalHFA Addendum'!$B24),Application!$G$728:$G$752)</f>
        <v>0</v>
      </c>
      <c r="Q24" s="2951"/>
      <c r="R24" s="2951"/>
      <c r="S24" s="2951"/>
      <c r="T24" s="2951"/>
      <c r="U24" s="2952"/>
      <c r="V24" s="2950" cm="1">
        <f t="array" ref="V24">SUMPRODUCT((Application!$B$728:$B$752 = 'CalHFA Addendum'!V$18)*(Application!$AH$728:$AH$752 = 'CalHFA Addendum'!$B24),Application!$G$728:$G$752)</f>
        <v>0</v>
      </c>
      <c r="W24" s="2951"/>
      <c r="X24" s="2951"/>
      <c r="Y24" s="2951"/>
      <c r="Z24" s="2951"/>
      <c r="AA24" s="2952"/>
      <c r="AB24" s="2950" cm="1">
        <f t="array" ref="AB24">SUMPRODUCT((Application!$B$728:$B$752 = 'CalHFA Addendum'!AB$18)*(Application!$AH$728:$AH$752 = 'CalHFA Addendum'!$B24),Application!$G$728:$G$752)</f>
        <v>7</v>
      </c>
      <c r="AC24" s="2951"/>
      <c r="AD24" s="2951"/>
      <c r="AE24" s="2951"/>
      <c r="AF24" s="2951"/>
      <c r="AG24" s="2952"/>
      <c r="AH24" s="2950" cm="1">
        <f t="array" ref="AH24">SUMPRODUCT((Application!$B$728:$B$752 = 'CalHFA Addendum'!AH$18)*(Application!$AH$728:$AH$752 = 'CalHFA Addendum'!$B24),Application!$G$728:$G$752)</f>
        <v>7</v>
      </c>
      <c r="AI24" s="2951"/>
      <c r="AJ24" s="2951"/>
      <c r="AK24" s="2951"/>
      <c r="AL24" s="2951"/>
      <c r="AM24" s="2952"/>
      <c r="AN24" s="2950" cm="1">
        <f t="array" ref="AN24">SUMPRODUCT((Application!$B$728:$B$752 = 'CalHFA Addendum'!AN$18)*(Application!$AH$728:$AH$752 = 'CalHFA Addendum'!$B24),Application!$G$728:$G$752)</f>
        <v>2</v>
      </c>
      <c r="AO24" s="2951"/>
      <c r="AP24" s="2951"/>
      <c r="AQ24" s="2951"/>
      <c r="AR24" s="2951"/>
      <c r="AS24" s="2952"/>
      <c r="AT24" s="2953">
        <f t="shared" si="0"/>
        <v>0.1</v>
      </c>
      <c r="AU24" s="2954"/>
      <c r="AV24" s="2954"/>
      <c r="AW24" s="2954"/>
      <c r="AX24" s="2954"/>
      <c r="AY24" s="2955"/>
      <c r="AZ24" s="1531"/>
      <c r="BA24" s="1531"/>
      <c r="BB24" s="1531"/>
      <c r="BC24" s="1531"/>
      <c r="BD24" s="1531"/>
      <c r="BE24" s="1537"/>
    </row>
    <row r="25" spans="1:58" ht="15">
      <c r="A25" s="1836"/>
      <c r="B25" s="2956">
        <v>0.8</v>
      </c>
      <c r="C25" s="2957"/>
      <c r="D25" s="2957"/>
      <c r="E25" s="2957"/>
      <c r="F25" s="2957"/>
      <c r="G25" s="2957"/>
      <c r="H25" s="2957"/>
      <c r="I25" s="2957"/>
      <c r="J25" s="2944">
        <f t="shared" si="1"/>
        <v>0</v>
      </c>
      <c r="K25" s="2945"/>
      <c r="L25" s="2945"/>
      <c r="M25" s="2945"/>
      <c r="N25" s="2945"/>
      <c r="O25" s="2946"/>
      <c r="P25" s="2950" cm="1">
        <f t="array" ref="P25">SUMPRODUCT((Application!$B$728:$B$752 = 'CalHFA Addendum'!P$18)*(Application!$AH$728:$AH$752 = 'CalHFA Addendum'!$B25),Application!$G$728:$G$752)</f>
        <v>0</v>
      </c>
      <c r="Q25" s="2951"/>
      <c r="R25" s="2951"/>
      <c r="S25" s="2951"/>
      <c r="T25" s="2951"/>
      <c r="U25" s="2952"/>
      <c r="V25" s="2950" cm="1">
        <f t="array" ref="V25">SUMPRODUCT((Application!$B$728:$B$752 = 'CalHFA Addendum'!V$18)*(Application!$AH$728:$AH$752 = 'CalHFA Addendum'!$B25),Application!$G$728:$G$752)</f>
        <v>0</v>
      </c>
      <c r="W25" s="2951"/>
      <c r="X25" s="2951"/>
      <c r="Y25" s="2951"/>
      <c r="Z25" s="2951"/>
      <c r="AA25" s="2952"/>
      <c r="AB25" s="2950" cm="1">
        <f t="array" ref="AB25">SUMPRODUCT((Application!$B$728:$B$752 = 'CalHFA Addendum'!AB$18)*(Application!$AH$728:$AH$752 = 'CalHFA Addendum'!$B25),Application!$G$728:$G$752)</f>
        <v>0</v>
      </c>
      <c r="AC25" s="2951"/>
      <c r="AD25" s="2951"/>
      <c r="AE25" s="2951"/>
      <c r="AF25" s="2951"/>
      <c r="AG25" s="2952"/>
      <c r="AH25" s="2950" cm="1">
        <f t="array" ref="AH25">SUMPRODUCT((Application!$B$728:$B$752 = 'CalHFA Addendum'!AH$18)*(Application!$AH$728:$AH$752 = 'CalHFA Addendum'!$B25),Application!$G$728:$G$752)</f>
        <v>0</v>
      </c>
      <c r="AI25" s="2951"/>
      <c r="AJ25" s="2951"/>
      <c r="AK25" s="2951"/>
      <c r="AL25" s="2951"/>
      <c r="AM25" s="2952"/>
      <c r="AN25" s="2950" cm="1">
        <f t="array" ref="AN25">SUMPRODUCT((Application!$B$728:$B$752 = 'CalHFA Addendum'!AN$18)*(Application!$AH$728:$AH$752 = 'CalHFA Addendum'!$B25),Application!$G$728:$G$752)</f>
        <v>0</v>
      </c>
      <c r="AO25" s="2951"/>
      <c r="AP25" s="2951"/>
      <c r="AQ25" s="2951"/>
      <c r="AR25" s="2951"/>
      <c r="AS25" s="2952"/>
      <c r="AT25" s="2953">
        <f t="shared" si="0"/>
        <v>0</v>
      </c>
      <c r="AU25" s="2954"/>
      <c r="AV25" s="2954"/>
      <c r="AW25" s="2954"/>
      <c r="AX25" s="2954"/>
      <c r="AY25" s="2955"/>
      <c r="AZ25" s="1531"/>
      <c r="BA25" s="1531"/>
      <c r="BB25" s="1531"/>
      <c r="BC25" s="1531"/>
      <c r="BD25" s="1531"/>
      <c r="BE25" s="1537"/>
    </row>
    <row r="26" spans="1:58" ht="15">
      <c r="A26" s="1836"/>
      <c r="B26" s="2956">
        <v>0.9</v>
      </c>
      <c r="C26" s="2957"/>
      <c r="D26" s="2957"/>
      <c r="E26" s="2957"/>
      <c r="F26" s="2957"/>
      <c r="G26" s="2957"/>
      <c r="H26" s="2957"/>
      <c r="I26" s="2957"/>
      <c r="J26" s="2944">
        <f t="shared" si="1"/>
        <v>0</v>
      </c>
      <c r="K26" s="2945"/>
      <c r="L26" s="2945"/>
      <c r="M26" s="2945"/>
      <c r="N26" s="2945"/>
      <c r="O26" s="2946"/>
      <c r="P26" s="2950" cm="1">
        <f t="array" ref="P26">SUMPRODUCT((Application!$B$728:$B$752 = 'CalHFA Addendum'!P$18)*(Application!$AH$728:$AH$752 = 'CalHFA Addendum'!$B26),Application!$G$728:$G$752)</f>
        <v>0</v>
      </c>
      <c r="Q26" s="2951"/>
      <c r="R26" s="2951"/>
      <c r="S26" s="2951"/>
      <c r="T26" s="2951"/>
      <c r="U26" s="2952"/>
      <c r="V26" s="2950" cm="1">
        <f t="array" ref="V26">SUMPRODUCT((Application!$B$728:$B$752 = 'CalHFA Addendum'!V$18)*(Application!$AH$728:$AH$752 = 'CalHFA Addendum'!$B26),Application!$G$728:$G$752)</f>
        <v>0</v>
      </c>
      <c r="W26" s="2951"/>
      <c r="X26" s="2951"/>
      <c r="Y26" s="2951"/>
      <c r="Z26" s="2951"/>
      <c r="AA26" s="2952"/>
      <c r="AB26" s="2950" cm="1">
        <f t="array" ref="AB26">SUMPRODUCT((Application!$B$728:$B$752 = 'CalHFA Addendum'!AB$18)*(Application!$AH$728:$AH$752 = 'CalHFA Addendum'!$B26),Application!$G$728:$G$752)</f>
        <v>0</v>
      </c>
      <c r="AC26" s="2951"/>
      <c r="AD26" s="2951"/>
      <c r="AE26" s="2951"/>
      <c r="AF26" s="2951"/>
      <c r="AG26" s="2952"/>
      <c r="AH26" s="2950" cm="1">
        <f t="array" ref="AH26">SUMPRODUCT((Application!$B$728:$B$752 = 'CalHFA Addendum'!AH$18)*(Application!$AH$728:$AH$752 = 'CalHFA Addendum'!$B26),Application!$G$728:$G$752)</f>
        <v>0</v>
      </c>
      <c r="AI26" s="2951"/>
      <c r="AJ26" s="2951"/>
      <c r="AK26" s="2951"/>
      <c r="AL26" s="2951"/>
      <c r="AM26" s="2952"/>
      <c r="AN26" s="2950" cm="1">
        <f t="array" ref="AN26">SUMPRODUCT((Application!$B$728:$B$752 = 'CalHFA Addendum'!AN$18)*(Application!$AH$728:$AH$752 = 'CalHFA Addendum'!$B26),Application!$G$728:$G$752)</f>
        <v>0</v>
      </c>
      <c r="AO26" s="2951"/>
      <c r="AP26" s="2951"/>
      <c r="AQ26" s="2951"/>
      <c r="AR26" s="2951"/>
      <c r="AS26" s="2952"/>
      <c r="AT26" s="2953">
        <f t="shared" si="0"/>
        <v>0</v>
      </c>
      <c r="AU26" s="2954"/>
      <c r="AV26" s="2954"/>
      <c r="AW26" s="2954"/>
      <c r="AX26" s="2954"/>
      <c r="AY26" s="2955"/>
      <c r="AZ26" s="1531"/>
      <c r="BA26" s="1531"/>
      <c r="BB26" s="1531"/>
      <c r="BC26" s="1531"/>
      <c r="BD26" s="1531"/>
      <c r="BE26" s="1537"/>
    </row>
    <row r="27" spans="1:58" ht="15">
      <c r="A27" s="1836"/>
      <c r="B27" s="2956">
        <v>1</v>
      </c>
      <c r="C27" s="2957"/>
      <c r="D27" s="2957"/>
      <c r="E27" s="2957"/>
      <c r="F27" s="2957"/>
      <c r="G27" s="2957"/>
      <c r="H27" s="2957"/>
      <c r="I27" s="2957"/>
      <c r="J27" s="2944">
        <f t="shared" si="1"/>
        <v>0</v>
      </c>
      <c r="K27" s="2945"/>
      <c r="L27" s="2945"/>
      <c r="M27" s="2945"/>
      <c r="N27" s="2945"/>
      <c r="O27" s="2946"/>
      <c r="P27" s="2950" cm="1">
        <f t="array" ref="P27">SUMPRODUCT((Application!$B$728:$B$752 = 'CalHFA Addendum'!P$18)*(Application!$AH$728:$AH$752 = 'CalHFA Addendum'!$B27),Application!$G$728:$G$752)</f>
        <v>0</v>
      </c>
      <c r="Q27" s="2951"/>
      <c r="R27" s="2951"/>
      <c r="S27" s="2951"/>
      <c r="T27" s="2951"/>
      <c r="U27" s="2952"/>
      <c r="V27" s="2950" cm="1">
        <f t="array" ref="V27">SUMPRODUCT((Application!$B$728:$B$752 = 'CalHFA Addendum'!V$18)*(Application!$AH$728:$AH$752 = 'CalHFA Addendum'!$B27),Application!$G$728:$G$752)</f>
        <v>0</v>
      </c>
      <c r="W27" s="2951"/>
      <c r="X27" s="2951"/>
      <c r="Y27" s="2951"/>
      <c r="Z27" s="2951"/>
      <c r="AA27" s="2952"/>
      <c r="AB27" s="2950" cm="1">
        <f t="array" ref="AB27">SUMPRODUCT((Application!$B$728:$B$752 = 'CalHFA Addendum'!AB$18)*(Application!$AH$728:$AH$752 = 'CalHFA Addendum'!$B27),Application!$G$728:$G$752)</f>
        <v>0</v>
      </c>
      <c r="AC27" s="2951"/>
      <c r="AD27" s="2951"/>
      <c r="AE27" s="2951"/>
      <c r="AF27" s="2951"/>
      <c r="AG27" s="2952"/>
      <c r="AH27" s="2950" cm="1">
        <f t="array" ref="AH27">SUMPRODUCT((Application!$B$728:$B$752 = 'CalHFA Addendum'!AH$18)*(Application!$AH$728:$AH$752 = 'CalHFA Addendum'!$B27),Application!$G$728:$G$752)</f>
        <v>0</v>
      </c>
      <c r="AI27" s="2951"/>
      <c r="AJ27" s="2951"/>
      <c r="AK27" s="2951"/>
      <c r="AL27" s="2951"/>
      <c r="AM27" s="2952"/>
      <c r="AN27" s="2950" cm="1">
        <f t="array" ref="AN27">SUMPRODUCT((Application!$B$728:$B$752 = 'CalHFA Addendum'!AN$18)*(Application!$AH$728:$AH$752 = 'CalHFA Addendum'!$B27),Application!$G$728:$G$752)</f>
        <v>0</v>
      </c>
      <c r="AO27" s="2951"/>
      <c r="AP27" s="2951"/>
      <c r="AQ27" s="2951"/>
      <c r="AR27" s="2951"/>
      <c r="AS27" s="2952"/>
      <c r="AT27" s="2953">
        <f t="shared" si="0"/>
        <v>0</v>
      </c>
      <c r="AU27" s="2954"/>
      <c r="AV27" s="2954"/>
      <c r="AW27" s="2954"/>
      <c r="AX27" s="2954"/>
      <c r="AY27" s="2955"/>
      <c r="AZ27" s="1531"/>
      <c r="BA27" s="1531"/>
      <c r="BB27" s="1531"/>
      <c r="BC27" s="1531"/>
      <c r="BD27" s="1531"/>
      <c r="BE27" s="1537"/>
      <c r="BF27" s="1704"/>
    </row>
    <row r="28" spans="1:58" thickBot="1">
      <c r="A28" s="1836"/>
      <c r="B28" s="2941" t="s">
        <v>2066</v>
      </c>
      <c r="C28" s="2942"/>
      <c r="D28" s="2942"/>
      <c r="E28" s="2942"/>
      <c r="F28" s="2942"/>
      <c r="G28" s="2942"/>
      <c r="H28" s="2942"/>
      <c r="I28" s="2943"/>
      <c r="J28" s="2944">
        <f t="shared" ref="J28" si="2">SUM(P28:AS28)</f>
        <v>1</v>
      </c>
      <c r="K28" s="2945"/>
      <c r="L28" s="2945"/>
      <c r="M28" s="2945"/>
      <c r="N28" s="2945"/>
      <c r="O28" s="2946"/>
      <c r="P28" s="2947">
        <f>_xlfn.IFNA(VLOOKUP(P$18,Application!$J$772:$S$775,6,FALSE), 0)</f>
        <v>0</v>
      </c>
      <c r="Q28" s="2948"/>
      <c r="R28" s="2948"/>
      <c r="S28" s="2948"/>
      <c r="T28" s="2948"/>
      <c r="U28" s="2949"/>
      <c r="V28" s="2947">
        <f>_xlfn.IFNA(VLOOKUP(V$18,Application!$J$772:$S$775,6,FALSE), 0)</f>
        <v>0</v>
      </c>
      <c r="W28" s="2948"/>
      <c r="X28" s="2948"/>
      <c r="Y28" s="2948"/>
      <c r="Z28" s="2948"/>
      <c r="AA28" s="2949"/>
      <c r="AB28" s="2947">
        <f>_xlfn.IFNA(VLOOKUP(AB$18,Application!$J$772:$S$775,6,FALSE), 0)</f>
        <v>0</v>
      </c>
      <c r="AC28" s="2948"/>
      <c r="AD28" s="2948"/>
      <c r="AE28" s="2948"/>
      <c r="AF28" s="2948"/>
      <c r="AG28" s="2949"/>
      <c r="AH28" s="2947">
        <f>_xlfn.IFNA(VLOOKUP(AH$18,Application!$J$772:$S$775,6,FALSE), 0)</f>
        <v>1</v>
      </c>
      <c r="AI28" s="2948"/>
      <c r="AJ28" s="2948"/>
      <c r="AK28" s="2948"/>
      <c r="AL28" s="2948"/>
      <c r="AM28" s="2949"/>
      <c r="AN28" s="2947">
        <f>_xlfn.IFNA(VLOOKUP(AN$18,Application!$J$772:$S$775,6,FALSE), 0)</f>
        <v>0</v>
      </c>
      <c r="AO28" s="2948"/>
      <c r="AP28" s="2948"/>
      <c r="AQ28" s="2948"/>
      <c r="AR28" s="2948"/>
      <c r="AS28" s="2949"/>
      <c r="AT28" s="2953">
        <f t="shared" ref="AT28" si="3">J28/$J$29</f>
        <v>6.2500000000000003E-3</v>
      </c>
      <c r="AU28" s="2954"/>
      <c r="AV28" s="2954"/>
      <c r="AW28" s="2954"/>
      <c r="AX28" s="2954"/>
      <c r="AY28" s="2955"/>
      <c r="AZ28" s="1531"/>
      <c r="BA28" s="1531"/>
      <c r="BB28" s="1531"/>
      <c r="BC28" s="1531"/>
      <c r="BD28" s="1531"/>
      <c r="BE28" s="1537"/>
    </row>
    <row r="29" spans="1:58" thickBot="1">
      <c r="A29" s="1836"/>
      <c r="B29" s="2934" t="s">
        <v>1894</v>
      </c>
      <c r="C29" s="2935"/>
      <c r="D29" s="2935"/>
      <c r="E29" s="2935"/>
      <c r="F29" s="2935"/>
      <c r="G29" s="2935"/>
      <c r="H29" s="2935"/>
      <c r="I29" s="2936"/>
      <c r="J29" s="2937">
        <f>SUM(J19:O28)</f>
        <v>160</v>
      </c>
      <c r="K29" s="2935"/>
      <c r="L29" s="2935"/>
      <c r="M29" s="2935"/>
      <c r="N29" s="2935"/>
      <c r="O29" s="2936"/>
      <c r="P29" s="2937">
        <f>SUM(P19:U28)</f>
        <v>0</v>
      </c>
      <c r="Q29" s="2935"/>
      <c r="R29" s="2935"/>
      <c r="S29" s="2935"/>
      <c r="T29" s="2935"/>
      <c r="U29" s="2936"/>
      <c r="V29" s="2937">
        <f>SUM(V19:AA28)</f>
        <v>0</v>
      </c>
      <c r="W29" s="2935"/>
      <c r="X29" s="2935"/>
      <c r="Y29" s="2935"/>
      <c r="Z29" s="2935"/>
      <c r="AA29" s="2936"/>
      <c r="AB29" s="2937">
        <f>SUM(AB19:AG28)</f>
        <v>70</v>
      </c>
      <c r="AC29" s="2935"/>
      <c r="AD29" s="2935"/>
      <c r="AE29" s="2935"/>
      <c r="AF29" s="2935"/>
      <c r="AG29" s="2936"/>
      <c r="AH29" s="2937">
        <f>SUM(AH19:AM28)</f>
        <v>70</v>
      </c>
      <c r="AI29" s="2935"/>
      <c r="AJ29" s="2935"/>
      <c r="AK29" s="2935"/>
      <c r="AL29" s="2935"/>
      <c r="AM29" s="2936"/>
      <c r="AN29" s="2937">
        <f>SUM(AN19:AS28)</f>
        <v>20</v>
      </c>
      <c r="AO29" s="2935"/>
      <c r="AP29" s="2935"/>
      <c r="AQ29" s="2935"/>
      <c r="AR29" s="2935"/>
      <c r="AS29" s="2936"/>
      <c r="AT29" s="2938">
        <f>J29/$J$29</f>
        <v>1</v>
      </c>
      <c r="AU29" s="2939"/>
      <c r="AV29" s="2939"/>
      <c r="AW29" s="2939"/>
      <c r="AX29" s="2939"/>
      <c r="AY29" s="2940"/>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914" t="s">
        <v>2067</v>
      </c>
      <c r="C31" s="2915"/>
      <c r="D31" s="2915"/>
      <c r="E31" s="2915"/>
      <c r="F31" s="2915"/>
      <c r="G31" s="2915"/>
      <c r="H31" s="2915"/>
      <c r="I31" s="2915"/>
      <c r="J31" s="2915"/>
      <c r="K31" s="2915"/>
      <c r="L31" s="2915"/>
      <c r="M31" s="2915"/>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c r="AL31" s="2915"/>
      <c r="AM31" s="2915"/>
      <c r="AN31" s="2915"/>
      <c r="AO31" s="2915"/>
      <c r="AP31" s="2915"/>
      <c r="AQ31" s="2915"/>
      <c r="AR31" s="2915"/>
      <c r="AS31" s="2915"/>
      <c r="AT31" s="2915"/>
      <c r="AU31" s="2915"/>
      <c r="AV31" s="2915"/>
      <c r="AW31" s="2915"/>
      <c r="AX31" s="2915"/>
      <c r="AY31" s="2915"/>
      <c r="AZ31" s="2916"/>
      <c r="BA31" s="1531"/>
      <c r="BB31" s="1531"/>
      <c r="BC31" s="1531"/>
      <c r="BD31" s="1531"/>
      <c r="BE31" s="1537"/>
    </row>
    <row r="32" spans="1:58" thickBot="1">
      <c r="A32" s="1836"/>
      <c r="B32" s="2917" t="s">
        <v>2068</v>
      </c>
      <c r="C32" s="2918"/>
      <c r="D32" s="2918"/>
      <c r="E32" s="2918"/>
      <c r="F32" s="2918"/>
      <c r="G32" s="2918"/>
      <c r="H32" s="2918"/>
      <c r="I32" s="2919"/>
      <c r="J32" s="2921" t="s">
        <v>2069</v>
      </c>
      <c r="K32" s="2922"/>
      <c r="L32" s="2922"/>
      <c r="M32" s="2923"/>
      <c r="N32" s="2921" t="s">
        <v>2070</v>
      </c>
      <c r="O32" s="2922"/>
      <c r="P32" s="2922"/>
      <c r="Q32" s="2922"/>
      <c r="R32" s="2925" t="s">
        <v>2071</v>
      </c>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7"/>
      <c r="BA32" s="1531"/>
      <c r="BB32" s="1531"/>
      <c r="BC32" s="1531"/>
      <c r="BD32" s="1531"/>
      <c r="BE32" s="1537"/>
    </row>
    <row r="33" spans="1:58" ht="15" customHeight="1">
      <c r="A33" s="1836"/>
      <c r="B33" s="2920"/>
      <c r="C33" s="2918"/>
      <c r="D33" s="2918"/>
      <c r="E33" s="2918"/>
      <c r="F33" s="2918"/>
      <c r="G33" s="2918"/>
      <c r="H33" s="2918"/>
      <c r="I33" s="2919"/>
      <c r="J33" s="2924"/>
      <c r="K33" s="2922"/>
      <c r="L33" s="2922"/>
      <c r="M33" s="2923"/>
      <c r="N33" s="2924"/>
      <c r="O33" s="2922"/>
      <c r="P33" s="2922"/>
      <c r="Q33" s="2922"/>
      <c r="R33" s="2928" t="s">
        <v>2072</v>
      </c>
      <c r="S33" s="2929"/>
      <c r="T33" s="2929"/>
      <c r="U33" s="2929"/>
      <c r="V33" s="2929"/>
      <c r="W33" s="2929"/>
      <c r="X33" s="2929"/>
      <c r="Y33" s="2929"/>
      <c r="Z33" s="2929"/>
      <c r="AA33" s="2929"/>
      <c r="AB33" s="2929"/>
      <c r="AC33" s="2929"/>
      <c r="AD33" s="2929"/>
      <c r="AE33" s="2929"/>
      <c r="AF33" s="2929"/>
      <c r="AG33" s="2929"/>
      <c r="AH33" s="2929"/>
      <c r="AI33" s="2929"/>
      <c r="AJ33" s="2929"/>
      <c r="AK33" s="2929"/>
      <c r="AL33" s="2929"/>
      <c r="AM33" s="2929"/>
      <c r="AN33" s="2929"/>
      <c r="AO33" s="2929"/>
      <c r="AP33" s="2929"/>
      <c r="AQ33" s="2929"/>
      <c r="AR33" s="2929"/>
      <c r="AS33" s="2929"/>
      <c r="AT33" s="2929"/>
      <c r="AU33" s="2929"/>
      <c r="AV33" s="2929"/>
      <c r="AW33" s="2929"/>
      <c r="AX33" s="2929"/>
      <c r="AY33" s="2929"/>
      <c r="AZ33" s="2930"/>
      <c r="BA33" s="1538"/>
      <c r="BB33" s="1531"/>
      <c r="BC33" s="1531"/>
      <c r="BD33" s="1531"/>
      <c r="BE33" s="1537"/>
    </row>
    <row r="34" spans="1:58" ht="15.75" customHeight="1" thickBot="1">
      <c r="A34" s="1836"/>
      <c r="B34" s="2920"/>
      <c r="C34" s="2918"/>
      <c r="D34" s="2918"/>
      <c r="E34" s="2918"/>
      <c r="F34" s="2918"/>
      <c r="G34" s="2918"/>
      <c r="H34" s="2918"/>
      <c r="I34" s="2919"/>
      <c r="J34" s="2924"/>
      <c r="K34" s="2922"/>
      <c r="L34" s="2922"/>
      <c r="M34" s="2923"/>
      <c r="N34" s="2924"/>
      <c r="O34" s="2922"/>
      <c r="P34" s="2922"/>
      <c r="Q34" s="2922"/>
      <c r="R34" s="2931"/>
      <c r="S34" s="2932"/>
      <c r="T34" s="2932"/>
      <c r="U34" s="2932"/>
      <c r="V34" s="2932"/>
      <c r="W34" s="2932"/>
      <c r="X34" s="2932"/>
      <c r="Y34" s="2932"/>
      <c r="Z34" s="2932"/>
      <c r="AA34" s="2932"/>
      <c r="AB34" s="2932"/>
      <c r="AC34" s="2932"/>
      <c r="AD34" s="2932"/>
      <c r="AE34" s="2932"/>
      <c r="AF34" s="2932"/>
      <c r="AG34" s="2932"/>
      <c r="AH34" s="2932"/>
      <c r="AI34" s="2932"/>
      <c r="AJ34" s="2932"/>
      <c r="AK34" s="2932"/>
      <c r="AL34" s="2932"/>
      <c r="AM34" s="2932"/>
      <c r="AN34" s="2932"/>
      <c r="AO34" s="2932"/>
      <c r="AP34" s="2932"/>
      <c r="AQ34" s="2932"/>
      <c r="AR34" s="2932"/>
      <c r="AS34" s="2932"/>
      <c r="AT34" s="2932"/>
      <c r="AU34" s="2932"/>
      <c r="AV34" s="2932"/>
      <c r="AW34" s="2932"/>
      <c r="AX34" s="2932"/>
      <c r="AY34" s="2932"/>
      <c r="AZ34" s="2933"/>
      <c r="BA34" s="1538"/>
      <c r="BB34" s="1531"/>
      <c r="BC34" s="1531"/>
      <c r="BD34" s="1531"/>
      <c r="BE34" s="1537"/>
    </row>
    <row r="35" spans="1:58" ht="15.75" customHeight="1" thickBot="1">
      <c r="A35" s="1836"/>
      <c r="B35" s="2920"/>
      <c r="C35" s="2918"/>
      <c r="D35" s="2918"/>
      <c r="E35" s="2918"/>
      <c r="F35" s="2918"/>
      <c r="G35" s="2918"/>
      <c r="H35" s="2918"/>
      <c r="I35" s="2919"/>
      <c r="J35" s="2924"/>
      <c r="K35" s="2922"/>
      <c r="L35" s="2922"/>
      <c r="M35" s="2923"/>
      <c r="N35" s="2924"/>
      <c r="O35" s="2922"/>
      <c r="P35" s="2922"/>
      <c r="Q35" s="2922"/>
      <c r="R35" s="2897">
        <v>0.5</v>
      </c>
      <c r="S35" s="2898"/>
      <c r="T35" s="2898"/>
      <c r="U35" s="2899"/>
      <c r="V35" s="2897">
        <v>0.6</v>
      </c>
      <c r="W35" s="2898"/>
      <c r="X35" s="2898"/>
      <c r="Y35" s="2899"/>
      <c r="Z35" s="2897">
        <v>0.7</v>
      </c>
      <c r="AA35" s="2898"/>
      <c r="AB35" s="2898"/>
      <c r="AC35" s="2899"/>
      <c r="AD35" s="2897">
        <v>0.8</v>
      </c>
      <c r="AE35" s="2898"/>
      <c r="AF35" s="2898"/>
      <c r="AG35" s="2899"/>
      <c r="AH35" s="2897">
        <v>1</v>
      </c>
      <c r="AI35" s="2898"/>
      <c r="AJ35" s="2898"/>
      <c r="AK35" s="2899"/>
      <c r="AL35" s="2897">
        <v>1.2</v>
      </c>
      <c r="AM35" s="2898"/>
      <c r="AN35" s="2899"/>
      <c r="AO35" s="2900" t="s">
        <v>2073</v>
      </c>
      <c r="AP35" s="2901"/>
      <c r="AQ35" s="2901"/>
      <c r="AR35" s="2901"/>
      <c r="AS35" s="2901"/>
      <c r="AT35" s="2902"/>
      <c r="AU35" s="2900" t="s">
        <v>2074</v>
      </c>
      <c r="AV35" s="2901"/>
      <c r="AW35" s="2901"/>
      <c r="AX35" s="2901"/>
      <c r="AY35" s="2901"/>
      <c r="AZ35" s="2902"/>
      <c r="BA35" s="1538"/>
      <c r="BB35" s="1531"/>
      <c r="BC35" s="1531"/>
      <c r="BD35" s="1531"/>
      <c r="BE35" s="1537"/>
      <c r="BF35" s="1529"/>
    </row>
    <row r="36" spans="1:58" ht="15.75" customHeight="1">
      <c r="A36" s="1836"/>
      <c r="B36" s="2903" t="s">
        <v>2075</v>
      </c>
      <c r="C36" s="2904"/>
      <c r="D36" s="2904"/>
      <c r="E36" s="2904"/>
      <c r="F36" s="2904"/>
      <c r="G36" s="2904"/>
      <c r="H36" s="2904"/>
      <c r="I36" s="2905"/>
      <c r="J36" s="2906" t="s">
        <v>2076</v>
      </c>
      <c r="K36" s="2907"/>
      <c r="L36" s="2907"/>
      <c r="M36" s="2908"/>
      <c r="N36" s="2909">
        <v>55</v>
      </c>
      <c r="O36" s="2910"/>
      <c r="P36" s="2910"/>
      <c r="Q36" s="2911"/>
      <c r="R36" s="2912">
        <v>10</v>
      </c>
      <c r="S36" s="2912"/>
      <c r="T36" s="2912"/>
      <c r="U36" s="2912"/>
      <c r="V36" s="2912">
        <v>30</v>
      </c>
      <c r="W36" s="2912"/>
      <c r="X36" s="2912"/>
      <c r="Y36" s="2912"/>
      <c r="Z36" s="2912"/>
      <c r="AA36" s="2912"/>
      <c r="AB36" s="2912"/>
      <c r="AC36" s="2912"/>
      <c r="AD36" s="2912">
        <v>59</v>
      </c>
      <c r="AE36" s="2912"/>
      <c r="AF36" s="2912"/>
      <c r="AG36" s="2912"/>
      <c r="AH36" s="2913"/>
      <c r="AI36" s="2913"/>
      <c r="AJ36" s="2913"/>
      <c r="AK36" s="2913"/>
      <c r="AL36" s="2913"/>
      <c r="AM36" s="2913"/>
      <c r="AN36" s="2913"/>
      <c r="AO36" s="2871">
        <f>SUM(R36:AN36)</f>
        <v>99</v>
      </c>
      <c r="AP36" s="2871"/>
      <c r="AQ36" s="2871"/>
      <c r="AR36" s="2871"/>
      <c r="AS36" s="2871"/>
      <c r="AT36" s="2871"/>
      <c r="AU36" s="2872">
        <f>AO36/$J$29</f>
        <v>0.61875000000000002</v>
      </c>
      <c r="AV36" s="2872"/>
      <c r="AW36" s="2872"/>
      <c r="AX36" s="2872"/>
      <c r="AY36" s="2872"/>
      <c r="AZ36" s="2872"/>
      <c r="BA36" s="1531"/>
      <c r="BB36" s="1531"/>
      <c r="BC36" s="1531"/>
      <c r="BD36" s="1531"/>
      <c r="BE36" s="1537"/>
      <c r="BF36" s="1529"/>
    </row>
    <row r="37" spans="1:58" ht="15.75" customHeight="1">
      <c r="A37" s="1836"/>
      <c r="B37" s="2892" t="s">
        <v>2077</v>
      </c>
      <c r="C37" s="2893"/>
      <c r="D37" s="2893"/>
      <c r="E37" s="2893"/>
      <c r="F37" s="2893"/>
      <c r="G37" s="2893"/>
      <c r="H37" s="2893"/>
      <c r="I37" s="2894"/>
      <c r="J37" s="2895" t="s">
        <v>2078</v>
      </c>
      <c r="K37" s="2883"/>
      <c r="L37" s="2883"/>
      <c r="M37" s="2896"/>
      <c r="N37" s="2882">
        <v>55</v>
      </c>
      <c r="O37" s="2883"/>
      <c r="P37" s="2883"/>
      <c r="Q37" s="2884"/>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1">
        <f t="shared" ref="AO37:AO47" si="4">SUM(R37:AN37)</f>
        <v>0</v>
      </c>
      <c r="AP37" s="2871"/>
      <c r="AQ37" s="2871"/>
      <c r="AR37" s="2871"/>
      <c r="AS37" s="2871"/>
      <c r="AT37" s="2871"/>
      <c r="AU37" s="2872">
        <f t="shared" ref="AU37:AU47" si="5">AO37/$J$29</f>
        <v>0</v>
      </c>
      <c r="AV37" s="2872"/>
      <c r="AW37" s="2872"/>
      <c r="AX37" s="2872"/>
      <c r="AY37" s="2872"/>
      <c r="AZ37" s="2872"/>
      <c r="BA37" s="1531"/>
      <c r="BB37" s="1531"/>
      <c r="BC37" s="1531"/>
      <c r="BD37" s="1531"/>
      <c r="BE37" s="1537"/>
      <c r="BF37" s="1529"/>
    </row>
    <row r="38" spans="1:58" ht="15.75" customHeight="1">
      <c r="A38" s="1836"/>
      <c r="B38" s="2892" t="s">
        <v>2079</v>
      </c>
      <c r="C38" s="2893"/>
      <c r="D38" s="2893"/>
      <c r="E38" s="2893"/>
      <c r="F38" s="2893"/>
      <c r="G38" s="2893"/>
      <c r="H38" s="2893"/>
      <c r="I38" s="2894"/>
      <c r="J38" s="2895" t="s">
        <v>2080</v>
      </c>
      <c r="K38" s="2883"/>
      <c r="L38" s="2883"/>
      <c r="M38" s="2896"/>
      <c r="N38" s="2882">
        <v>55</v>
      </c>
      <c r="O38" s="2883"/>
      <c r="P38" s="2883"/>
      <c r="Q38" s="2884"/>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1">
        <f t="shared" si="4"/>
        <v>0</v>
      </c>
      <c r="AP38" s="2871"/>
      <c r="AQ38" s="2871"/>
      <c r="AR38" s="2871"/>
      <c r="AS38" s="2871"/>
      <c r="AT38" s="2871"/>
      <c r="AU38" s="2872">
        <f t="shared" si="5"/>
        <v>0</v>
      </c>
      <c r="AV38" s="2872"/>
      <c r="AW38" s="2872"/>
      <c r="AX38" s="2872"/>
      <c r="AY38" s="2872"/>
      <c r="AZ38" s="2872"/>
      <c r="BA38" s="1531"/>
      <c r="BB38" s="1531"/>
      <c r="BC38" s="1531"/>
      <c r="BD38" s="1531"/>
      <c r="BE38" s="1537"/>
      <c r="BF38" s="1529"/>
    </row>
    <row r="39" spans="1:58" ht="15.75" customHeight="1">
      <c r="A39" s="1836"/>
      <c r="B39" s="2892" t="s">
        <v>2081</v>
      </c>
      <c r="C39" s="2893"/>
      <c r="D39" s="2893"/>
      <c r="E39" s="2893"/>
      <c r="F39" s="2893"/>
      <c r="G39" s="2893"/>
      <c r="H39" s="2893"/>
      <c r="I39" s="2894"/>
      <c r="J39" s="2881"/>
      <c r="K39" s="2685"/>
      <c r="L39" s="2685"/>
      <c r="M39" s="2813"/>
      <c r="N39" s="2807"/>
      <c r="O39" s="2685"/>
      <c r="P39" s="2685"/>
      <c r="Q39" s="2885"/>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1">
        <f t="shared" si="4"/>
        <v>0</v>
      </c>
      <c r="AP39" s="2871"/>
      <c r="AQ39" s="2871"/>
      <c r="AR39" s="2871"/>
      <c r="AS39" s="2871"/>
      <c r="AT39" s="2871"/>
      <c r="AU39" s="2872">
        <f t="shared" si="5"/>
        <v>0</v>
      </c>
      <c r="AV39" s="2872"/>
      <c r="AW39" s="2872"/>
      <c r="AX39" s="2872"/>
      <c r="AY39" s="2872"/>
      <c r="AZ39" s="2872"/>
      <c r="BA39" s="1531"/>
      <c r="BB39" s="1531"/>
      <c r="BC39" s="1531"/>
      <c r="BD39" s="1531"/>
      <c r="BE39" s="1537"/>
    </row>
    <row r="40" spans="1:58" ht="15.75" customHeight="1">
      <c r="A40" s="1836"/>
      <c r="B40" s="2892" t="s">
        <v>2081</v>
      </c>
      <c r="C40" s="2893"/>
      <c r="D40" s="2893"/>
      <c r="E40" s="2893"/>
      <c r="F40" s="2893"/>
      <c r="G40" s="2893"/>
      <c r="H40" s="2893"/>
      <c r="I40" s="2894"/>
      <c r="J40" s="2881"/>
      <c r="K40" s="2685"/>
      <c r="L40" s="2685"/>
      <c r="M40" s="2813"/>
      <c r="N40" s="2807"/>
      <c r="O40" s="2685"/>
      <c r="P40" s="2685"/>
      <c r="Q40" s="2885"/>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1">
        <f t="shared" si="4"/>
        <v>0</v>
      </c>
      <c r="AP40" s="2871"/>
      <c r="AQ40" s="2871"/>
      <c r="AR40" s="2871"/>
      <c r="AS40" s="2871"/>
      <c r="AT40" s="2871"/>
      <c r="AU40" s="2872">
        <f t="shared" si="5"/>
        <v>0</v>
      </c>
      <c r="AV40" s="2872"/>
      <c r="AW40" s="2872"/>
      <c r="AX40" s="2872"/>
      <c r="AY40" s="2872"/>
      <c r="AZ40" s="2872"/>
      <c r="BA40" s="1531"/>
      <c r="BB40" s="1531"/>
      <c r="BC40" s="1531"/>
      <c r="BD40" s="1531"/>
      <c r="BE40" s="1537"/>
    </row>
    <row r="41" spans="1:58" ht="15.75" customHeight="1">
      <c r="A41" s="1836"/>
      <c r="B41" s="2889" t="s">
        <v>2082</v>
      </c>
      <c r="C41" s="2890"/>
      <c r="D41" s="2890"/>
      <c r="E41" s="2890"/>
      <c r="F41" s="2890"/>
      <c r="G41" s="2890"/>
      <c r="H41" s="2890"/>
      <c r="I41" s="2891"/>
      <c r="J41" s="2881"/>
      <c r="K41" s="2685"/>
      <c r="L41" s="2685"/>
      <c r="M41" s="2813"/>
      <c r="N41" s="2807"/>
      <c r="O41" s="2685"/>
      <c r="P41" s="2685"/>
      <c r="Q41" s="2885"/>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1">
        <f t="shared" si="4"/>
        <v>0</v>
      </c>
      <c r="AP41" s="2871"/>
      <c r="AQ41" s="2871"/>
      <c r="AR41" s="2871"/>
      <c r="AS41" s="2871"/>
      <c r="AT41" s="2871"/>
      <c r="AU41" s="2872">
        <f t="shared" si="5"/>
        <v>0</v>
      </c>
      <c r="AV41" s="2872"/>
      <c r="AW41" s="2872"/>
      <c r="AX41" s="2872"/>
      <c r="AY41" s="2872"/>
      <c r="AZ41" s="2872"/>
      <c r="BA41" s="1531"/>
      <c r="BB41" s="1531"/>
      <c r="BC41" s="1531"/>
      <c r="BD41" s="1531"/>
      <c r="BE41" s="1537"/>
    </row>
    <row r="42" spans="1:58" ht="15.75" customHeight="1">
      <c r="A42" s="1836"/>
      <c r="B42" s="2889" t="s">
        <v>2082</v>
      </c>
      <c r="C42" s="2890"/>
      <c r="D42" s="2890"/>
      <c r="E42" s="2890"/>
      <c r="F42" s="2890"/>
      <c r="G42" s="2890"/>
      <c r="H42" s="2890"/>
      <c r="I42" s="2891"/>
      <c r="J42" s="2881"/>
      <c r="K42" s="2685"/>
      <c r="L42" s="2685"/>
      <c r="M42" s="2813"/>
      <c r="N42" s="2807"/>
      <c r="O42" s="2685"/>
      <c r="P42" s="2685"/>
      <c r="Q42" s="2885"/>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1">
        <f t="shared" si="4"/>
        <v>0</v>
      </c>
      <c r="AP42" s="2871"/>
      <c r="AQ42" s="2871"/>
      <c r="AR42" s="2871"/>
      <c r="AS42" s="2871"/>
      <c r="AT42" s="2871"/>
      <c r="AU42" s="2872">
        <f t="shared" si="5"/>
        <v>0</v>
      </c>
      <c r="AV42" s="2872"/>
      <c r="AW42" s="2872"/>
      <c r="AX42" s="2872"/>
      <c r="AY42" s="2872"/>
      <c r="AZ42" s="2872"/>
      <c r="BA42" s="1531"/>
      <c r="BB42" s="1531"/>
      <c r="BC42" s="1531"/>
      <c r="BD42" s="1531"/>
      <c r="BE42" s="1537"/>
    </row>
    <row r="43" spans="1:58" ht="15.75" customHeight="1">
      <c r="A43" s="1836"/>
      <c r="B43" s="2886" t="s">
        <v>2083</v>
      </c>
      <c r="C43" s="2887"/>
      <c r="D43" s="2887"/>
      <c r="E43" s="2887"/>
      <c r="F43" s="2887"/>
      <c r="G43" s="2887"/>
      <c r="H43" s="2887"/>
      <c r="I43" s="2888"/>
      <c r="J43" s="2881"/>
      <c r="K43" s="2685"/>
      <c r="L43" s="2685"/>
      <c r="M43" s="2813"/>
      <c r="N43" s="2807"/>
      <c r="O43" s="2685"/>
      <c r="P43" s="2685"/>
      <c r="Q43" s="2885"/>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1">
        <f t="shared" si="4"/>
        <v>0</v>
      </c>
      <c r="AP43" s="2871"/>
      <c r="AQ43" s="2871"/>
      <c r="AR43" s="2871"/>
      <c r="AS43" s="2871"/>
      <c r="AT43" s="2871"/>
      <c r="AU43" s="2872">
        <f t="shared" si="5"/>
        <v>0</v>
      </c>
      <c r="AV43" s="2872"/>
      <c r="AW43" s="2872"/>
      <c r="AX43" s="2872"/>
      <c r="AY43" s="2872"/>
      <c r="AZ43" s="2872"/>
      <c r="BA43" s="1531"/>
      <c r="BB43" s="1531"/>
      <c r="BC43" s="1531"/>
      <c r="BD43" s="1531"/>
      <c r="BE43" s="1537"/>
    </row>
    <row r="44" spans="1:58" ht="15.75" customHeight="1">
      <c r="A44" s="1836"/>
      <c r="B44" s="2886" t="s">
        <v>2084</v>
      </c>
      <c r="C44" s="2887"/>
      <c r="D44" s="2887"/>
      <c r="E44" s="2887"/>
      <c r="F44" s="2887"/>
      <c r="G44" s="2887"/>
      <c r="H44" s="2887"/>
      <c r="I44" s="2888"/>
      <c r="J44" s="2881"/>
      <c r="K44" s="2685"/>
      <c r="L44" s="2685"/>
      <c r="M44" s="2813"/>
      <c r="N44" s="2807"/>
      <c r="O44" s="2685"/>
      <c r="P44" s="2685"/>
      <c r="Q44" s="2885"/>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1">
        <f t="shared" si="4"/>
        <v>0</v>
      </c>
      <c r="AP44" s="2871"/>
      <c r="AQ44" s="2871"/>
      <c r="AR44" s="2871"/>
      <c r="AS44" s="2871"/>
      <c r="AT44" s="2871"/>
      <c r="AU44" s="2872">
        <f t="shared" si="5"/>
        <v>0</v>
      </c>
      <c r="AV44" s="2872"/>
      <c r="AW44" s="2872"/>
      <c r="AX44" s="2872"/>
      <c r="AY44" s="2872"/>
      <c r="AZ44" s="2872"/>
      <c r="BA44" s="1531"/>
      <c r="BB44" s="1531"/>
      <c r="BC44" s="1531"/>
      <c r="BD44" s="1531"/>
      <c r="BE44" s="1537"/>
    </row>
    <row r="45" spans="1:58" ht="15.75" customHeight="1">
      <c r="A45" s="1836"/>
      <c r="B45" s="2878" t="s">
        <v>2085</v>
      </c>
      <c r="C45" s="2879"/>
      <c r="D45" s="2879"/>
      <c r="E45" s="2879"/>
      <c r="F45" s="2879"/>
      <c r="G45" s="2879"/>
      <c r="H45" s="2879"/>
      <c r="I45" s="2880"/>
      <c r="J45" s="2881"/>
      <c r="K45" s="2685"/>
      <c r="L45" s="2685"/>
      <c r="M45" s="2813"/>
      <c r="N45" s="2807"/>
      <c r="O45" s="2685"/>
      <c r="P45" s="2685"/>
      <c r="Q45" s="2885"/>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1">
        <f t="shared" si="4"/>
        <v>0</v>
      </c>
      <c r="AP45" s="2871"/>
      <c r="AQ45" s="2871"/>
      <c r="AR45" s="2871"/>
      <c r="AS45" s="2871"/>
      <c r="AT45" s="2871"/>
      <c r="AU45" s="2872">
        <f t="shared" si="5"/>
        <v>0</v>
      </c>
      <c r="AV45" s="2872"/>
      <c r="AW45" s="2872"/>
      <c r="AX45" s="2872"/>
      <c r="AY45" s="2872"/>
      <c r="AZ45" s="2872"/>
      <c r="BA45" s="1531"/>
      <c r="BB45" s="1531"/>
      <c r="BC45" s="1531"/>
      <c r="BD45" s="1531"/>
      <c r="BE45" s="1537"/>
    </row>
    <row r="46" spans="1:58" ht="15.75" customHeight="1">
      <c r="A46" s="1836"/>
      <c r="B46" s="2878" t="s">
        <v>2086</v>
      </c>
      <c r="C46" s="2879"/>
      <c r="D46" s="2879"/>
      <c r="E46" s="2879"/>
      <c r="F46" s="2879"/>
      <c r="G46" s="2879"/>
      <c r="H46" s="2879"/>
      <c r="I46" s="2880"/>
      <c r="J46" s="2881"/>
      <c r="K46" s="2685"/>
      <c r="L46" s="2685"/>
      <c r="M46" s="2813"/>
      <c r="N46" s="2882">
        <v>99</v>
      </c>
      <c r="O46" s="2883"/>
      <c r="P46" s="2883"/>
      <c r="Q46" s="2884"/>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1">
        <f t="shared" si="4"/>
        <v>0</v>
      </c>
      <c r="AP46" s="2871"/>
      <c r="AQ46" s="2871"/>
      <c r="AR46" s="2871"/>
      <c r="AS46" s="2871"/>
      <c r="AT46" s="2871"/>
      <c r="AU46" s="2872">
        <f t="shared" si="5"/>
        <v>0</v>
      </c>
      <c r="AV46" s="2872"/>
      <c r="AW46" s="2872"/>
      <c r="AX46" s="2872"/>
      <c r="AY46" s="2872"/>
      <c r="AZ46" s="2872"/>
      <c r="BA46" s="1531"/>
      <c r="BB46" s="1531"/>
      <c r="BC46" s="1531"/>
      <c r="BD46" s="1531"/>
      <c r="BE46" s="1537"/>
    </row>
    <row r="47" spans="1:58" ht="15.75" customHeight="1" thickBot="1">
      <c r="A47" s="1836"/>
      <c r="B47" s="2873" t="s">
        <v>310</v>
      </c>
      <c r="C47" s="2874"/>
      <c r="D47" s="2874"/>
      <c r="E47" s="2874"/>
      <c r="F47" s="2874"/>
      <c r="G47" s="2874"/>
      <c r="H47" s="2874"/>
      <c r="I47" s="2875"/>
      <c r="J47" s="2876"/>
      <c r="K47" s="2798"/>
      <c r="L47" s="2798"/>
      <c r="M47" s="2799"/>
      <c r="N47" s="2814"/>
      <c r="O47" s="2798"/>
      <c r="P47" s="2798"/>
      <c r="Q47" s="2877"/>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1">
        <f t="shared" si="4"/>
        <v>0</v>
      </c>
      <c r="AP47" s="2871"/>
      <c r="AQ47" s="2871"/>
      <c r="AR47" s="2871"/>
      <c r="AS47" s="2871"/>
      <c r="AT47" s="2871"/>
      <c r="AU47" s="2872">
        <f t="shared" si="5"/>
        <v>0</v>
      </c>
      <c r="AV47" s="2872"/>
      <c r="AW47" s="2872"/>
      <c r="AX47" s="2872"/>
      <c r="AY47" s="2872"/>
      <c r="AZ47" s="2872"/>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58" t="s">
        <v>2089</v>
      </c>
      <c r="C50" s="2859"/>
      <c r="D50" s="2859"/>
      <c r="E50" s="2859"/>
      <c r="F50" s="2859"/>
      <c r="G50" s="2859"/>
      <c r="H50" s="2859"/>
      <c r="I50" s="2859"/>
      <c r="J50" s="2859"/>
      <c r="K50" s="2859"/>
      <c r="L50" s="2859"/>
      <c r="M50" s="2859"/>
      <c r="N50" s="2859"/>
      <c r="O50" s="2859"/>
      <c r="P50" s="2859"/>
      <c r="Q50" s="2859"/>
      <c r="R50" s="2859"/>
      <c r="S50" s="2859"/>
      <c r="T50" s="2859"/>
      <c r="U50" s="2859"/>
      <c r="V50" s="2859"/>
      <c r="W50" s="2859"/>
      <c r="X50" s="2859"/>
      <c r="Y50" s="2859"/>
      <c r="Z50" s="2859"/>
      <c r="AA50" s="2859"/>
      <c r="AB50" s="2859"/>
      <c r="AC50" s="2859"/>
      <c r="AD50" s="2859"/>
      <c r="AE50" s="2859"/>
      <c r="AF50" s="2859"/>
      <c r="AG50" s="2859"/>
      <c r="AH50" s="2859"/>
      <c r="AI50" s="2859"/>
      <c r="AJ50" s="2859"/>
      <c r="AK50" s="2859"/>
      <c r="AL50" s="2859"/>
      <c r="AM50" s="2859"/>
      <c r="AN50" s="2859"/>
      <c r="AO50" s="2860"/>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61" t="s">
        <v>2090</v>
      </c>
      <c r="C51" s="2862"/>
      <c r="D51" s="2862"/>
      <c r="E51" s="2862"/>
      <c r="F51" s="2862"/>
      <c r="G51" s="2862"/>
      <c r="H51" s="2862"/>
      <c r="I51" s="2863"/>
      <c r="J51" s="2861" t="s">
        <v>2091</v>
      </c>
      <c r="K51" s="2862"/>
      <c r="L51" s="2862"/>
      <c r="M51" s="2862"/>
      <c r="N51" s="2862"/>
      <c r="O51" s="2862"/>
      <c r="P51" s="2862"/>
      <c r="Q51" s="2863"/>
      <c r="R51" s="2864" t="s">
        <v>2092</v>
      </c>
      <c r="S51" s="2865"/>
      <c r="T51" s="2865"/>
      <c r="U51" s="2865"/>
      <c r="V51" s="2865"/>
      <c r="W51" s="2865"/>
      <c r="X51" s="2865"/>
      <c r="Y51" s="2866"/>
      <c r="Z51" s="2867" t="s">
        <v>2093</v>
      </c>
      <c r="AA51" s="2868"/>
      <c r="AB51" s="2868"/>
      <c r="AC51" s="2868"/>
      <c r="AD51" s="2868"/>
      <c r="AE51" s="2868"/>
      <c r="AF51" s="2868"/>
      <c r="AG51" s="2869"/>
      <c r="AH51" s="2867" t="s">
        <v>2094</v>
      </c>
      <c r="AI51" s="2868"/>
      <c r="AJ51" s="2868"/>
      <c r="AK51" s="2868"/>
      <c r="AL51" s="2868"/>
      <c r="AM51" s="2868"/>
      <c r="AN51" s="2868"/>
      <c r="AO51" s="2869"/>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56"/>
      <c r="C52" s="2840"/>
      <c r="D52" s="2840"/>
      <c r="E52" s="2840"/>
      <c r="F52" s="2840"/>
      <c r="G52" s="2840"/>
      <c r="H52" s="2840"/>
      <c r="I52" s="2840"/>
      <c r="J52" s="2840"/>
      <c r="K52" s="2840"/>
      <c r="L52" s="2840"/>
      <c r="M52" s="2840"/>
      <c r="N52" s="2840"/>
      <c r="O52" s="2840"/>
      <c r="P52" s="2840"/>
      <c r="Q52" s="2840"/>
      <c r="R52" s="2857"/>
      <c r="S52" s="2857"/>
      <c r="T52" s="2857"/>
      <c r="U52" s="2857"/>
      <c r="V52" s="2857"/>
      <c r="W52" s="2857"/>
      <c r="X52" s="2857"/>
      <c r="Y52" s="2857"/>
      <c r="Z52" s="2840"/>
      <c r="AA52" s="2840"/>
      <c r="AB52" s="2840"/>
      <c r="AC52" s="2840"/>
      <c r="AD52" s="2840"/>
      <c r="AE52" s="2840"/>
      <c r="AF52" s="2840"/>
      <c r="AG52" s="2840"/>
      <c r="AH52" s="2840"/>
      <c r="AI52" s="2840"/>
      <c r="AJ52" s="2840"/>
      <c r="AK52" s="2840"/>
      <c r="AL52" s="2840"/>
      <c r="AM52" s="2840"/>
      <c r="AN52" s="2840"/>
      <c r="AO52" s="284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56"/>
      <c r="C53" s="2840"/>
      <c r="D53" s="2840"/>
      <c r="E53" s="2840"/>
      <c r="F53" s="2840"/>
      <c r="G53" s="2840"/>
      <c r="H53" s="2840"/>
      <c r="I53" s="2840"/>
      <c r="J53" s="2840"/>
      <c r="K53" s="2840"/>
      <c r="L53" s="2840"/>
      <c r="M53" s="2840"/>
      <c r="N53" s="2840"/>
      <c r="O53" s="2840"/>
      <c r="P53" s="2840"/>
      <c r="Q53" s="2840"/>
      <c r="R53" s="2857"/>
      <c r="S53" s="2857"/>
      <c r="T53" s="2857"/>
      <c r="U53" s="2857"/>
      <c r="V53" s="2857"/>
      <c r="W53" s="2857"/>
      <c r="X53" s="2857"/>
      <c r="Y53" s="2857"/>
      <c r="Z53" s="2840"/>
      <c r="AA53" s="2840"/>
      <c r="AB53" s="2840"/>
      <c r="AC53" s="2840"/>
      <c r="AD53" s="2840"/>
      <c r="AE53" s="2840"/>
      <c r="AF53" s="2840"/>
      <c r="AG53" s="2840"/>
      <c r="AH53" s="2840"/>
      <c r="AI53" s="2840"/>
      <c r="AJ53" s="2840"/>
      <c r="AK53" s="2840"/>
      <c r="AL53" s="2840"/>
      <c r="AM53" s="2840"/>
      <c r="AN53" s="2840"/>
      <c r="AO53" s="284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56"/>
      <c r="C54" s="2840"/>
      <c r="D54" s="2840"/>
      <c r="E54" s="2840"/>
      <c r="F54" s="2840"/>
      <c r="G54" s="2840"/>
      <c r="H54" s="2840"/>
      <c r="I54" s="2840"/>
      <c r="J54" s="2840"/>
      <c r="K54" s="2840"/>
      <c r="L54" s="2840"/>
      <c r="M54" s="2840"/>
      <c r="N54" s="2840"/>
      <c r="O54" s="2840"/>
      <c r="P54" s="2840"/>
      <c r="Q54" s="2840"/>
      <c r="R54" s="2857"/>
      <c r="S54" s="2857"/>
      <c r="T54" s="2857"/>
      <c r="U54" s="2857"/>
      <c r="V54" s="2857"/>
      <c r="W54" s="2857"/>
      <c r="X54" s="2857"/>
      <c r="Y54" s="2857"/>
      <c r="Z54" s="2840"/>
      <c r="AA54" s="2840"/>
      <c r="AB54" s="2840"/>
      <c r="AC54" s="2840"/>
      <c r="AD54" s="2840"/>
      <c r="AE54" s="2840"/>
      <c r="AF54" s="2840"/>
      <c r="AG54" s="2840"/>
      <c r="AH54" s="2840"/>
      <c r="AI54" s="2840"/>
      <c r="AJ54" s="2840"/>
      <c r="AK54" s="2840"/>
      <c r="AL54" s="2840"/>
      <c r="AM54" s="2840"/>
      <c r="AN54" s="2840"/>
      <c r="AO54" s="284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56"/>
      <c r="C55" s="2840"/>
      <c r="D55" s="2840"/>
      <c r="E55" s="2840"/>
      <c r="F55" s="2840"/>
      <c r="G55" s="2840"/>
      <c r="H55" s="2840"/>
      <c r="I55" s="2840"/>
      <c r="J55" s="2840"/>
      <c r="K55" s="2840"/>
      <c r="L55" s="2840"/>
      <c r="M55" s="2840"/>
      <c r="N55" s="2840"/>
      <c r="O55" s="2840"/>
      <c r="P55" s="2840"/>
      <c r="Q55" s="2840"/>
      <c r="R55" s="2857"/>
      <c r="S55" s="2857"/>
      <c r="T55" s="2857"/>
      <c r="U55" s="2857"/>
      <c r="V55" s="2857"/>
      <c r="W55" s="2857"/>
      <c r="X55" s="2857"/>
      <c r="Y55" s="2857"/>
      <c r="Z55" s="2840"/>
      <c r="AA55" s="2840"/>
      <c r="AB55" s="2840"/>
      <c r="AC55" s="2840"/>
      <c r="AD55" s="2840"/>
      <c r="AE55" s="2840"/>
      <c r="AF55" s="2840"/>
      <c r="AG55" s="2840"/>
      <c r="AH55" s="2840"/>
      <c r="AI55" s="2840"/>
      <c r="AJ55" s="2840"/>
      <c r="AK55" s="2840"/>
      <c r="AL55" s="2840"/>
      <c r="AM55" s="2840"/>
      <c r="AN55" s="2840"/>
      <c r="AO55" s="2841"/>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51"/>
      <c r="C56" s="2846"/>
      <c r="D56" s="2846"/>
      <c r="E56" s="2846"/>
      <c r="F56" s="2846"/>
      <c r="G56" s="2846"/>
      <c r="H56" s="2846"/>
      <c r="I56" s="2846"/>
      <c r="J56" s="2846"/>
      <c r="K56" s="2846"/>
      <c r="L56" s="2846"/>
      <c r="M56" s="2846"/>
      <c r="N56" s="2846"/>
      <c r="O56" s="2846"/>
      <c r="P56" s="2846"/>
      <c r="Q56" s="2846"/>
      <c r="R56" s="2852"/>
      <c r="S56" s="2852"/>
      <c r="T56" s="2852"/>
      <c r="U56" s="2852"/>
      <c r="V56" s="2852"/>
      <c r="W56" s="2852"/>
      <c r="X56" s="2852"/>
      <c r="Y56" s="2852"/>
      <c r="Z56" s="2846"/>
      <c r="AA56" s="2846"/>
      <c r="AB56" s="2846"/>
      <c r="AC56" s="2846"/>
      <c r="AD56" s="2846"/>
      <c r="AE56" s="2846"/>
      <c r="AF56" s="2846"/>
      <c r="AG56" s="2846"/>
      <c r="AH56" s="2846"/>
      <c r="AI56" s="2846"/>
      <c r="AJ56" s="2846"/>
      <c r="AK56" s="2846"/>
      <c r="AL56" s="2846"/>
      <c r="AM56" s="2846"/>
      <c r="AN56" s="2846"/>
      <c r="AO56" s="2847"/>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53" t="s">
        <v>1894</v>
      </c>
      <c r="C57" s="2854"/>
      <c r="D57" s="2854"/>
      <c r="E57" s="2854"/>
      <c r="F57" s="2854"/>
      <c r="G57" s="2854"/>
      <c r="H57" s="2854"/>
      <c r="I57" s="2854"/>
      <c r="J57" s="2854"/>
      <c r="K57" s="2854"/>
      <c r="L57" s="2854"/>
      <c r="M57" s="2854"/>
      <c r="N57" s="2854"/>
      <c r="O57" s="2854"/>
      <c r="P57" s="2854"/>
      <c r="Q57" s="2854"/>
      <c r="R57" s="2855">
        <f>SUM(R52:Y56)</f>
        <v>0</v>
      </c>
      <c r="S57" s="2855"/>
      <c r="T57" s="2855"/>
      <c r="U57" s="2855"/>
      <c r="V57" s="2855"/>
      <c r="W57" s="2855"/>
      <c r="X57" s="2855"/>
      <c r="Y57" s="2855"/>
      <c r="Z57" s="2855">
        <f t="shared" ref="Z57" si="6">SUM(Z52:AG56)</f>
        <v>0</v>
      </c>
      <c r="AA57" s="2855"/>
      <c r="AB57" s="2855"/>
      <c r="AC57" s="2855"/>
      <c r="AD57" s="2855"/>
      <c r="AE57" s="2855"/>
      <c r="AF57" s="2855"/>
      <c r="AG57" s="2855"/>
      <c r="AH57" s="2855">
        <f t="shared" ref="AH57" si="7">SUM(AH52:AO56)</f>
        <v>0</v>
      </c>
      <c r="AI57" s="2855"/>
      <c r="AJ57" s="2855"/>
      <c r="AK57" s="2855"/>
      <c r="AL57" s="2855"/>
      <c r="AM57" s="2855"/>
      <c r="AN57" s="2855"/>
      <c r="AO57" s="2855"/>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48" t="s">
        <v>2090</v>
      </c>
      <c r="C59" s="2849"/>
      <c r="D59" s="2849"/>
      <c r="E59" s="2849"/>
      <c r="F59" s="2849"/>
      <c r="G59" s="2849"/>
      <c r="H59" s="2849"/>
      <c r="I59" s="2850"/>
      <c r="J59" s="2693" t="s">
        <v>2095</v>
      </c>
      <c r="K59" s="2693"/>
      <c r="L59" s="2693"/>
      <c r="M59" s="2693"/>
      <c r="N59" s="2693"/>
      <c r="O59" s="2693"/>
      <c r="P59" s="2693"/>
      <c r="Q59" s="2693"/>
      <c r="R59" s="2693"/>
      <c r="S59" s="2693"/>
      <c r="T59" s="2693"/>
      <c r="U59" s="2693"/>
      <c r="V59" s="2693"/>
      <c r="W59" s="2693"/>
      <c r="X59" s="2693"/>
      <c r="Y59" s="2693"/>
      <c r="Z59" s="2693"/>
      <c r="AA59" s="2693"/>
      <c r="AB59" s="2693"/>
      <c r="AC59" s="2693"/>
      <c r="AD59" s="2693"/>
      <c r="AE59" s="2693"/>
      <c r="AF59" s="2693"/>
      <c r="AG59" s="2693"/>
      <c r="AH59" s="2693"/>
      <c r="AI59" s="2693"/>
      <c r="AJ59" s="2693"/>
      <c r="AK59" s="2693"/>
      <c r="AL59" s="2693"/>
      <c r="AM59" s="2693"/>
      <c r="AN59" s="2693"/>
      <c r="AO59" s="2693"/>
      <c r="AP59" s="2693"/>
      <c r="AQ59" s="2693"/>
      <c r="AR59" s="2693"/>
      <c r="AS59" s="2693"/>
      <c r="AT59" s="2693"/>
      <c r="AU59" s="2693"/>
      <c r="AV59" s="2693"/>
      <c r="AW59" s="2694"/>
      <c r="AX59" s="1531"/>
      <c r="AY59" s="1531"/>
      <c r="AZ59" s="1531"/>
      <c r="BA59" s="1531"/>
      <c r="BB59" s="1531"/>
      <c r="BC59" s="1531"/>
      <c r="BD59" s="1531"/>
      <c r="BE59" s="1537"/>
    </row>
    <row r="60" spans="1:58" ht="15.75" customHeight="1">
      <c r="A60" s="1836"/>
      <c r="B60" s="2836" t="str">
        <f>IF(B52="", "", B52)</f>
        <v/>
      </c>
      <c r="C60" s="2837"/>
      <c r="D60" s="2837"/>
      <c r="E60" s="2837"/>
      <c r="F60" s="2837"/>
      <c r="G60" s="2837"/>
      <c r="H60" s="2837"/>
      <c r="I60" s="2838"/>
      <c r="J60" s="2839"/>
      <c r="K60" s="2840"/>
      <c r="L60" s="2840"/>
      <c r="M60" s="2840"/>
      <c r="N60" s="2840"/>
      <c r="O60" s="2840"/>
      <c r="P60" s="2840"/>
      <c r="Q60" s="2840"/>
      <c r="R60" s="2840"/>
      <c r="S60" s="2840"/>
      <c r="T60" s="2840"/>
      <c r="U60" s="2840"/>
      <c r="V60" s="2840"/>
      <c r="W60" s="2840"/>
      <c r="X60" s="2840"/>
      <c r="Y60" s="2840"/>
      <c r="Z60" s="2840"/>
      <c r="AA60" s="2840"/>
      <c r="AB60" s="2840"/>
      <c r="AC60" s="2840"/>
      <c r="AD60" s="2840"/>
      <c r="AE60" s="2840"/>
      <c r="AF60" s="2840"/>
      <c r="AG60" s="2840"/>
      <c r="AH60" s="2840"/>
      <c r="AI60" s="2840"/>
      <c r="AJ60" s="2840"/>
      <c r="AK60" s="2840"/>
      <c r="AL60" s="2840"/>
      <c r="AM60" s="2840"/>
      <c r="AN60" s="2840"/>
      <c r="AO60" s="2840"/>
      <c r="AP60" s="2840"/>
      <c r="AQ60" s="2840"/>
      <c r="AR60" s="2840"/>
      <c r="AS60" s="2840"/>
      <c r="AT60" s="2840"/>
      <c r="AU60" s="2840"/>
      <c r="AV60" s="2840"/>
      <c r="AW60" s="2841"/>
      <c r="AX60" s="1531"/>
      <c r="AY60" s="1531"/>
      <c r="AZ60" s="1531"/>
      <c r="BA60" s="1531"/>
      <c r="BB60" s="1531"/>
      <c r="BC60" s="1531"/>
      <c r="BD60" s="1531"/>
      <c r="BE60" s="1537"/>
    </row>
    <row r="61" spans="1:58" ht="15.75" customHeight="1">
      <c r="A61" s="1836"/>
      <c r="B61" s="2836" t="str">
        <f t="shared" ref="B61:B64" si="8">IF(B53="", "", B53)</f>
        <v/>
      </c>
      <c r="C61" s="2837"/>
      <c r="D61" s="2837"/>
      <c r="E61" s="2837"/>
      <c r="F61" s="2837"/>
      <c r="G61" s="2837"/>
      <c r="H61" s="2837"/>
      <c r="I61" s="2838"/>
      <c r="J61" s="2839"/>
      <c r="K61" s="2840"/>
      <c r="L61" s="2840"/>
      <c r="M61" s="2840"/>
      <c r="N61" s="2840"/>
      <c r="O61" s="2840"/>
      <c r="P61" s="2840"/>
      <c r="Q61" s="2840"/>
      <c r="R61" s="2840"/>
      <c r="S61" s="2840"/>
      <c r="T61" s="2840"/>
      <c r="U61" s="2840"/>
      <c r="V61" s="2840"/>
      <c r="W61" s="2840"/>
      <c r="X61" s="2840"/>
      <c r="Y61" s="2840"/>
      <c r="Z61" s="2840"/>
      <c r="AA61" s="2840"/>
      <c r="AB61" s="2840"/>
      <c r="AC61" s="2840"/>
      <c r="AD61" s="2840"/>
      <c r="AE61" s="2840"/>
      <c r="AF61" s="2840"/>
      <c r="AG61" s="2840"/>
      <c r="AH61" s="2840"/>
      <c r="AI61" s="2840"/>
      <c r="AJ61" s="2840"/>
      <c r="AK61" s="2840"/>
      <c r="AL61" s="2840"/>
      <c r="AM61" s="2840"/>
      <c r="AN61" s="2840"/>
      <c r="AO61" s="2840"/>
      <c r="AP61" s="2840"/>
      <c r="AQ61" s="2840"/>
      <c r="AR61" s="2840"/>
      <c r="AS61" s="2840"/>
      <c r="AT61" s="2840"/>
      <c r="AU61" s="2840"/>
      <c r="AV61" s="2840"/>
      <c r="AW61" s="2841"/>
      <c r="AX61" s="1531"/>
      <c r="AY61" s="1531"/>
      <c r="AZ61" s="1531"/>
      <c r="BA61" s="1531"/>
      <c r="BB61" s="1531"/>
      <c r="BC61" s="1531"/>
      <c r="BD61" s="1531"/>
      <c r="BE61" s="1537"/>
    </row>
    <row r="62" spans="1:58" ht="15.75" customHeight="1">
      <c r="A62" s="1836"/>
      <c r="B62" s="2836" t="str">
        <f t="shared" si="8"/>
        <v/>
      </c>
      <c r="C62" s="2837"/>
      <c r="D62" s="2837"/>
      <c r="E62" s="2837"/>
      <c r="F62" s="2837"/>
      <c r="G62" s="2837"/>
      <c r="H62" s="2837"/>
      <c r="I62" s="2838"/>
      <c r="J62" s="2839"/>
      <c r="K62" s="2840"/>
      <c r="L62" s="2840"/>
      <c r="M62" s="2840"/>
      <c r="N62" s="2840"/>
      <c r="O62" s="2840"/>
      <c r="P62" s="2840"/>
      <c r="Q62" s="2840"/>
      <c r="R62" s="2840"/>
      <c r="S62" s="2840"/>
      <c r="T62" s="2840"/>
      <c r="U62" s="2840"/>
      <c r="V62" s="2840"/>
      <c r="W62" s="2840"/>
      <c r="X62" s="2840"/>
      <c r="Y62" s="2840"/>
      <c r="Z62" s="2840"/>
      <c r="AA62" s="2840"/>
      <c r="AB62" s="2840"/>
      <c r="AC62" s="2840"/>
      <c r="AD62" s="2840"/>
      <c r="AE62" s="2840"/>
      <c r="AF62" s="2840"/>
      <c r="AG62" s="2840"/>
      <c r="AH62" s="2840"/>
      <c r="AI62" s="2840"/>
      <c r="AJ62" s="2840"/>
      <c r="AK62" s="2840"/>
      <c r="AL62" s="2840"/>
      <c r="AM62" s="2840"/>
      <c r="AN62" s="2840"/>
      <c r="AO62" s="2840"/>
      <c r="AP62" s="2840"/>
      <c r="AQ62" s="2840"/>
      <c r="AR62" s="2840"/>
      <c r="AS62" s="2840"/>
      <c r="AT62" s="2840"/>
      <c r="AU62" s="2840"/>
      <c r="AV62" s="2840"/>
      <c r="AW62" s="2841"/>
      <c r="AX62" s="1531"/>
      <c r="AY62" s="1531"/>
      <c r="AZ62" s="1531"/>
      <c r="BA62" s="1531"/>
      <c r="BB62" s="1531"/>
      <c r="BC62" s="1531"/>
      <c r="BD62" s="1531"/>
      <c r="BE62" s="1537"/>
    </row>
    <row r="63" spans="1:58" ht="15.75" customHeight="1">
      <c r="A63" s="1836"/>
      <c r="B63" s="2836" t="str">
        <f t="shared" si="8"/>
        <v/>
      </c>
      <c r="C63" s="2837"/>
      <c r="D63" s="2837"/>
      <c r="E63" s="2837"/>
      <c r="F63" s="2837"/>
      <c r="G63" s="2837"/>
      <c r="H63" s="2837"/>
      <c r="I63" s="2838"/>
      <c r="J63" s="2839"/>
      <c r="K63" s="2840"/>
      <c r="L63" s="2840"/>
      <c r="M63" s="2840"/>
      <c r="N63" s="2840"/>
      <c r="O63" s="2840"/>
      <c r="P63" s="2840"/>
      <c r="Q63" s="2840"/>
      <c r="R63" s="2840"/>
      <c r="S63" s="2840"/>
      <c r="T63" s="2840"/>
      <c r="U63" s="2840"/>
      <c r="V63" s="2840"/>
      <c r="W63" s="2840"/>
      <c r="X63" s="2840"/>
      <c r="Y63" s="2840"/>
      <c r="Z63" s="2840"/>
      <c r="AA63" s="2840"/>
      <c r="AB63" s="2840"/>
      <c r="AC63" s="2840"/>
      <c r="AD63" s="2840"/>
      <c r="AE63" s="2840"/>
      <c r="AF63" s="2840"/>
      <c r="AG63" s="2840"/>
      <c r="AH63" s="2840"/>
      <c r="AI63" s="2840"/>
      <c r="AJ63" s="2840"/>
      <c r="AK63" s="2840"/>
      <c r="AL63" s="2840"/>
      <c r="AM63" s="2840"/>
      <c r="AN63" s="2840"/>
      <c r="AO63" s="2840"/>
      <c r="AP63" s="2840"/>
      <c r="AQ63" s="2840"/>
      <c r="AR63" s="2840"/>
      <c r="AS63" s="2840"/>
      <c r="AT63" s="2840"/>
      <c r="AU63" s="2840"/>
      <c r="AV63" s="2840"/>
      <c r="AW63" s="2841"/>
      <c r="AX63" s="1531"/>
      <c r="AY63" s="1531"/>
      <c r="AZ63" s="1531"/>
      <c r="BA63" s="1531"/>
      <c r="BB63" s="1531"/>
      <c r="BC63" s="1531"/>
      <c r="BD63" s="1531"/>
      <c r="BE63" s="1537"/>
    </row>
    <row r="64" spans="1:58" ht="15.75" customHeight="1" thickBot="1">
      <c r="A64" s="1836"/>
      <c r="B64" s="2842" t="str">
        <f t="shared" si="8"/>
        <v/>
      </c>
      <c r="C64" s="2843"/>
      <c r="D64" s="2843"/>
      <c r="E64" s="2843"/>
      <c r="F64" s="2843"/>
      <c r="G64" s="2843"/>
      <c r="H64" s="2843"/>
      <c r="I64" s="2844"/>
      <c r="J64" s="2845"/>
      <c r="K64" s="2846"/>
      <c r="L64" s="2846"/>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c r="AS64" s="2846"/>
      <c r="AT64" s="2846"/>
      <c r="AU64" s="2846"/>
      <c r="AV64" s="2846"/>
      <c r="AW64" s="2847"/>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66" t="s">
        <v>2097</v>
      </c>
      <c r="C68" s="2767"/>
      <c r="D68" s="2767"/>
      <c r="E68" s="2767"/>
      <c r="F68" s="2767"/>
      <c r="G68" s="2767"/>
      <c r="H68" s="2767"/>
      <c r="I68" s="2767"/>
      <c r="J68" s="2767"/>
      <c r="K68" s="2767"/>
      <c r="L68" s="2767"/>
      <c r="M68" s="2767"/>
      <c r="N68" s="2767"/>
      <c r="O68" s="2767"/>
      <c r="P68" s="2767"/>
      <c r="Q68" s="2767"/>
      <c r="R68" s="2767"/>
      <c r="S68" s="2767"/>
      <c r="T68" s="2767"/>
      <c r="U68" s="2767"/>
      <c r="V68" s="2767"/>
      <c r="W68" s="2767"/>
      <c r="X68" s="2767"/>
      <c r="Y68" s="2767"/>
      <c r="Z68" s="2767"/>
      <c r="AA68" s="2828"/>
      <c r="AB68" s="1531"/>
      <c r="AC68" s="2829" t="s">
        <v>2098</v>
      </c>
      <c r="AD68" s="2830"/>
      <c r="AE68" s="2830"/>
      <c r="AF68" s="2830"/>
      <c r="AG68" s="2830"/>
      <c r="AH68" s="2830"/>
      <c r="AI68" s="2830"/>
      <c r="AJ68" s="2830"/>
      <c r="AK68" s="2830"/>
      <c r="AL68" s="2830"/>
      <c r="AM68" s="2830"/>
      <c r="AN68" s="2830"/>
      <c r="AO68" s="2830"/>
      <c r="AP68" s="2830"/>
      <c r="AQ68" s="2830"/>
      <c r="AR68" s="2830"/>
      <c r="AS68" s="2830"/>
      <c r="AT68" s="2830"/>
      <c r="AU68" s="2830"/>
      <c r="AV68" s="2831" t="s">
        <v>2054</v>
      </c>
      <c r="AW68" s="2831"/>
      <c r="AX68" s="2831"/>
      <c r="AY68" s="2831"/>
      <c r="AZ68" s="2831"/>
      <c r="BA68" s="2831"/>
      <c r="BB68" s="2831"/>
      <c r="BC68" s="2832"/>
      <c r="BD68" s="1531"/>
      <c r="BE68" s="1537"/>
    </row>
    <row r="69" spans="1:57" ht="15.75" customHeight="1" thickBot="1">
      <c r="A69" s="1836"/>
      <c r="B69" s="2833" t="s">
        <v>2099</v>
      </c>
      <c r="C69" s="2834"/>
      <c r="D69" s="2834"/>
      <c r="E69" s="2834"/>
      <c r="F69" s="2834"/>
      <c r="G69" s="2834"/>
      <c r="H69" s="2834"/>
      <c r="I69" s="2834"/>
      <c r="J69" s="2834"/>
      <c r="K69" s="2834"/>
      <c r="L69" s="2834"/>
      <c r="M69" s="2834"/>
      <c r="N69" s="2834"/>
      <c r="O69" s="2772" t="s">
        <v>2100</v>
      </c>
      <c r="P69" s="2671"/>
      <c r="Q69" s="2671"/>
      <c r="R69" s="2671"/>
      <c r="S69" s="2671"/>
      <c r="T69" s="2671"/>
      <c r="U69" s="2671"/>
      <c r="V69" s="2671"/>
      <c r="W69" s="2671"/>
      <c r="X69" s="2671"/>
      <c r="Y69" s="2671"/>
      <c r="Z69" s="2671"/>
      <c r="AA69" s="2672"/>
      <c r="AB69" s="1531"/>
      <c r="AC69" s="2614" t="s">
        <v>2101</v>
      </c>
      <c r="AD69" s="2615"/>
      <c r="AE69" s="2615"/>
      <c r="AF69" s="2615"/>
      <c r="AG69" s="2615"/>
      <c r="AH69" s="2615"/>
      <c r="AI69" s="2615"/>
      <c r="AJ69" s="2615"/>
      <c r="AK69" s="2615"/>
      <c r="AL69" s="2615"/>
      <c r="AM69" s="2615"/>
      <c r="AN69" s="2615"/>
      <c r="AO69" s="2615"/>
      <c r="AP69" s="2615"/>
      <c r="AQ69" s="2615"/>
      <c r="AR69" s="2615"/>
      <c r="AS69" s="2615"/>
      <c r="AT69" s="2615"/>
      <c r="AU69" s="2615"/>
      <c r="AV69" s="2720">
        <v>44197</v>
      </c>
      <c r="AW69" s="2719"/>
      <c r="AX69" s="2719"/>
      <c r="AY69" s="2719"/>
      <c r="AZ69" s="2719"/>
      <c r="BA69" s="2719"/>
      <c r="BB69" s="2719"/>
      <c r="BC69" s="2835"/>
      <c r="BD69" s="1531"/>
      <c r="BE69" s="1537"/>
    </row>
    <row r="70" spans="1:57" ht="15.75" customHeight="1">
      <c r="A70" s="1836"/>
      <c r="B70" s="2822"/>
      <c r="C70" s="2823"/>
      <c r="D70" s="2823"/>
      <c r="E70" s="2823"/>
      <c r="F70" s="2823"/>
      <c r="G70" s="2823"/>
      <c r="H70" s="2823"/>
      <c r="I70" s="2823"/>
      <c r="J70" s="2823"/>
      <c r="K70" s="2823"/>
      <c r="L70" s="2823"/>
      <c r="M70" s="2823"/>
      <c r="N70" s="2823"/>
      <c r="O70" s="2808"/>
      <c r="P70" s="2808"/>
      <c r="Q70" s="2808"/>
      <c r="R70" s="2808"/>
      <c r="S70" s="2808"/>
      <c r="T70" s="2808"/>
      <c r="U70" s="2808"/>
      <c r="V70" s="2808"/>
      <c r="W70" s="2808"/>
      <c r="X70" s="2808"/>
      <c r="Y70" s="2808"/>
      <c r="Z70" s="2808"/>
      <c r="AA70" s="2809"/>
      <c r="AB70" s="1531"/>
      <c r="AC70" s="2824" t="s">
        <v>2102</v>
      </c>
      <c r="AD70" s="2825"/>
      <c r="AE70" s="2825"/>
      <c r="AF70" s="2793"/>
      <c r="AG70" s="2793"/>
      <c r="AH70" s="2793"/>
      <c r="AI70" s="2793"/>
      <c r="AJ70" s="2793"/>
      <c r="AK70" s="2793"/>
      <c r="AL70" s="2793"/>
      <c r="AM70" s="2793"/>
      <c r="AN70" s="2793"/>
      <c r="AO70" s="2793"/>
      <c r="AP70" s="2793"/>
      <c r="AQ70" s="2793"/>
      <c r="AR70" s="2793"/>
      <c r="AS70" s="2793"/>
      <c r="AT70" s="2793"/>
      <c r="AU70" s="2794"/>
      <c r="AV70" s="1531"/>
      <c r="AW70" s="1531"/>
      <c r="AX70" s="1531"/>
      <c r="AY70" s="1531"/>
      <c r="AZ70" s="1531"/>
      <c r="BA70" s="1531"/>
      <c r="BB70" s="1531"/>
      <c r="BC70" s="1531"/>
      <c r="BD70" s="1531"/>
      <c r="BE70" s="1537"/>
    </row>
    <row r="71" spans="1:57" ht="15.75" customHeight="1" thickBot="1">
      <c r="A71" s="1836"/>
      <c r="B71" s="2807"/>
      <c r="C71" s="2685"/>
      <c r="D71" s="2685"/>
      <c r="E71" s="2685"/>
      <c r="F71" s="2685"/>
      <c r="G71" s="2685"/>
      <c r="H71" s="2685"/>
      <c r="I71" s="2685"/>
      <c r="J71" s="2685"/>
      <c r="K71" s="2685"/>
      <c r="L71" s="2685"/>
      <c r="M71" s="2685"/>
      <c r="N71" s="2685"/>
      <c r="O71" s="2808"/>
      <c r="P71" s="2808"/>
      <c r="Q71" s="2808"/>
      <c r="R71" s="2808"/>
      <c r="S71" s="2808"/>
      <c r="T71" s="2808"/>
      <c r="U71" s="2808"/>
      <c r="V71" s="2808"/>
      <c r="W71" s="2808"/>
      <c r="X71" s="2808"/>
      <c r="Y71" s="2808"/>
      <c r="Z71" s="2808"/>
      <c r="AA71" s="2809"/>
      <c r="AB71" s="1531"/>
      <c r="AC71" s="2826" t="s">
        <v>2103</v>
      </c>
      <c r="AD71" s="2827"/>
      <c r="AE71" s="2827"/>
      <c r="AF71" s="2798"/>
      <c r="AG71" s="2798"/>
      <c r="AH71" s="2798"/>
      <c r="AI71" s="2798"/>
      <c r="AJ71" s="2798"/>
      <c r="AK71" s="2798"/>
      <c r="AL71" s="2798"/>
      <c r="AM71" s="2798"/>
      <c r="AN71" s="2798"/>
      <c r="AO71" s="2798"/>
      <c r="AP71" s="2798"/>
      <c r="AQ71" s="2798"/>
      <c r="AR71" s="2798"/>
      <c r="AS71" s="2798"/>
      <c r="AT71" s="2798"/>
      <c r="AU71" s="2799"/>
      <c r="AV71" s="1531"/>
      <c r="AW71" s="1531"/>
      <c r="AX71" s="1531"/>
      <c r="AY71" s="1531"/>
      <c r="AZ71" s="1531"/>
      <c r="BA71" s="1531"/>
      <c r="BB71" s="1531"/>
      <c r="BC71" s="1531"/>
      <c r="BD71" s="1531"/>
      <c r="BE71" s="1537"/>
    </row>
    <row r="72" spans="1:57" ht="15.75" customHeight="1">
      <c r="A72" s="1836"/>
      <c r="B72" s="2807"/>
      <c r="C72" s="2685"/>
      <c r="D72" s="2685"/>
      <c r="E72" s="2685"/>
      <c r="F72" s="2685"/>
      <c r="G72" s="2685"/>
      <c r="H72" s="2685"/>
      <c r="I72" s="2685"/>
      <c r="J72" s="2685"/>
      <c r="K72" s="2685"/>
      <c r="L72" s="2685"/>
      <c r="M72" s="2685"/>
      <c r="N72" s="2685"/>
      <c r="O72" s="2808"/>
      <c r="P72" s="2808"/>
      <c r="Q72" s="2808"/>
      <c r="R72" s="2808"/>
      <c r="S72" s="2808"/>
      <c r="T72" s="2808"/>
      <c r="U72" s="2808"/>
      <c r="V72" s="2808"/>
      <c r="W72" s="2808"/>
      <c r="X72" s="2808"/>
      <c r="Y72" s="2808"/>
      <c r="Z72" s="2808"/>
      <c r="AA72" s="2809"/>
      <c r="AB72" s="1531"/>
      <c r="AC72" s="2810" t="s">
        <v>2104</v>
      </c>
      <c r="AD72" s="2811"/>
      <c r="AE72" s="2811"/>
      <c r="AF72" s="2811"/>
      <c r="AG72" s="2811"/>
      <c r="AH72" s="2811"/>
      <c r="AI72" s="2811"/>
      <c r="AJ72" s="2811"/>
      <c r="AK72" s="2811"/>
      <c r="AL72" s="2811"/>
      <c r="AM72" s="2811"/>
      <c r="AN72" s="2811"/>
      <c r="AO72" s="2811"/>
      <c r="AP72" s="2811"/>
      <c r="AQ72" s="2811"/>
      <c r="AR72" s="2811"/>
      <c r="AS72" s="2811"/>
      <c r="AT72" s="2811"/>
      <c r="AU72" s="2811"/>
      <c r="AV72" s="2811"/>
      <c r="AW72" s="2811"/>
      <c r="AX72" s="2811"/>
      <c r="AY72" s="2811"/>
      <c r="AZ72" s="2811"/>
      <c r="BA72" s="2811"/>
      <c r="BB72" s="2811"/>
      <c r="BC72" s="2812"/>
      <c r="BD72" s="1531"/>
      <c r="BE72" s="1537"/>
    </row>
    <row r="73" spans="1:57" ht="15.75" customHeight="1">
      <c r="A73" s="1836"/>
      <c r="B73" s="2807"/>
      <c r="C73" s="2685"/>
      <c r="D73" s="2685"/>
      <c r="E73" s="2685"/>
      <c r="F73" s="2685"/>
      <c r="G73" s="2685"/>
      <c r="H73" s="2685"/>
      <c r="I73" s="2685"/>
      <c r="J73" s="2685"/>
      <c r="K73" s="2685"/>
      <c r="L73" s="2685"/>
      <c r="M73" s="2685"/>
      <c r="N73" s="2685"/>
      <c r="O73" s="2808"/>
      <c r="P73" s="2808"/>
      <c r="Q73" s="2808"/>
      <c r="R73" s="2808"/>
      <c r="S73" s="2808"/>
      <c r="T73" s="2808"/>
      <c r="U73" s="2808"/>
      <c r="V73" s="2808"/>
      <c r="W73" s="2808"/>
      <c r="X73" s="2808"/>
      <c r="Y73" s="2808"/>
      <c r="Z73" s="2808"/>
      <c r="AA73" s="2809"/>
      <c r="AB73" s="1531"/>
      <c r="AC73" s="2807"/>
      <c r="AD73" s="2685"/>
      <c r="AE73" s="2685"/>
      <c r="AF73" s="2685"/>
      <c r="AG73" s="2685"/>
      <c r="AH73" s="2685"/>
      <c r="AI73" s="2685"/>
      <c r="AJ73" s="2685"/>
      <c r="AK73" s="2685"/>
      <c r="AL73" s="2685"/>
      <c r="AM73" s="2685"/>
      <c r="AN73" s="2685"/>
      <c r="AO73" s="2685"/>
      <c r="AP73" s="2685"/>
      <c r="AQ73" s="2685"/>
      <c r="AR73" s="2685"/>
      <c r="AS73" s="2685"/>
      <c r="AT73" s="2685"/>
      <c r="AU73" s="2685"/>
      <c r="AV73" s="2685"/>
      <c r="AW73" s="2685"/>
      <c r="AX73" s="2685"/>
      <c r="AY73" s="2685"/>
      <c r="AZ73" s="2685"/>
      <c r="BA73" s="2685"/>
      <c r="BB73" s="2685"/>
      <c r="BC73" s="2813"/>
      <c r="BD73" s="1531"/>
      <c r="BE73" s="1537"/>
    </row>
    <row r="74" spans="1:57" ht="15.75" customHeight="1" thickBot="1">
      <c r="A74" s="1836"/>
      <c r="B74" s="2807"/>
      <c r="C74" s="2685"/>
      <c r="D74" s="2685"/>
      <c r="E74" s="2685"/>
      <c r="F74" s="2685"/>
      <c r="G74" s="2685"/>
      <c r="H74" s="2685"/>
      <c r="I74" s="2685"/>
      <c r="J74" s="2685"/>
      <c r="K74" s="2685"/>
      <c r="L74" s="2685"/>
      <c r="M74" s="2685"/>
      <c r="N74" s="2685"/>
      <c r="O74" s="2815"/>
      <c r="P74" s="2815"/>
      <c r="Q74" s="2815"/>
      <c r="R74" s="2815"/>
      <c r="S74" s="2815"/>
      <c r="T74" s="2815"/>
      <c r="U74" s="2815"/>
      <c r="V74" s="2815"/>
      <c r="W74" s="2815"/>
      <c r="X74" s="2815"/>
      <c r="Y74" s="2815"/>
      <c r="Z74" s="2815"/>
      <c r="AA74" s="2816"/>
      <c r="AB74" s="1531"/>
      <c r="AC74" s="2807"/>
      <c r="AD74" s="2685"/>
      <c r="AE74" s="2685"/>
      <c r="AF74" s="2685"/>
      <c r="AG74" s="2685"/>
      <c r="AH74" s="2685"/>
      <c r="AI74" s="2685"/>
      <c r="AJ74" s="2685"/>
      <c r="AK74" s="2685"/>
      <c r="AL74" s="2685"/>
      <c r="AM74" s="2685"/>
      <c r="AN74" s="2685"/>
      <c r="AO74" s="2685"/>
      <c r="AP74" s="2685"/>
      <c r="AQ74" s="2685"/>
      <c r="AR74" s="2685"/>
      <c r="AS74" s="2685"/>
      <c r="AT74" s="2685"/>
      <c r="AU74" s="2685"/>
      <c r="AV74" s="2685"/>
      <c r="AW74" s="2685"/>
      <c r="AX74" s="2685"/>
      <c r="AY74" s="2685"/>
      <c r="AZ74" s="2685"/>
      <c r="BA74" s="2685"/>
      <c r="BB74" s="2685"/>
      <c r="BC74" s="2813"/>
      <c r="BD74" s="1531"/>
      <c r="BE74" s="1537"/>
    </row>
    <row r="75" spans="1:57" ht="15.75" customHeight="1" thickTop="1" thickBot="1">
      <c r="A75" s="1836"/>
      <c r="B75" s="2817" t="s">
        <v>129</v>
      </c>
      <c r="C75" s="2818"/>
      <c r="D75" s="2818"/>
      <c r="E75" s="2818"/>
      <c r="F75" s="2818"/>
      <c r="G75" s="2818"/>
      <c r="H75" s="2818"/>
      <c r="I75" s="2818"/>
      <c r="J75" s="2818"/>
      <c r="K75" s="2818"/>
      <c r="L75" s="2818"/>
      <c r="M75" s="2818"/>
      <c r="N75" s="2818"/>
      <c r="O75" s="2819">
        <f>SUM(O70:AA74)</f>
        <v>0</v>
      </c>
      <c r="P75" s="2820"/>
      <c r="Q75" s="2820"/>
      <c r="R75" s="2820"/>
      <c r="S75" s="2820"/>
      <c r="T75" s="2820"/>
      <c r="U75" s="2820"/>
      <c r="V75" s="2820"/>
      <c r="W75" s="2820"/>
      <c r="X75" s="2820"/>
      <c r="Y75" s="2820"/>
      <c r="Z75" s="2820"/>
      <c r="AA75" s="2821"/>
      <c r="AB75" s="1531"/>
      <c r="AC75" s="2807"/>
      <c r="AD75" s="2685"/>
      <c r="AE75" s="2685"/>
      <c r="AF75" s="2685"/>
      <c r="AG75" s="2685"/>
      <c r="AH75" s="2685"/>
      <c r="AI75" s="2685"/>
      <c r="AJ75" s="2685"/>
      <c r="AK75" s="2685"/>
      <c r="AL75" s="2685"/>
      <c r="AM75" s="2685"/>
      <c r="AN75" s="2685"/>
      <c r="AO75" s="2685"/>
      <c r="AP75" s="2685"/>
      <c r="AQ75" s="2685"/>
      <c r="AR75" s="2685"/>
      <c r="AS75" s="2685"/>
      <c r="AT75" s="2685"/>
      <c r="AU75" s="2685"/>
      <c r="AV75" s="2685"/>
      <c r="AW75" s="2685"/>
      <c r="AX75" s="2685"/>
      <c r="AY75" s="2685"/>
      <c r="AZ75" s="2685"/>
      <c r="BA75" s="2685"/>
      <c r="BB75" s="2685"/>
      <c r="BC75" s="2813"/>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807"/>
      <c r="AD76" s="2685"/>
      <c r="AE76" s="2685"/>
      <c r="AF76" s="2685"/>
      <c r="AG76" s="2685"/>
      <c r="AH76" s="2685"/>
      <c r="AI76" s="2685"/>
      <c r="AJ76" s="2685"/>
      <c r="AK76" s="2685"/>
      <c r="AL76" s="2685"/>
      <c r="AM76" s="2685"/>
      <c r="AN76" s="2685"/>
      <c r="AO76" s="2685"/>
      <c r="AP76" s="2685"/>
      <c r="AQ76" s="2685"/>
      <c r="AR76" s="2685"/>
      <c r="AS76" s="2685"/>
      <c r="AT76" s="2685"/>
      <c r="AU76" s="2685"/>
      <c r="AV76" s="2685"/>
      <c r="AW76" s="2685"/>
      <c r="AX76" s="2685"/>
      <c r="AY76" s="2685"/>
      <c r="AZ76" s="2685"/>
      <c r="BA76" s="2685"/>
      <c r="BB76" s="2685"/>
      <c r="BC76" s="2813"/>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14"/>
      <c r="AD77" s="2798"/>
      <c r="AE77" s="2798"/>
      <c r="AF77" s="2798"/>
      <c r="AG77" s="2798"/>
      <c r="AH77" s="2798"/>
      <c r="AI77" s="2798"/>
      <c r="AJ77" s="2798"/>
      <c r="AK77" s="2798"/>
      <c r="AL77" s="2798"/>
      <c r="AM77" s="2798"/>
      <c r="AN77" s="2798"/>
      <c r="AO77" s="2798"/>
      <c r="AP77" s="2798"/>
      <c r="AQ77" s="2798"/>
      <c r="AR77" s="2798"/>
      <c r="AS77" s="2798"/>
      <c r="AT77" s="2798"/>
      <c r="AU77" s="2798"/>
      <c r="AV77" s="2798"/>
      <c r="AW77" s="2798"/>
      <c r="AX77" s="2798"/>
      <c r="AY77" s="2798"/>
      <c r="AZ77" s="2798"/>
      <c r="BA77" s="2798"/>
      <c r="BB77" s="2798"/>
      <c r="BC77" s="2799"/>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97" t="s">
        <v>2106</v>
      </c>
      <c r="C79" s="2698"/>
      <c r="D79" s="2698"/>
      <c r="E79" s="2698"/>
      <c r="F79" s="2698"/>
      <c r="G79" s="2698"/>
      <c r="H79" s="2698"/>
      <c r="I79" s="2698"/>
      <c r="J79" s="2698"/>
      <c r="K79" s="2698"/>
      <c r="L79" s="2698"/>
      <c r="M79" s="2698"/>
      <c r="N79" s="2698"/>
      <c r="O79" s="2698"/>
      <c r="P79" s="2698"/>
      <c r="Q79" s="2698"/>
      <c r="R79" s="2698"/>
      <c r="S79" s="2698"/>
      <c r="T79" s="2698"/>
      <c r="U79" s="2698"/>
      <c r="V79" s="2698"/>
      <c r="W79" s="2698"/>
      <c r="X79" s="2698"/>
      <c r="Y79" s="2698"/>
      <c r="Z79" s="2698"/>
      <c r="AA79" s="2698"/>
      <c r="AB79" s="2805"/>
      <c r="AC79" s="2805"/>
      <c r="AD79" s="2805"/>
      <c r="AE79" s="2805"/>
      <c r="AF79" s="2805"/>
      <c r="AG79" s="2806"/>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97"/>
      <c r="C80" s="2698"/>
      <c r="D80" s="2698"/>
      <c r="E80" s="2698"/>
      <c r="F80" s="2698"/>
      <c r="G80" s="2698"/>
      <c r="H80" s="2699"/>
      <c r="I80" s="2787" t="s">
        <v>2107</v>
      </c>
      <c r="J80" s="2788"/>
      <c r="K80" s="2788"/>
      <c r="L80" s="2788"/>
      <c r="M80" s="2788"/>
      <c r="N80" s="2789"/>
      <c r="O80" s="2787" t="s">
        <v>2108</v>
      </c>
      <c r="P80" s="2788"/>
      <c r="Q80" s="2788"/>
      <c r="R80" s="2788"/>
      <c r="S80" s="2788"/>
      <c r="T80" s="2788"/>
      <c r="U80" s="2789"/>
      <c r="V80" s="2787" t="s">
        <v>2109</v>
      </c>
      <c r="W80" s="2788"/>
      <c r="X80" s="2788"/>
      <c r="Y80" s="2788"/>
      <c r="Z80" s="2788"/>
      <c r="AA80" s="2789"/>
      <c r="AB80" s="2787" t="s">
        <v>2110</v>
      </c>
      <c r="AC80" s="2788"/>
      <c r="AD80" s="2788"/>
      <c r="AE80" s="2788"/>
      <c r="AF80" s="2788"/>
      <c r="AG80" s="2789"/>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7" t="s">
        <v>2111</v>
      </c>
      <c r="C81" s="2788"/>
      <c r="D81" s="2788"/>
      <c r="E81" s="2788"/>
      <c r="F81" s="2788"/>
      <c r="G81" s="2788"/>
      <c r="H81" s="2789"/>
      <c r="I81" s="2790"/>
      <c r="J81" s="2791"/>
      <c r="K81" s="2791"/>
      <c r="L81" s="2791"/>
      <c r="M81" s="2791"/>
      <c r="N81" s="2791"/>
      <c r="O81" s="2791"/>
      <c r="P81" s="2791"/>
      <c r="Q81" s="2791"/>
      <c r="R81" s="2791"/>
      <c r="S81" s="2791"/>
      <c r="T81" s="2791"/>
      <c r="U81" s="2791"/>
      <c r="V81" s="2791"/>
      <c r="W81" s="2791"/>
      <c r="X81" s="2791"/>
      <c r="Y81" s="2791"/>
      <c r="Z81" s="2791"/>
      <c r="AA81" s="2792"/>
      <c r="AB81" s="2791"/>
      <c r="AC81" s="2791"/>
      <c r="AD81" s="2791"/>
      <c r="AE81" s="2791"/>
      <c r="AF81" s="2791"/>
      <c r="AG81" s="2792"/>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7" t="s">
        <v>2112</v>
      </c>
      <c r="C82" s="2788"/>
      <c r="D82" s="2788"/>
      <c r="E82" s="2788"/>
      <c r="F82" s="2788"/>
      <c r="G82" s="2788"/>
      <c r="H82" s="2789"/>
      <c r="I82" s="2795"/>
      <c r="J82" s="2796"/>
      <c r="K82" s="2796"/>
      <c r="L82" s="2796"/>
      <c r="M82" s="2796"/>
      <c r="N82" s="2796"/>
      <c r="O82" s="2796"/>
      <c r="P82" s="2796"/>
      <c r="Q82" s="2796"/>
      <c r="R82" s="2796"/>
      <c r="S82" s="2796"/>
      <c r="T82" s="2796"/>
      <c r="U82" s="2796"/>
      <c r="V82" s="2796"/>
      <c r="W82" s="2796"/>
      <c r="X82" s="2796"/>
      <c r="Y82" s="2796"/>
      <c r="Z82" s="2796"/>
      <c r="AA82" s="2797"/>
      <c r="AB82" s="2796"/>
      <c r="AC82" s="2796"/>
      <c r="AD82" s="2796"/>
      <c r="AE82" s="2796"/>
      <c r="AF82" s="2796"/>
      <c r="AG82" s="279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703" t="s">
        <v>2114</v>
      </c>
      <c r="C86" s="2704"/>
      <c r="D86" s="2704"/>
      <c r="E86" s="2704"/>
      <c r="F86" s="2704"/>
      <c r="G86" s="2704"/>
      <c r="H86" s="2704"/>
      <c r="I86" s="2704"/>
      <c r="J86" s="2704"/>
      <c r="K86" s="2704"/>
      <c r="L86" s="2704"/>
      <c r="M86" s="2704"/>
      <c r="N86" s="2704"/>
      <c r="O86" s="2704"/>
      <c r="P86" s="2704"/>
      <c r="Q86" s="2704"/>
      <c r="R86" s="2704"/>
      <c r="S86" s="2704"/>
      <c r="T86" s="2704"/>
      <c r="U86" s="2704"/>
      <c r="V86" s="2704"/>
      <c r="W86" s="2704"/>
      <c r="X86" s="2704"/>
      <c r="Y86" s="2704"/>
      <c r="Z86" s="2704"/>
      <c r="AA86" s="2704"/>
      <c r="AB86" s="2704"/>
      <c r="AC86" s="2704"/>
      <c r="AD86" s="2704"/>
      <c r="AE86" s="2704"/>
      <c r="AF86" s="2704"/>
      <c r="AG86" s="2704"/>
      <c r="AH86" s="2705"/>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97"/>
      <c r="C87" s="2698"/>
      <c r="D87" s="2698"/>
      <c r="E87" s="2698"/>
      <c r="F87" s="2698"/>
      <c r="G87" s="2698"/>
      <c r="H87" s="2699"/>
      <c r="I87" s="2787" t="s">
        <v>2107</v>
      </c>
      <c r="J87" s="2788"/>
      <c r="K87" s="2788"/>
      <c r="L87" s="2788"/>
      <c r="M87" s="2788"/>
      <c r="N87" s="2789"/>
      <c r="O87" s="2787" t="s">
        <v>2108</v>
      </c>
      <c r="P87" s="2788"/>
      <c r="Q87" s="2788"/>
      <c r="R87" s="2788"/>
      <c r="S87" s="2788"/>
      <c r="T87" s="2788"/>
      <c r="U87" s="2789"/>
      <c r="V87" s="2787" t="s">
        <v>2109</v>
      </c>
      <c r="W87" s="2788"/>
      <c r="X87" s="2788"/>
      <c r="Y87" s="2788"/>
      <c r="Z87" s="2788"/>
      <c r="AA87" s="2789"/>
      <c r="AB87" s="2800" t="s">
        <v>2110</v>
      </c>
      <c r="AC87" s="2801"/>
      <c r="AD87" s="2801"/>
      <c r="AE87" s="2801"/>
      <c r="AF87" s="2801"/>
      <c r="AG87" s="2801"/>
      <c r="AH87" s="2802"/>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7" t="s">
        <v>2111</v>
      </c>
      <c r="C88" s="2788"/>
      <c r="D88" s="2788"/>
      <c r="E88" s="2788"/>
      <c r="F88" s="2788"/>
      <c r="G88" s="2788"/>
      <c r="H88" s="2789"/>
      <c r="I88" s="2790"/>
      <c r="J88" s="2791"/>
      <c r="K88" s="2791"/>
      <c r="L88" s="2791"/>
      <c r="M88" s="2791"/>
      <c r="N88" s="2791"/>
      <c r="O88" s="2791"/>
      <c r="P88" s="2791"/>
      <c r="Q88" s="2791"/>
      <c r="R88" s="2791"/>
      <c r="S88" s="2791"/>
      <c r="T88" s="2791"/>
      <c r="U88" s="2791"/>
      <c r="V88" s="2791"/>
      <c r="W88" s="2791"/>
      <c r="X88" s="2791"/>
      <c r="Y88" s="2791"/>
      <c r="Z88" s="2791"/>
      <c r="AA88" s="2803"/>
      <c r="AB88" s="2793"/>
      <c r="AC88" s="2793"/>
      <c r="AD88" s="2793"/>
      <c r="AE88" s="2793"/>
      <c r="AF88" s="2793"/>
      <c r="AG88" s="2793"/>
      <c r="AH88" s="2794"/>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7" t="s">
        <v>2112</v>
      </c>
      <c r="C89" s="2788"/>
      <c r="D89" s="2788"/>
      <c r="E89" s="2788"/>
      <c r="F89" s="2788"/>
      <c r="G89" s="2788"/>
      <c r="H89" s="2789"/>
      <c r="I89" s="2795"/>
      <c r="J89" s="2796"/>
      <c r="K89" s="2796"/>
      <c r="L89" s="2796"/>
      <c r="M89" s="2796"/>
      <c r="N89" s="2796"/>
      <c r="O89" s="2796"/>
      <c r="P89" s="2796"/>
      <c r="Q89" s="2796"/>
      <c r="R89" s="2796"/>
      <c r="S89" s="2796"/>
      <c r="T89" s="2796"/>
      <c r="U89" s="2796"/>
      <c r="V89" s="2796"/>
      <c r="W89" s="2796"/>
      <c r="X89" s="2796"/>
      <c r="Y89" s="2796"/>
      <c r="Z89" s="2796"/>
      <c r="AA89" s="2804"/>
      <c r="AB89" s="2798"/>
      <c r="AC89" s="2798"/>
      <c r="AD89" s="2798"/>
      <c r="AE89" s="2798"/>
      <c r="AF89" s="2798"/>
      <c r="AG89" s="2798"/>
      <c r="AH89" s="2799"/>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97" t="s">
        <v>2116</v>
      </c>
      <c r="C93" s="2698"/>
      <c r="D93" s="2698"/>
      <c r="E93" s="2698"/>
      <c r="F93" s="2698"/>
      <c r="G93" s="2698"/>
      <c r="H93" s="2698"/>
      <c r="I93" s="2698"/>
      <c r="J93" s="2698"/>
      <c r="K93" s="2698"/>
      <c r="L93" s="2698"/>
      <c r="M93" s="2698"/>
      <c r="N93" s="2698"/>
      <c r="O93" s="2698"/>
      <c r="P93" s="2698"/>
      <c r="Q93" s="2698"/>
      <c r="R93" s="2698"/>
      <c r="S93" s="2698"/>
      <c r="T93" s="2698"/>
      <c r="U93" s="2698"/>
      <c r="V93" s="2698"/>
      <c r="W93" s="2698"/>
      <c r="X93" s="2698"/>
      <c r="Y93" s="2698"/>
      <c r="Z93" s="2698"/>
      <c r="AA93" s="2698"/>
      <c r="AB93" s="2698"/>
      <c r="AC93" s="2698"/>
      <c r="AD93" s="2698"/>
      <c r="AE93" s="2698"/>
      <c r="AF93" s="2698"/>
      <c r="AG93" s="2698"/>
      <c r="AH93" s="2699"/>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97"/>
      <c r="C94" s="2698"/>
      <c r="D94" s="2698"/>
      <c r="E94" s="2698"/>
      <c r="F94" s="2698"/>
      <c r="G94" s="2698"/>
      <c r="H94" s="2699"/>
      <c r="I94" s="2787" t="s">
        <v>2107</v>
      </c>
      <c r="J94" s="2788"/>
      <c r="K94" s="2788"/>
      <c r="L94" s="2788"/>
      <c r="M94" s="2788"/>
      <c r="N94" s="2789"/>
      <c r="O94" s="2787" t="s">
        <v>2108</v>
      </c>
      <c r="P94" s="2788"/>
      <c r="Q94" s="2788"/>
      <c r="R94" s="2788"/>
      <c r="S94" s="2788"/>
      <c r="T94" s="2788"/>
      <c r="U94" s="2789"/>
      <c r="V94" s="2787" t="s">
        <v>2109</v>
      </c>
      <c r="W94" s="2788"/>
      <c r="X94" s="2788"/>
      <c r="Y94" s="2788"/>
      <c r="Z94" s="2788"/>
      <c r="AA94" s="2789"/>
      <c r="AB94" s="2800" t="s">
        <v>2110</v>
      </c>
      <c r="AC94" s="2801"/>
      <c r="AD94" s="2801"/>
      <c r="AE94" s="2801"/>
      <c r="AF94" s="2801"/>
      <c r="AG94" s="2801"/>
      <c r="AH94" s="2802"/>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7" t="s">
        <v>2111</v>
      </c>
      <c r="C95" s="2788"/>
      <c r="D95" s="2788"/>
      <c r="E95" s="2788"/>
      <c r="F95" s="2788"/>
      <c r="G95" s="2788"/>
      <c r="H95" s="2789"/>
      <c r="I95" s="2790"/>
      <c r="J95" s="2791"/>
      <c r="K95" s="2791"/>
      <c r="L95" s="2791"/>
      <c r="M95" s="2791"/>
      <c r="N95" s="2791"/>
      <c r="O95" s="2791"/>
      <c r="P95" s="2791"/>
      <c r="Q95" s="2791"/>
      <c r="R95" s="2791"/>
      <c r="S95" s="2791"/>
      <c r="T95" s="2791"/>
      <c r="U95" s="2791"/>
      <c r="V95" s="2791"/>
      <c r="W95" s="2791"/>
      <c r="X95" s="2791"/>
      <c r="Y95" s="2791"/>
      <c r="Z95" s="2791"/>
      <c r="AA95" s="2792"/>
      <c r="AB95" s="2793"/>
      <c r="AC95" s="2793"/>
      <c r="AD95" s="2793"/>
      <c r="AE95" s="2793"/>
      <c r="AF95" s="2793"/>
      <c r="AG95" s="2793"/>
      <c r="AH95" s="2794"/>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7" t="s">
        <v>2112</v>
      </c>
      <c r="C96" s="2788"/>
      <c r="D96" s="2788"/>
      <c r="E96" s="2788"/>
      <c r="F96" s="2788"/>
      <c r="G96" s="2788"/>
      <c r="H96" s="2789"/>
      <c r="I96" s="2795"/>
      <c r="J96" s="2796"/>
      <c r="K96" s="2796"/>
      <c r="L96" s="2796"/>
      <c r="M96" s="2796"/>
      <c r="N96" s="2796"/>
      <c r="O96" s="2796"/>
      <c r="P96" s="2796"/>
      <c r="Q96" s="2796"/>
      <c r="R96" s="2796"/>
      <c r="S96" s="2796"/>
      <c r="T96" s="2796"/>
      <c r="U96" s="2796"/>
      <c r="V96" s="2796"/>
      <c r="W96" s="2796"/>
      <c r="X96" s="2796"/>
      <c r="Y96" s="2796"/>
      <c r="Z96" s="2796"/>
      <c r="AA96" s="2797"/>
      <c r="AB96" s="2798"/>
      <c r="AC96" s="2798"/>
      <c r="AD96" s="2798"/>
      <c r="AE96" s="2798"/>
      <c r="AF96" s="2798"/>
      <c r="AG96" s="2798"/>
      <c r="AH96" s="2799"/>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66" t="s">
        <v>2118</v>
      </c>
      <c r="C100" s="2767"/>
      <c r="D100" s="2767"/>
      <c r="E100" s="2767"/>
      <c r="F100" s="2767"/>
      <c r="G100" s="2767"/>
      <c r="H100" s="2767"/>
      <c r="I100" s="2767"/>
      <c r="J100" s="2767"/>
      <c r="K100" s="2767"/>
      <c r="L100" s="2767"/>
      <c r="M100" s="2767"/>
      <c r="N100" s="2767"/>
      <c r="O100" s="2767"/>
      <c r="P100" s="2767"/>
      <c r="Q100" s="2767"/>
      <c r="R100" s="2767"/>
      <c r="S100" s="2767"/>
      <c r="T100" s="2767"/>
      <c r="U100" s="2768"/>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69"/>
      <c r="C101" s="2770"/>
      <c r="D101" s="2770"/>
      <c r="E101" s="2770"/>
      <c r="F101" s="2770"/>
      <c r="G101" s="2770"/>
      <c r="H101" s="2771"/>
      <c r="I101" s="2772" t="s">
        <v>2108</v>
      </c>
      <c r="J101" s="2671"/>
      <c r="K101" s="2671"/>
      <c r="L101" s="2671"/>
      <c r="M101" s="2671"/>
      <c r="N101" s="2671"/>
      <c r="O101" s="2773"/>
      <c r="P101" s="2772" t="s">
        <v>2119</v>
      </c>
      <c r="Q101" s="2671"/>
      <c r="R101" s="2671"/>
      <c r="S101" s="2671"/>
      <c r="T101" s="2671"/>
      <c r="U101" s="2773"/>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74" t="s">
        <v>2111</v>
      </c>
      <c r="C102" s="2775"/>
      <c r="D102" s="2775"/>
      <c r="E102" s="2775"/>
      <c r="F102" s="2775"/>
      <c r="G102" s="2775"/>
      <c r="H102" s="2775"/>
      <c r="I102" s="2743"/>
      <c r="J102" s="2744"/>
      <c r="K102" s="2744"/>
      <c r="L102" s="2744"/>
      <c r="M102" s="2744"/>
      <c r="N102" s="2744"/>
      <c r="O102" s="2745"/>
      <c r="P102" s="2743"/>
      <c r="Q102" s="2744"/>
      <c r="R102" s="2744"/>
      <c r="S102" s="2744"/>
      <c r="T102" s="2744"/>
      <c r="U102" s="2745"/>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14" t="s">
        <v>2112</v>
      </c>
      <c r="C103" s="2615"/>
      <c r="D103" s="2615"/>
      <c r="E103" s="2615"/>
      <c r="F103" s="2615"/>
      <c r="G103" s="2615"/>
      <c r="H103" s="2615"/>
      <c r="I103" s="2743"/>
      <c r="J103" s="2744"/>
      <c r="K103" s="2744"/>
      <c r="L103" s="2744"/>
      <c r="M103" s="2744"/>
      <c r="N103" s="2744"/>
      <c r="O103" s="2745"/>
      <c r="P103" s="2743"/>
      <c r="Q103" s="2744"/>
      <c r="R103" s="2744"/>
      <c r="S103" s="2744"/>
      <c r="T103" s="2744"/>
      <c r="U103" s="2745"/>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76" t="s">
        <v>2120</v>
      </c>
      <c r="C105" s="2777"/>
      <c r="D105" s="2777"/>
      <c r="E105" s="2777"/>
      <c r="F105" s="2777"/>
      <c r="G105" s="2777"/>
      <c r="H105" s="2777"/>
      <c r="I105" s="2777"/>
      <c r="J105" s="2777"/>
      <c r="K105" s="2777"/>
      <c r="L105" s="2777"/>
      <c r="M105" s="2777"/>
      <c r="N105" s="2777"/>
      <c r="O105" s="2777"/>
      <c r="P105" s="2777"/>
      <c r="Q105" s="2777"/>
      <c r="R105" s="2778"/>
      <c r="S105" s="2778"/>
      <c r="T105" s="2778"/>
      <c r="U105" s="2778"/>
      <c r="V105" s="2778"/>
      <c r="W105" s="2778"/>
      <c r="X105" s="2778"/>
      <c r="Y105" s="2778"/>
      <c r="Z105" s="2778"/>
      <c r="AA105" s="2778"/>
      <c r="AB105" s="2778"/>
      <c r="AC105" s="2778"/>
      <c r="AD105" s="2778"/>
      <c r="AE105" s="2778"/>
      <c r="AF105" s="2778"/>
      <c r="AG105" s="2779" t="s">
        <v>2054</v>
      </c>
      <c r="AH105" s="2779"/>
      <c r="AI105" s="2779"/>
      <c r="AJ105" s="2780"/>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81" t="s">
        <v>2121</v>
      </c>
      <c r="C106" s="2782"/>
      <c r="D106" s="2782"/>
      <c r="E106" s="2782"/>
      <c r="F106" s="2782"/>
      <c r="G106" s="2782"/>
      <c r="H106" s="2782"/>
      <c r="I106" s="2782"/>
      <c r="J106" s="2782"/>
      <c r="K106" s="2782"/>
      <c r="L106" s="2782"/>
      <c r="M106" s="2782"/>
      <c r="N106" s="2782"/>
      <c r="O106" s="2782"/>
      <c r="P106" s="2782"/>
      <c r="Q106" s="2783"/>
      <c r="R106" s="2784" t="s">
        <v>2122</v>
      </c>
      <c r="S106" s="2785"/>
      <c r="T106" s="2785"/>
      <c r="U106" s="2785"/>
      <c r="V106" s="2785"/>
      <c r="W106" s="2785"/>
      <c r="X106" s="2785"/>
      <c r="Y106" s="2785"/>
      <c r="Z106" s="2785"/>
      <c r="AA106" s="2785"/>
      <c r="AB106" s="2785"/>
      <c r="AC106" s="2785"/>
      <c r="AD106" s="2785"/>
      <c r="AE106" s="2785"/>
      <c r="AF106" s="2785"/>
      <c r="AG106" s="2785"/>
      <c r="AH106" s="2785"/>
      <c r="AI106" s="2785"/>
      <c r="AJ106" s="2785"/>
      <c r="AK106" s="2785"/>
      <c r="AL106" s="2785"/>
      <c r="AM106" s="2785"/>
      <c r="AN106" s="2785"/>
      <c r="AO106" s="2785"/>
      <c r="AP106" s="2785"/>
      <c r="AQ106" s="2785"/>
      <c r="AR106" s="2785"/>
      <c r="AS106" s="2785"/>
      <c r="AT106" s="2785"/>
      <c r="AU106" s="2785"/>
      <c r="AV106" s="2785"/>
      <c r="AW106" s="2785"/>
      <c r="AX106" s="2786"/>
      <c r="AY106" s="1531"/>
      <c r="AZ106" s="1531"/>
      <c r="BA106" s="1531"/>
      <c r="BB106" s="1531"/>
      <c r="BC106" s="1531"/>
      <c r="BD106" s="1531"/>
      <c r="BE106" s="1537"/>
    </row>
    <row r="107" spans="1:57" ht="15.75" customHeight="1">
      <c r="A107" s="1836"/>
      <c r="B107" s="2757" t="s">
        <v>2123</v>
      </c>
      <c r="C107" s="2758"/>
      <c r="D107" s="2758"/>
      <c r="E107" s="2758"/>
      <c r="F107" s="2758"/>
      <c r="G107" s="2758"/>
      <c r="H107" s="2758"/>
      <c r="I107" s="2758"/>
      <c r="J107" s="2758"/>
      <c r="K107" s="2758"/>
      <c r="L107" s="2758"/>
      <c r="M107" s="2758"/>
      <c r="N107" s="2758"/>
      <c r="O107" s="2758"/>
      <c r="P107" s="2758"/>
      <c r="Q107" s="2758"/>
      <c r="R107" s="2758"/>
      <c r="S107" s="2758"/>
      <c r="T107" s="2758"/>
      <c r="U107" s="2758"/>
      <c r="V107" s="2758"/>
      <c r="W107" s="2758"/>
      <c r="X107" s="2758"/>
      <c r="Y107" s="2758"/>
      <c r="Z107" s="2758"/>
      <c r="AA107" s="2758"/>
      <c r="AB107" s="2758"/>
      <c r="AC107" s="2758"/>
      <c r="AD107" s="2758"/>
      <c r="AE107" s="2758"/>
      <c r="AF107" s="2758"/>
      <c r="AG107" s="2758"/>
      <c r="AH107" s="2758"/>
      <c r="AI107" s="2758"/>
      <c r="AJ107" s="2758"/>
      <c r="AK107" s="2758"/>
      <c r="AL107" s="2758"/>
      <c r="AM107" s="2758"/>
      <c r="AN107" s="2758"/>
      <c r="AO107" s="2758"/>
      <c r="AP107" s="2758"/>
      <c r="AQ107" s="2758"/>
      <c r="AR107" s="2758"/>
      <c r="AS107" s="2758"/>
      <c r="AT107" s="2758"/>
      <c r="AU107" s="2758"/>
      <c r="AV107" s="2758"/>
      <c r="AW107" s="2758"/>
      <c r="AX107" s="2759"/>
      <c r="AY107" s="1531"/>
      <c r="AZ107" s="1531"/>
      <c r="BA107" s="1531"/>
      <c r="BB107" s="1531"/>
      <c r="BC107" s="1531"/>
      <c r="BD107" s="1531"/>
      <c r="BE107" s="1537"/>
    </row>
    <row r="108" spans="1:57" ht="15.75" customHeight="1">
      <c r="A108" s="1836"/>
      <c r="B108" s="2760"/>
      <c r="C108" s="2761"/>
      <c r="D108" s="2761"/>
      <c r="E108" s="2761"/>
      <c r="F108" s="2761"/>
      <c r="G108" s="2761"/>
      <c r="H108" s="2761"/>
      <c r="I108" s="2761"/>
      <c r="J108" s="2761"/>
      <c r="K108" s="2761"/>
      <c r="L108" s="2761"/>
      <c r="M108" s="2761"/>
      <c r="N108" s="2761"/>
      <c r="O108" s="2761"/>
      <c r="P108" s="2761"/>
      <c r="Q108" s="2761"/>
      <c r="R108" s="2761"/>
      <c r="S108" s="2761"/>
      <c r="T108" s="2761"/>
      <c r="U108" s="2761"/>
      <c r="V108" s="2761"/>
      <c r="W108" s="2761"/>
      <c r="X108" s="2761"/>
      <c r="Y108" s="2761"/>
      <c r="Z108" s="2761"/>
      <c r="AA108" s="2761"/>
      <c r="AB108" s="2761"/>
      <c r="AC108" s="2761"/>
      <c r="AD108" s="2761"/>
      <c r="AE108" s="2761"/>
      <c r="AF108" s="2761"/>
      <c r="AG108" s="2761"/>
      <c r="AH108" s="2761"/>
      <c r="AI108" s="2761"/>
      <c r="AJ108" s="2761"/>
      <c r="AK108" s="2761"/>
      <c r="AL108" s="2761"/>
      <c r="AM108" s="2761"/>
      <c r="AN108" s="2761"/>
      <c r="AO108" s="2761"/>
      <c r="AP108" s="2761"/>
      <c r="AQ108" s="2761"/>
      <c r="AR108" s="2761"/>
      <c r="AS108" s="2761"/>
      <c r="AT108" s="2761"/>
      <c r="AU108" s="2761"/>
      <c r="AV108" s="2761"/>
      <c r="AW108" s="2761"/>
      <c r="AX108" s="2762"/>
      <c r="AY108" s="1531"/>
      <c r="AZ108" s="1531"/>
      <c r="BA108" s="1531"/>
      <c r="BB108" s="1531"/>
      <c r="BC108" s="1531"/>
      <c r="BD108" s="1531"/>
      <c r="BE108" s="1537"/>
    </row>
    <row r="109" spans="1:57" ht="15.75" customHeight="1">
      <c r="A109" s="1836"/>
      <c r="B109" s="2760"/>
      <c r="C109" s="2761"/>
      <c r="D109" s="2761"/>
      <c r="E109" s="2761"/>
      <c r="F109" s="2761"/>
      <c r="G109" s="2761"/>
      <c r="H109" s="2761"/>
      <c r="I109" s="2761"/>
      <c r="J109" s="2761"/>
      <c r="K109" s="2761"/>
      <c r="L109" s="2761"/>
      <c r="M109" s="2761"/>
      <c r="N109" s="2761"/>
      <c r="O109" s="2761"/>
      <c r="P109" s="2761"/>
      <c r="Q109" s="2761"/>
      <c r="R109" s="2761"/>
      <c r="S109" s="2761"/>
      <c r="T109" s="2761"/>
      <c r="U109" s="2761"/>
      <c r="V109" s="2761"/>
      <c r="W109" s="2761"/>
      <c r="X109" s="2761"/>
      <c r="Y109" s="2761"/>
      <c r="Z109" s="2761"/>
      <c r="AA109" s="2761"/>
      <c r="AB109" s="2761"/>
      <c r="AC109" s="2761"/>
      <c r="AD109" s="2761"/>
      <c r="AE109" s="2761"/>
      <c r="AF109" s="2761"/>
      <c r="AG109" s="2761"/>
      <c r="AH109" s="2761"/>
      <c r="AI109" s="2761"/>
      <c r="AJ109" s="2761"/>
      <c r="AK109" s="2761"/>
      <c r="AL109" s="2761"/>
      <c r="AM109" s="2761"/>
      <c r="AN109" s="2761"/>
      <c r="AO109" s="2761"/>
      <c r="AP109" s="2761"/>
      <c r="AQ109" s="2761"/>
      <c r="AR109" s="2761"/>
      <c r="AS109" s="2761"/>
      <c r="AT109" s="2761"/>
      <c r="AU109" s="2761"/>
      <c r="AV109" s="2761"/>
      <c r="AW109" s="2761"/>
      <c r="AX109" s="2762"/>
      <c r="AY109" s="1531"/>
      <c r="AZ109" s="1531"/>
      <c r="BA109" s="1531"/>
      <c r="BB109" s="1531"/>
      <c r="BC109" s="1531"/>
      <c r="BD109" s="1531"/>
      <c r="BE109" s="1537"/>
    </row>
    <row r="110" spans="1:57" ht="15.75" customHeight="1">
      <c r="A110" s="1836"/>
      <c r="B110" s="2760"/>
      <c r="C110" s="2761"/>
      <c r="D110" s="2761"/>
      <c r="E110" s="2761"/>
      <c r="F110" s="2761"/>
      <c r="G110" s="2761"/>
      <c r="H110" s="2761"/>
      <c r="I110" s="2761"/>
      <c r="J110" s="2761"/>
      <c r="K110" s="2761"/>
      <c r="L110" s="2761"/>
      <c r="M110" s="2761"/>
      <c r="N110" s="2761"/>
      <c r="O110" s="2761"/>
      <c r="P110" s="2761"/>
      <c r="Q110" s="2761"/>
      <c r="R110" s="2761"/>
      <c r="S110" s="2761"/>
      <c r="T110" s="2761"/>
      <c r="U110" s="2761"/>
      <c r="V110" s="2761"/>
      <c r="W110" s="2761"/>
      <c r="X110" s="2761"/>
      <c r="Y110" s="2761"/>
      <c r="Z110" s="2761"/>
      <c r="AA110" s="2761"/>
      <c r="AB110" s="2761"/>
      <c r="AC110" s="2761"/>
      <c r="AD110" s="2761"/>
      <c r="AE110" s="2761"/>
      <c r="AF110" s="2761"/>
      <c r="AG110" s="2761"/>
      <c r="AH110" s="2761"/>
      <c r="AI110" s="2761"/>
      <c r="AJ110" s="2761"/>
      <c r="AK110" s="2761"/>
      <c r="AL110" s="2761"/>
      <c r="AM110" s="2761"/>
      <c r="AN110" s="2761"/>
      <c r="AO110" s="2761"/>
      <c r="AP110" s="2761"/>
      <c r="AQ110" s="2761"/>
      <c r="AR110" s="2761"/>
      <c r="AS110" s="2761"/>
      <c r="AT110" s="2761"/>
      <c r="AU110" s="2761"/>
      <c r="AV110" s="2761"/>
      <c r="AW110" s="2761"/>
      <c r="AX110" s="2762"/>
      <c r="AY110" s="1531"/>
      <c r="AZ110" s="1531"/>
      <c r="BA110" s="1531"/>
      <c r="BB110" s="1531"/>
      <c r="BC110" s="1531"/>
      <c r="BD110" s="1531"/>
      <c r="BE110" s="1537"/>
    </row>
    <row r="111" spans="1:57" ht="15.75" customHeight="1">
      <c r="A111" s="1836"/>
      <c r="B111" s="2760"/>
      <c r="C111" s="2761"/>
      <c r="D111" s="2761"/>
      <c r="E111" s="2761"/>
      <c r="F111" s="2761"/>
      <c r="G111" s="2761"/>
      <c r="H111" s="2761"/>
      <c r="I111" s="2761"/>
      <c r="J111" s="2761"/>
      <c r="K111" s="2761"/>
      <c r="L111" s="2761"/>
      <c r="M111" s="2761"/>
      <c r="N111" s="2761"/>
      <c r="O111" s="2761"/>
      <c r="P111" s="2761"/>
      <c r="Q111" s="2761"/>
      <c r="R111" s="2761"/>
      <c r="S111" s="2761"/>
      <c r="T111" s="2761"/>
      <c r="U111" s="2761"/>
      <c r="V111" s="2761"/>
      <c r="W111" s="2761"/>
      <c r="X111" s="2761"/>
      <c r="Y111" s="2761"/>
      <c r="Z111" s="2761"/>
      <c r="AA111" s="2761"/>
      <c r="AB111" s="2761"/>
      <c r="AC111" s="2761"/>
      <c r="AD111" s="2761"/>
      <c r="AE111" s="2761"/>
      <c r="AF111" s="2761"/>
      <c r="AG111" s="2761"/>
      <c r="AH111" s="2761"/>
      <c r="AI111" s="2761"/>
      <c r="AJ111" s="2761"/>
      <c r="AK111" s="2761"/>
      <c r="AL111" s="2761"/>
      <c r="AM111" s="2761"/>
      <c r="AN111" s="2761"/>
      <c r="AO111" s="2761"/>
      <c r="AP111" s="2761"/>
      <c r="AQ111" s="2761"/>
      <c r="AR111" s="2761"/>
      <c r="AS111" s="2761"/>
      <c r="AT111" s="2761"/>
      <c r="AU111" s="2761"/>
      <c r="AV111" s="2761"/>
      <c r="AW111" s="2761"/>
      <c r="AX111" s="2762"/>
      <c r="AY111" s="1531"/>
      <c r="AZ111" s="1531"/>
      <c r="BA111" s="1531"/>
      <c r="BB111" s="1531"/>
      <c r="BC111" s="1531"/>
      <c r="BD111" s="1531"/>
      <c r="BE111" s="1537"/>
    </row>
    <row r="112" spans="1:57" ht="15.75" customHeight="1">
      <c r="A112" s="1836"/>
      <c r="B112" s="2760"/>
      <c r="C112" s="2761"/>
      <c r="D112" s="2761"/>
      <c r="E112" s="2761"/>
      <c r="F112" s="2761"/>
      <c r="G112" s="2761"/>
      <c r="H112" s="2761"/>
      <c r="I112" s="2761"/>
      <c r="J112" s="2761"/>
      <c r="K112" s="2761"/>
      <c r="L112" s="2761"/>
      <c r="M112" s="2761"/>
      <c r="N112" s="2761"/>
      <c r="O112" s="2761"/>
      <c r="P112" s="2761"/>
      <c r="Q112" s="2761"/>
      <c r="R112" s="2761"/>
      <c r="S112" s="2761"/>
      <c r="T112" s="2761"/>
      <c r="U112" s="2761"/>
      <c r="V112" s="2761"/>
      <c r="W112" s="2761"/>
      <c r="X112" s="2761"/>
      <c r="Y112" s="2761"/>
      <c r="Z112" s="2761"/>
      <c r="AA112" s="2761"/>
      <c r="AB112" s="2761"/>
      <c r="AC112" s="2761"/>
      <c r="AD112" s="2761"/>
      <c r="AE112" s="2761"/>
      <c r="AF112" s="2761"/>
      <c r="AG112" s="2761"/>
      <c r="AH112" s="2761"/>
      <c r="AI112" s="2761"/>
      <c r="AJ112" s="2761"/>
      <c r="AK112" s="2761"/>
      <c r="AL112" s="2761"/>
      <c r="AM112" s="2761"/>
      <c r="AN112" s="2761"/>
      <c r="AO112" s="2761"/>
      <c r="AP112" s="2761"/>
      <c r="AQ112" s="2761"/>
      <c r="AR112" s="2761"/>
      <c r="AS112" s="2761"/>
      <c r="AT112" s="2761"/>
      <c r="AU112" s="2761"/>
      <c r="AV112" s="2761"/>
      <c r="AW112" s="2761"/>
      <c r="AX112" s="2762"/>
      <c r="AY112" s="1531"/>
      <c r="AZ112" s="1531"/>
      <c r="BA112" s="1531"/>
      <c r="BB112" s="1531"/>
      <c r="BC112" s="1531"/>
      <c r="BD112" s="1531"/>
      <c r="BE112" s="1537"/>
    </row>
    <row r="113" spans="1:57" ht="15.75" customHeight="1">
      <c r="A113" s="1836"/>
      <c r="B113" s="2760"/>
      <c r="C113" s="2761"/>
      <c r="D113" s="2761"/>
      <c r="E113" s="2761"/>
      <c r="F113" s="2761"/>
      <c r="G113" s="2761"/>
      <c r="H113" s="2761"/>
      <c r="I113" s="2761"/>
      <c r="J113" s="2761"/>
      <c r="K113" s="2761"/>
      <c r="L113" s="2761"/>
      <c r="M113" s="2761"/>
      <c r="N113" s="2761"/>
      <c r="O113" s="2761"/>
      <c r="P113" s="2761"/>
      <c r="Q113" s="2761"/>
      <c r="R113" s="2761"/>
      <c r="S113" s="2761"/>
      <c r="T113" s="2761"/>
      <c r="U113" s="2761"/>
      <c r="V113" s="2761"/>
      <c r="W113" s="2761"/>
      <c r="X113" s="2761"/>
      <c r="Y113" s="2761"/>
      <c r="Z113" s="2761"/>
      <c r="AA113" s="2761"/>
      <c r="AB113" s="2761"/>
      <c r="AC113" s="2761"/>
      <c r="AD113" s="2761"/>
      <c r="AE113" s="2761"/>
      <c r="AF113" s="2761"/>
      <c r="AG113" s="2761"/>
      <c r="AH113" s="2761"/>
      <c r="AI113" s="2761"/>
      <c r="AJ113" s="2761"/>
      <c r="AK113" s="2761"/>
      <c r="AL113" s="2761"/>
      <c r="AM113" s="2761"/>
      <c r="AN113" s="2761"/>
      <c r="AO113" s="2761"/>
      <c r="AP113" s="2761"/>
      <c r="AQ113" s="2761"/>
      <c r="AR113" s="2761"/>
      <c r="AS113" s="2761"/>
      <c r="AT113" s="2761"/>
      <c r="AU113" s="2761"/>
      <c r="AV113" s="2761"/>
      <c r="AW113" s="2761"/>
      <c r="AX113" s="2762"/>
      <c r="AY113" s="1531"/>
      <c r="AZ113" s="1531"/>
      <c r="BA113" s="1531"/>
      <c r="BB113" s="1531"/>
      <c r="BC113" s="1531"/>
      <c r="BD113" s="1531"/>
      <c r="BE113" s="1537"/>
    </row>
    <row r="114" spans="1:57" ht="15.75" customHeight="1">
      <c r="A114" s="1836"/>
      <c r="B114" s="2760"/>
      <c r="C114" s="2761"/>
      <c r="D114" s="2761"/>
      <c r="E114" s="2761"/>
      <c r="F114" s="2761"/>
      <c r="G114" s="2761"/>
      <c r="H114" s="2761"/>
      <c r="I114" s="2761"/>
      <c r="J114" s="2761"/>
      <c r="K114" s="2761"/>
      <c r="L114" s="2761"/>
      <c r="M114" s="2761"/>
      <c r="N114" s="2761"/>
      <c r="O114" s="2761"/>
      <c r="P114" s="2761"/>
      <c r="Q114" s="2761"/>
      <c r="R114" s="2761"/>
      <c r="S114" s="2761"/>
      <c r="T114" s="2761"/>
      <c r="U114" s="2761"/>
      <c r="V114" s="2761"/>
      <c r="W114" s="2761"/>
      <c r="X114" s="2761"/>
      <c r="Y114" s="2761"/>
      <c r="Z114" s="2761"/>
      <c r="AA114" s="2761"/>
      <c r="AB114" s="2761"/>
      <c r="AC114" s="2761"/>
      <c r="AD114" s="2761"/>
      <c r="AE114" s="2761"/>
      <c r="AF114" s="2761"/>
      <c r="AG114" s="2761"/>
      <c r="AH114" s="2761"/>
      <c r="AI114" s="2761"/>
      <c r="AJ114" s="2761"/>
      <c r="AK114" s="2761"/>
      <c r="AL114" s="2761"/>
      <c r="AM114" s="2761"/>
      <c r="AN114" s="2761"/>
      <c r="AO114" s="2761"/>
      <c r="AP114" s="2761"/>
      <c r="AQ114" s="2761"/>
      <c r="AR114" s="2761"/>
      <c r="AS114" s="2761"/>
      <c r="AT114" s="2761"/>
      <c r="AU114" s="2761"/>
      <c r="AV114" s="2761"/>
      <c r="AW114" s="2761"/>
      <c r="AX114" s="2762"/>
      <c r="AY114" s="1531"/>
      <c r="AZ114" s="1531"/>
      <c r="BA114" s="1531"/>
      <c r="BB114" s="1531"/>
      <c r="BC114" s="1531"/>
      <c r="BD114" s="1531"/>
      <c r="BE114" s="1537"/>
    </row>
    <row r="115" spans="1:57" ht="15.75" customHeight="1">
      <c r="A115" s="1836"/>
      <c r="B115" s="2760"/>
      <c r="C115" s="2761"/>
      <c r="D115" s="2761"/>
      <c r="E115" s="2761"/>
      <c r="F115" s="2761"/>
      <c r="G115" s="2761"/>
      <c r="H115" s="2761"/>
      <c r="I115" s="2761"/>
      <c r="J115" s="2761"/>
      <c r="K115" s="2761"/>
      <c r="L115" s="2761"/>
      <c r="M115" s="2761"/>
      <c r="N115" s="2761"/>
      <c r="O115" s="2761"/>
      <c r="P115" s="2761"/>
      <c r="Q115" s="2761"/>
      <c r="R115" s="2761"/>
      <c r="S115" s="2761"/>
      <c r="T115" s="2761"/>
      <c r="U115" s="2761"/>
      <c r="V115" s="2761"/>
      <c r="W115" s="2761"/>
      <c r="X115" s="2761"/>
      <c r="Y115" s="2761"/>
      <c r="Z115" s="2761"/>
      <c r="AA115" s="2761"/>
      <c r="AB115" s="2761"/>
      <c r="AC115" s="2761"/>
      <c r="AD115" s="2761"/>
      <c r="AE115" s="2761"/>
      <c r="AF115" s="2761"/>
      <c r="AG115" s="2761"/>
      <c r="AH115" s="2761"/>
      <c r="AI115" s="2761"/>
      <c r="AJ115" s="2761"/>
      <c r="AK115" s="2761"/>
      <c r="AL115" s="2761"/>
      <c r="AM115" s="2761"/>
      <c r="AN115" s="2761"/>
      <c r="AO115" s="2761"/>
      <c r="AP115" s="2761"/>
      <c r="AQ115" s="2761"/>
      <c r="AR115" s="2761"/>
      <c r="AS115" s="2761"/>
      <c r="AT115" s="2761"/>
      <c r="AU115" s="2761"/>
      <c r="AV115" s="2761"/>
      <c r="AW115" s="2761"/>
      <c r="AX115" s="2762"/>
      <c r="AY115" s="1531"/>
      <c r="AZ115" s="1531"/>
      <c r="BA115" s="1531"/>
      <c r="BB115" s="1531"/>
      <c r="BC115" s="1531"/>
      <c r="BD115" s="1531"/>
      <c r="BE115" s="1537"/>
    </row>
    <row r="116" spans="1:57" ht="15.75" customHeight="1" thickBot="1">
      <c r="A116" s="1836"/>
      <c r="B116" s="2763"/>
      <c r="C116" s="2764"/>
      <c r="D116" s="2764"/>
      <c r="E116" s="2764"/>
      <c r="F116" s="2764"/>
      <c r="G116" s="2764"/>
      <c r="H116" s="2764"/>
      <c r="I116" s="2764"/>
      <c r="J116" s="2764"/>
      <c r="K116" s="2764"/>
      <c r="L116" s="2764"/>
      <c r="M116" s="2764"/>
      <c r="N116" s="2764"/>
      <c r="O116" s="2764"/>
      <c r="P116" s="2764"/>
      <c r="Q116" s="2764"/>
      <c r="R116" s="2764"/>
      <c r="S116" s="2764"/>
      <c r="T116" s="2764"/>
      <c r="U116" s="2764"/>
      <c r="V116" s="2764"/>
      <c r="W116" s="2764"/>
      <c r="X116" s="2764"/>
      <c r="Y116" s="2764"/>
      <c r="Z116" s="2764"/>
      <c r="AA116" s="2764"/>
      <c r="AB116" s="2764"/>
      <c r="AC116" s="2764"/>
      <c r="AD116" s="2764"/>
      <c r="AE116" s="2764"/>
      <c r="AF116" s="2764"/>
      <c r="AG116" s="2764"/>
      <c r="AH116" s="2764"/>
      <c r="AI116" s="2764"/>
      <c r="AJ116" s="2764"/>
      <c r="AK116" s="2764"/>
      <c r="AL116" s="2764"/>
      <c r="AM116" s="2764"/>
      <c r="AN116" s="2764"/>
      <c r="AO116" s="2764"/>
      <c r="AP116" s="2764"/>
      <c r="AQ116" s="2764"/>
      <c r="AR116" s="2764"/>
      <c r="AS116" s="2764"/>
      <c r="AT116" s="2764"/>
      <c r="AU116" s="2764"/>
      <c r="AV116" s="2764"/>
      <c r="AW116" s="2764"/>
      <c r="AX116" s="2765"/>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66" t="s">
        <v>2125</v>
      </c>
      <c r="C120" s="2767"/>
      <c r="D120" s="2767"/>
      <c r="E120" s="2767"/>
      <c r="F120" s="2767"/>
      <c r="G120" s="2767"/>
      <c r="H120" s="2767"/>
      <c r="I120" s="2767"/>
      <c r="J120" s="2767"/>
      <c r="K120" s="2767"/>
      <c r="L120" s="2767"/>
      <c r="M120" s="2767"/>
      <c r="N120" s="2767"/>
      <c r="O120" s="2767"/>
      <c r="P120" s="2767"/>
      <c r="Q120" s="2767"/>
      <c r="R120" s="2767"/>
      <c r="S120" s="2767"/>
      <c r="T120" s="2767"/>
      <c r="U120" s="2768"/>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69"/>
      <c r="C121" s="2770"/>
      <c r="D121" s="2770"/>
      <c r="E121" s="2770"/>
      <c r="F121" s="2770"/>
      <c r="G121" s="2770"/>
      <c r="H121" s="2771"/>
      <c r="I121" s="2772" t="s">
        <v>2108</v>
      </c>
      <c r="J121" s="2671"/>
      <c r="K121" s="2671"/>
      <c r="L121" s="2671"/>
      <c r="M121" s="2671"/>
      <c r="N121" s="2671"/>
      <c r="O121" s="2773"/>
      <c r="P121" s="2772" t="s">
        <v>2119</v>
      </c>
      <c r="Q121" s="2671"/>
      <c r="R121" s="2671"/>
      <c r="S121" s="2671"/>
      <c r="T121" s="2671"/>
      <c r="U121" s="2773"/>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74" t="s">
        <v>2111</v>
      </c>
      <c r="C122" s="2775"/>
      <c r="D122" s="2775"/>
      <c r="E122" s="2775"/>
      <c r="F122" s="2775"/>
      <c r="G122" s="2775"/>
      <c r="H122" s="2775"/>
      <c r="I122" s="2743"/>
      <c r="J122" s="2744"/>
      <c r="K122" s="2744"/>
      <c r="L122" s="2744"/>
      <c r="M122" s="2744"/>
      <c r="N122" s="2744"/>
      <c r="O122" s="2745"/>
      <c r="P122" s="2743"/>
      <c r="Q122" s="2744"/>
      <c r="R122" s="2744"/>
      <c r="S122" s="2744"/>
      <c r="T122" s="2744"/>
      <c r="U122" s="2745"/>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14" t="s">
        <v>2112</v>
      </c>
      <c r="C123" s="2615"/>
      <c r="D123" s="2615"/>
      <c r="E123" s="2615"/>
      <c r="F123" s="2615"/>
      <c r="G123" s="2615"/>
      <c r="H123" s="2615"/>
      <c r="I123" s="2743"/>
      <c r="J123" s="2744"/>
      <c r="K123" s="2744"/>
      <c r="L123" s="2744"/>
      <c r="M123" s="2744"/>
      <c r="N123" s="2744"/>
      <c r="O123" s="2745"/>
      <c r="P123" s="2743"/>
      <c r="Q123" s="2744"/>
      <c r="R123" s="2744"/>
      <c r="S123" s="2744"/>
      <c r="T123" s="2744"/>
      <c r="U123" s="2745"/>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46" t="s">
        <v>2126</v>
      </c>
      <c r="D125" s="2747"/>
      <c r="E125" s="2747"/>
      <c r="F125" s="2747"/>
      <c r="G125" s="2747"/>
      <c r="H125" s="2747"/>
      <c r="I125" s="2747"/>
      <c r="J125" s="2747"/>
      <c r="K125" s="2747"/>
      <c r="L125" s="2747"/>
      <c r="M125" s="2747"/>
      <c r="N125" s="2747"/>
      <c r="O125" s="2747"/>
      <c r="P125" s="2747"/>
      <c r="Q125" s="2747"/>
      <c r="R125" s="2747"/>
      <c r="S125" s="2747"/>
      <c r="T125" s="2747"/>
      <c r="U125" s="2747"/>
      <c r="V125" s="2747"/>
      <c r="W125" s="2747"/>
      <c r="X125" s="2747"/>
      <c r="Y125" s="2747"/>
      <c r="Z125" s="2747"/>
      <c r="AA125" s="2747"/>
      <c r="AB125" s="2747"/>
      <c r="AC125" s="2747"/>
      <c r="AD125" s="2747"/>
      <c r="AE125" s="2747"/>
      <c r="AF125" s="2747"/>
      <c r="AG125" s="274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62" t="s">
        <v>2127</v>
      </c>
      <c r="D126" s="2663"/>
      <c r="E126" s="2663"/>
      <c r="F126" s="2663"/>
      <c r="G126" s="2663"/>
      <c r="H126" s="2663"/>
      <c r="I126" s="2663"/>
      <c r="J126" s="2663"/>
      <c r="K126" s="2663"/>
      <c r="L126" s="2663"/>
      <c r="M126" s="2663"/>
      <c r="N126" s="2663"/>
      <c r="O126" s="2663"/>
      <c r="P126" s="2749"/>
      <c r="Q126" s="2750" t="s">
        <v>2128</v>
      </c>
      <c r="R126" s="2663"/>
      <c r="S126" s="2749"/>
      <c r="T126" s="2751" t="s">
        <v>2129</v>
      </c>
      <c r="U126" s="2752"/>
      <c r="V126" s="2752"/>
      <c r="W126" s="2752"/>
      <c r="X126" s="2752"/>
      <c r="Y126" s="2752"/>
      <c r="Z126" s="2752"/>
      <c r="AA126" s="2753"/>
      <c r="AB126" s="2754" t="s">
        <v>2130</v>
      </c>
      <c r="AC126" s="2755"/>
      <c r="AD126" s="2755"/>
      <c r="AE126" s="2755"/>
      <c r="AF126" s="2755"/>
      <c r="AG126" s="2756"/>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53" t="s">
        <v>2131</v>
      </c>
      <c r="D127" s="2654"/>
      <c r="E127" s="2654"/>
      <c r="F127" s="2654"/>
      <c r="G127" s="2654"/>
      <c r="H127" s="2654"/>
      <c r="I127" s="2654"/>
      <c r="J127" s="2654"/>
      <c r="K127" s="2654"/>
      <c r="L127" s="2654"/>
      <c r="M127" s="2654"/>
      <c r="N127" s="2654"/>
      <c r="O127" s="2654"/>
      <c r="P127" s="2667"/>
      <c r="Q127" s="2733">
        <v>55</v>
      </c>
      <c r="R127" s="2734"/>
      <c r="S127" s="2735"/>
      <c r="T127" s="2727"/>
      <c r="U127" s="2728"/>
      <c r="V127" s="2728"/>
      <c r="W127" s="2728"/>
      <c r="X127" s="2728"/>
      <c r="Y127" s="2728"/>
      <c r="Z127" s="2728"/>
      <c r="AA127" s="2728"/>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53" t="s">
        <v>432</v>
      </c>
      <c r="D128" s="2654"/>
      <c r="E128" s="2654"/>
      <c r="F128" s="2654"/>
      <c r="G128" s="2654"/>
      <c r="H128" s="2654"/>
      <c r="I128" s="2654"/>
      <c r="J128" s="2654"/>
      <c r="K128" s="2654"/>
      <c r="L128" s="2654"/>
      <c r="M128" s="2654"/>
      <c r="N128" s="2654"/>
      <c r="O128" s="2654"/>
      <c r="P128" s="2667"/>
      <c r="Q128" s="2733">
        <v>55</v>
      </c>
      <c r="R128" s="2734"/>
      <c r="S128" s="2735"/>
      <c r="T128" s="2741" t="str">
        <f>_xlfn.CONCAT(Application!AC515,"/", Application!AH515)</f>
        <v>11/2020</v>
      </c>
      <c r="U128" s="2742"/>
      <c r="V128" s="2742"/>
      <c r="W128" s="2742"/>
      <c r="X128" s="2742"/>
      <c r="Y128" s="2742"/>
      <c r="Z128" s="2742"/>
      <c r="AA128" s="274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53" t="s">
        <v>2132</v>
      </c>
      <c r="D129" s="2654"/>
      <c r="E129" s="2654"/>
      <c r="F129" s="2654"/>
      <c r="G129" s="2654"/>
      <c r="H129" s="2654"/>
      <c r="I129" s="2654"/>
      <c r="J129" s="2654"/>
      <c r="K129" s="2654"/>
      <c r="L129" s="2654"/>
      <c r="M129" s="2654"/>
      <c r="N129" s="2654"/>
      <c r="O129" s="2654"/>
      <c r="P129" s="2667"/>
      <c r="Q129" s="2733">
        <v>55</v>
      </c>
      <c r="R129" s="2734"/>
      <c r="S129" s="2735"/>
      <c r="T129" s="2736"/>
      <c r="U129" s="2737"/>
      <c r="V129" s="2737"/>
      <c r="W129" s="2737"/>
      <c r="X129" s="2737"/>
      <c r="Y129" s="2737"/>
      <c r="Z129" s="2737"/>
      <c r="AA129" s="2737"/>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53" t="s">
        <v>2133</v>
      </c>
      <c r="D130" s="2654"/>
      <c r="E130" s="2654"/>
      <c r="F130" s="2654"/>
      <c r="G130" s="2654"/>
      <c r="H130" s="2654"/>
      <c r="I130" s="2654"/>
      <c r="J130" s="2654"/>
      <c r="K130" s="2654"/>
      <c r="L130" s="2654"/>
      <c r="M130" s="2654"/>
      <c r="N130" s="2654"/>
      <c r="O130" s="2654"/>
      <c r="P130" s="2667"/>
      <c r="Q130" s="2738"/>
      <c r="R130" s="2739"/>
      <c r="S130" s="2740"/>
      <c r="T130" s="2727"/>
      <c r="U130" s="2728"/>
      <c r="V130" s="2728"/>
      <c r="W130" s="2728"/>
      <c r="X130" s="2728"/>
      <c r="Y130" s="2728"/>
      <c r="Z130" s="2728"/>
      <c r="AA130" s="2728"/>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53" t="s">
        <v>2086</v>
      </c>
      <c r="D131" s="2654"/>
      <c r="E131" s="2654"/>
      <c r="F131" s="2654"/>
      <c r="G131" s="2654"/>
      <c r="H131" s="2654"/>
      <c r="I131" s="2654"/>
      <c r="J131" s="2654"/>
      <c r="K131" s="2654"/>
      <c r="L131" s="2654"/>
      <c r="M131" s="2654"/>
      <c r="N131" s="2654"/>
      <c r="O131" s="2654"/>
      <c r="P131" s="2667"/>
      <c r="Q131" s="2724">
        <f>Application!AG400</f>
        <v>0</v>
      </c>
      <c r="R131" s="2725"/>
      <c r="S131" s="2726"/>
      <c r="T131" s="2727"/>
      <c r="U131" s="2728"/>
      <c r="V131" s="2728"/>
      <c r="W131" s="2728"/>
      <c r="X131" s="2728"/>
      <c r="Y131" s="2728"/>
      <c r="Z131" s="2728"/>
      <c r="AA131" s="2729"/>
      <c r="AB131" s="2730">
        <f>Application!AE401</f>
        <v>0</v>
      </c>
      <c r="AC131" s="2731"/>
      <c r="AD131" s="2731"/>
      <c r="AE131" s="2731"/>
      <c r="AF131" s="2731"/>
      <c r="AG131" s="2732"/>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12" t="s">
        <v>175</v>
      </c>
      <c r="D132" s="2713"/>
      <c r="E132" s="2713"/>
      <c r="F132" s="2644" t="s">
        <v>2134</v>
      </c>
      <c r="G132" s="2644"/>
      <c r="H132" s="2644"/>
      <c r="I132" s="2644"/>
      <c r="J132" s="2644"/>
      <c r="K132" s="2644"/>
      <c r="L132" s="2644"/>
      <c r="M132" s="2644"/>
      <c r="N132" s="2644"/>
      <c r="O132" s="2644"/>
      <c r="P132" s="2644"/>
      <c r="Q132" s="2714">
        <v>55</v>
      </c>
      <c r="R132" s="2714"/>
      <c r="S132" s="2714"/>
      <c r="T132" s="2715"/>
      <c r="U132" s="2715"/>
      <c r="V132" s="2715"/>
      <c r="W132" s="2715"/>
      <c r="X132" s="2715"/>
      <c r="Y132" s="2715"/>
      <c r="Z132" s="2715"/>
      <c r="AA132" s="2715"/>
      <c r="AB132" s="2716"/>
      <c r="AC132" s="2717"/>
      <c r="AD132" s="2717"/>
      <c r="AE132" s="2717"/>
      <c r="AF132" s="2717"/>
      <c r="AG132" s="2718"/>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12" t="s">
        <v>175</v>
      </c>
      <c r="D133" s="2713"/>
      <c r="E133" s="2713"/>
      <c r="F133" s="2644" t="s">
        <v>2134</v>
      </c>
      <c r="G133" s="2644"/>
      <c r="H133" s="2644"/>
      <c r="I133" s="2644"/>
      <c r="J133" s="2644"/>
      <c r="K133" s="2644"/>
      <c r="L133" s="2644"/>
      <c r="M133" s="2644"/>
      <c r="N133" s="2644"/>
      <c r="O133" s="2644"/>
      <c r="P133" s="2644"/>
      <c r="Q133" s="2714">
        <v>55</v>
      </c>
      <c r="R133" s="2714"/>
      <c r="S133" s="2714"/>
      <c r="T133" s="2715"/>
      <c r="U133" s="2715"/>
      <c r="V133" s="2715"/>
      <c r="W133" s="2715"/>
      <c r="X133" s="2715"/>
      <c r="Y133" s="2715"/>
      <c r="Z133" s="2715"/>
      <c r="AA133" s="2715"/>
      <c r="AB133" s="2716"/>
      <c r="AC133" s="2717"/>
      <c r="AD133" s="2717"/>
      <c r="AE133" s="2717"/>
      <c r="AF133" s="2717"/>
      <c r="AG133" s="2718"/>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12" t="s">
        <v>175</v>
      </c>
      <c r="D134" s="2713"/>
      <c r="E134" s="2713"/>
      <c r="F134" s="2629" t="s">
        <v>2134</v>
      </c>
      <c r="G134" s="2629"/>
      <c r="H134" s="2629"/>
      <c r="I134" s="2629"/>
      <c r="J134" s="2629"/>
      <c r="K134" s="2629"/>
      <c r="L134" s="2629"/>
      <c r="M134" s="2629"/>
      <c r="N134" s="2629"/>
      <c r="O134" s="2629"/>
      <c r="P134" s="2629"/>
      <c r="Q134" s="2719">
        <v>55</v>
      </c>
      <c r="R134" s="2719"/>
      <c r="S134" s="2719"/>
      <c r="T134" s="2720"/>
      <c r="U134" s="2720"/>
      <c r="V134" s="2720"/>
      <c r="W134" s="2720"/>
      <c r="X134" s="2720"/>
      <c r="Y134" s="2720"/>
      <c r="Z134" s="2720"/>
      <c r="AA134" s="2720"/>
      <c r="AB134" s="2721"/>
      <c r="AC134" s="2722"/>
      <c r="AD134" s="2722"/>
      <c r="AE134" s="2722"/>
      <c r="AF134" s="2722"/>
      <c r="AG134" s="2723"/>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97" t="s">
        <v>2135</v>
      </c>
      <c r="D136" s="2698"/>
      <c r="E136" s="2698"/>
      <c r="F136" s="2698"/>
      <c r="G136" s="2698"/>
      <c r="H136" s="2698"/>
      <c r="I136" s="2698"/>
      <c r="J136" s="2698"/>
      <c r="K136" s="2698"/>
      <c r="L136" s="2698"/>
      <c r="M136" s="2698"/>
      <c r="N136" s="2699"/>
      <c r="O136" s="1531"/>
      <c r="P136" s="2700" t="s">
        <v>2136</v>
      </c>
      <c r="Q136" s="2701"/>
      <c r="R136" s="2701"/>
      <c r="S136" s="2701"/>
      <c r="T136" s="2701"/>
      <c r="U136" s="2701"/>
      <c r="V136" s="2701"/>
      <c r="W136" s="2701"/>
      <c r="X136" s="2701"/>
      <c r="Y136" s="2701"/>
      <c r="Z136" s="2701"/>
      <c r="AA136" s="2701"/>
      <c r="AB136" s="2701"/>
      <c r="AC136" s="2701"/>
      <c r="AD136" s="2701"/>
      <c r="AE136" s="2701"/>
      <c r="AF136" s="2701"/>
      <c r="AG136" s="2701"/>
      <c r="AH136" s="2701"/>
      <c r="AI136" s="2701"/>
      <c r="AJ136" s="2701"/>
      <c r="AK136" s="2701"/>
      <c r="AL136" s="2701"/>
      <c r="AM136" s="2701"/>
      <c r="AN136" s="2701"/>
      <c r="AO136" s="2702"/>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703" t="s">
        <v>2137</v>
      </c>
      <c r="D137" s="2704"/>
      <c r="E137" s="2704"/>
      <c r="F137" s="2704"/>
      <c r="G137" s="2704"/>
      <c r="H137" s="2705"/>
      <c r="I137" s="2703" t="s">
        <v>2138</v>
      </c>
      <c r="J137" s="2704"/>
      <c r="K137" s="2704"/>
      <c r="L137" s="2704"/>
      <c r="M137" s="2704"/>
      <c r="N137" s="2705"/>
      <c r="O137" s="1531"/>
      <c r="P137" s="2706"/>
      <c r="Q137" s="2707"/>
      <c r="R137" s="2707"/>
      <c r="S137" s="2707"/>
      <c r="T137" s="2707"/>
      <c r="U137" s="2707"/>
      <c r="V137" s="2707"/>
      <c r="W137" s="2707"/>
      <c r="X137" s="2707"/>
      <c r="Y137" s="2707"/>
      <c r="Z137" s="2707"/>
      <c r="AA137" s="2707"/>
      <c r="AB137" s="2707"/>
      <c r="AC137" s="2707"/>
      <c r="AD137" s="2707"/>
      <c r="AE137" s="2707"/>
      <c r="AF137" s="2707"/>
      <c r="AG137" s="2707"/>
      <c r="AH137" s="2707"/>
      <c r="AI137" s="2707"/>
      <c r="AJ137" s="2707"/>
      <c r="AK137" s="2707"/>
      <c r="AL137" s="2707"/>
      <c r="AM137" s="2707"/>
      <c r="AN137" s="2707"/>
      <c r="AO137" s="2708"/>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85"/>
      <c r="D138" s="2685"/>
      <c r="E138" s="2685"/>
      <c r="F138" s="2685"/>
      <c r="G138" s="2685"/>
      <c r="H138" s="2685"/>
      <c r="I138" s="2686"/>
      <c r="J138" s="2686"/>
      <c r="K138" s="2686"/>
      <c r="L138" s="2686"/>
      <c r="M138" s="2686"/>
      <c r="N138" s="2686"/>
      <c r="O138" s="1531"/>
      <c r="P138" s="2706"/>
      <c r="Q138" s="2707"/>
      <c r="R138" s="2707"/>
      <c r="S138" s="2707"/>
      <c r="T138" s="2707"/>
      <c r="U138" s="2707"/>
      <c r="V138" s="2707"/>
      <c r="W138" s="2707"/>
      <c r="X138" s="2707"/>
      <c r="Y138" s="2707"/>
      <c r="Z138" s="2707"/>
      <c r="AA138" s="2707"/>
      <c r="AB138" s="2707"/>
      <c r="AC138" s="2707"/>
      <c r="AD138" s="2707"/>
      <c r="AE138" s="2707"/>
      <c r="AF138" s="2707"/>
      <c r="AG138" s="2707"/>
      <c r="AH138" s="2707"/>
      <c r="AI138" s="2707"/>
      <c r="AJ138" s="2707"/>
      <c r="AK138" s="2707"/>
      <c r="AL138" s="2707"/>
      <c r="AM138" s="2707"/>
      <c r="AN138" s="2707"/>
      <c r="AO138" s="2708"/>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85"/>
      <c r="D139" s="2685"/>
      <c r="E139" s="2685"/>
      <c r="F139" s="2685"/>
      <c r="G139" s="2685"/>
      <c r="H139" s="2685"/>
      <c r="I139" s="2686"/>
      <c r="J139" s="2686"/>
      <c r="K139" s="2686"/>
      <c r="L139" s="2686"/>
      <c r="M139" s="2686"/>
      <c r="N139" s="2686"/>
      <c r="O139" s="1531"/>
      <c r="P139" s="2706"/>
      <c r="Q139" s="2707"/>
      <c r="R139" s="2707"/>
      <c r="S139" s="2707"/>
      <c r="T139" s="2707"/>
      <c r="U139" s="2707"/>
      <c r="V139" s="2707"/>
      <c r="W139" s="2707"/>
      <c r="X139" s="2707"/>
      <c r="Y139" s="2707"/>
      <c r="Z139" s="2707"/>
      <c r="AA139" s="2707"/>
      <c r="AB139" s="2707"/>
      <c r="AC139" s="2707"/>
      <c r="AD139" s="2707"/>
      <c r="AE139" s="2707"/>
      <c r="AF139" s="2707"/>
      <c r="AG139" s="2707"/>
      <c r="AH139" s="2707"/>
      <c r="AI139" s="2707"/>
      <c r="AJ139" s="2707"/>
      <c r="AK139" s="2707"/>
      <c r="AL139" s="2707"/>
      <c r="AM139" s="2707"/>
      <c r="AN139" s="2707"/>
      <c r="AO139" s="2708"/>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85"/>
      <c r="D140" s="2685"/>
      <c r="E140" s="2685"/>
      <c r="F140" s="2685"/>
      <c r="G140" s="2685"/>
      <c r="H140" s="2685"/>
      <c r="I140" s="2686"/>
      <c r="J140" s="2686"/>
      <c r="K140" s="2686"/>
      <c r="L140" s="2686"/>
      <c r="M140" s="2686"/>
      <c r="N140" s="2686"/>
      <c r="O140" s="1531"/>
      <c r="P140" s="2706"/>
      <c r="Q140" s="2707"/>
      <c r="R140" s="2707"/>
      <c r="S140" s="2707"/>
      <c r="T140" s="2707"/>
      <c r="U140" s="2707"/>
      <c r="V140" s="2707"/>
      <c r="W140" s="2707"/>
      <c r="X140" s="2707"/>
      <c r="Y140" s="2707"/>
      <c r="Z140" s="2707"/>
      <c r="AA140" s="2707"/>
      <c r="AB140" s="2707"/>
      <c r="AC140" s="2707"/>
      <c r="AD140" s="2707"/>
      <c r="AE140" s="2707"/>
      <c r="AF140" s="2707"/>
      <c r="AG140" s="2707"/>
      <c r="AH140" s="2707"/>
      <c r="AI140" s="2707"/>
      <c r="AJ140" s="2707"/>
      <c r="AK140" s="2707"/>
      <c r="AL140" s="2707"/>
      <c r="AM140" s="2707"/>
      <c r="AN140" s="2707"/>
      <c r="AO140" s="2708"/>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85"/>
      <c r="D141" s="2685"/>
      <c r="E141" s="2685"/>
      <c r="F141" s="2685"/>
      <c r="G141" s="2685"/>
      <c r="H141" s="2685"/>
      <c r="I141" s="2686"/>
      <c r="J141" s="2686"/>
      <c r="K141" s="2686"/>
      <c r="L141" s="2686"/>
      <c r="M141" s="2686"/>
      <c r="N141" s="2686"/>
      <c r="O141" s="1531"/>
      <c r="P141" s="2706"/>
      <c r="Q141" s="2707"/>
      <c r="R141" s="2707"/>
      <c r="S141" s="2707"/>
      <c r="T141" s="2707"/>
      <c r="U141" s="2707"/>
      <c r="V141" s="2707"/>
      <c r="W141" s="2707"/>
      <c r="X141" s="2707"/>
      <c r="Y141" s="2707"/>
      <c r="Z141" s="2707"/>
      <c r="AA141" s="2707"/>
      <c r="AB141" s="2707"/>
      <c r="AC141" s="2707"/>
      <c r="AD141" s="2707"/>
      <c r="AE141" s="2707"/>
      <c r="AF141" s="2707"/>
      <c r="AG141" s="2707"/>
      <c r="AH141" s="2707"/>
      <c r="AI141" s="2707"/>
      <c r="AJ141" s="2707"/>
      <c r="AK141" s="2707"/>
      <c r="AL141" s="2707"/>
      <c r="AM141" s="2707"/>
      <c r="AN141" s="2707"/>
      <c r="AO141" s="2708"/>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85"/>
      <c r="D142" s="2685"/>
      <c r="E142" s="2685"/>
      <c r="F142" s="2685"/>
      <c r="G142" s="2685"/>
      <c r="H142" s="2685"/>
      <c r="I142" s="2686"/>
      <c r="J142" s="2686"/>
      <c r="K142" s="2686"/>
      <c r="L142" s="2686"/>
      <c r="M142" s="2686"/>
      <c r="N142" s="2686"/>
      <c r="O142" s="1531"/>
      <c r="P142" s="2706"/>
      <c r="Q142" s="2707"/>
      <c r="R142" s="2707"/>
      <c r="S142" s="2707"/>
      <c r="T142" s="2707"/>
      <c r="U142" s="2707"/>
      <c r="V142" s="2707"/>
      <c r="W142" s="2707"/>
      <c r="X142" s="2707"/>
      <c r="Y142" s="2707"/>
      <c r="Z142" s="2707"/>
      <c r="AA142" s="2707"/>
      <c r="AB142" s="2707"/>
      <c r="AC142" s="2707"/>
      <c r="AD142" s="2707"/>
      <c r="AE142" s="2707"/>
      <c r="AF142" s="2707"/>
      <c r="AG142" s="2707"/>
      <c r="AH142" s="2707"/>
      <c r="AI142" s="2707"/>
      <c r="AJ142" s="2707"/>
      <c r="AK142" s="2707"/>
      <c r="AL142" s="2707"/>
      <c r="AM142" s="2707"/>
      <c r="AN142" s="2707"/>
      <c r="AO142" s="2708"/>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85"/>
      <c r="D143" s="2685"/>
      <c r="E143" s="2685"/>
      <c r="F143" s="2685"/>
      <c r="G143" s="2685"/>
      <c r="H143" s="2685"/>
      <c r="I143" s="2686"/>
      <c r="J143" s="2686"/>
      <c r="K143" s="2686"/>
      <c r="L143" s="2686"/>
      <c r="M143" s="2686"/>
      <c r="N143" s="2686"/>
      <c r="O143" s="1531"/>
      <c r="P143" s="2706"/>
      <c r="Q143" s="2707"/>
      <c r="R143" s="2707"/>
      <c r="S143" s="2707"/>
      <c r="T143" s="2707"/>
      <c r="U143" s="2707"/>
      <c r="V143" s="2707"/>
      <c r="W143" s="2707"/>
      <c r="X143" s="2707"/>
      <c r="Y143" s="2707"/>
      <c r="Z143" s="2707"/>
      <c r="AA143" s="2707"/>
      <c r="AB143" s="2707"/>
      <c r="AC143" s="2707"/>
      <c r="AD143" s="2707"/>
      <c r="AE143" s="2707"/>
      <c r="AF143" s="2707"/>
      <c r="AG143" s="2707"/>
      <c r="AH143" s="2707"/>
      <c r="AI143" s="2707"/>
      <c r="AJ143" s="2707"/>
      <c r="AK143" s="2707"/>
      <c r="AL143" s="2707"/>
      <c r="AM143" s="2707"/>
      <c r="AN143" s="2707"/>
      <c r="AO143" s="2708"/>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85"/>
      <c r="D144" s="2685"/>
      <c r="E144" s="2685"/>
      <c r="F144" s="2685"/>
      <c r="G144" s="2685"/>
      <c r="H144" s="2685"/>
      <c r="I144" s="2686"/>
      <c r="J144" s="2686"/>
      <c r="K144" s="2686"/>
      <c r="L144" s="2686"/>
      <c r="M144" s="2686"/>
      <c r="N144" s="2686"/>
      <c r="O144" s="1531"/>
      <c r="P144" s="2709"/>
      <c r="Q144" s="2710"/>
      <c r="R144" s="2710"/>
      <c r="S144" s="2710"/>
      <c r="T144" s="2710"/>
      <c r="U144" s="2710"/>
      <c r="V144" s="2710"/>
      <c r="W144" s="2710"/>
      <c r="X144" s="2710"/>
      <c r="Y144" s="2710"/>
      <c r="Z144" s="2710"/>
      <c r="AA144" s="2710"/>
      <c r="AB144" s="2710"/>
      <c r="AC144" s="2710"/>
      <c r="AD144" s="2710"/>
      <c r="AE144" s="2710"/>
      <c r="AF144" s="2710"/>
      <c r="AG144" s="2710"/>
      <c r="AH144" s="2710"/>
      <c r="AI144" s="2710"/>
      <c r="AJ144" s="2710"/>
      <c r="AK144" s="2710"/>
      <c r="AL144" s="2710"/>
      <c r="AM144" s="2710"/>
      <c r="AN144" s="2710"/>
      <c r="AO144" s="2711"/>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87"/>
      <c r="D149" s="2688"/>
      <c r="E149" s="2688"/>
      <c r="F149" s="2688"/>
      <c r="G149" s="2688"/>
      <c r="H149" s="2688"/>
      <c r="I149" s="2688"/>
      <c r="J149" s="2688"/>
      <c r="K149" s="2688"/>
      <c r="L149" s="2688"/>
      <c r="M149" s="2689"/>
      <c r="N149" s="2690" t="s">
        <v>2141</v>
      </c>
      <c r="O149" s="2690"/>
      <c r="P149" s="2690"/>
      <c r="Q149" s="2690"/>
      <c r="R149" s="2690"/>
      <c r="S149" s="2690"/>
      <c r="T149" s="2691"/>
      <c r="U149" s="2692" t="s">
        <v>2127</v>
      </c>
      <c r="V149" s="2693"/>
      <c r="W149" s="2693"/>
      <c r="X149" s="2693"/>
      <c r="Y149" s="2693"/>
      <c r="Z149" s="2693"/>
      <c r="AA149" s="2693"/>
      <c r="AB149" s="2693"/>
      <c r="AC149" s="2693"/>
      <c r="AD149" s="2693"/>
      <c r="AE149" s="2694"/>
      <c r="AF149" s="1531"/>
      <c r="AG149" s="1531"/>
      <c r="AH149" s="2695" t="s">
        <v>2142</v>
      </c>
      <c r="AI149" s="2696"/>
      <c r="AJ149" s="2696"/>
      <c r="AK149" s="2696"/>
      <c r="AL149" s="2696"/>
      <c r="AM149" s="2696"/>
      <c r="AN149" s="2696"/>
      <c r="AO149" s="2696"/>
      <c r="AP149" s="2696"/>
      <c r="AQ149" s="2696"/>
      <c r="AR149" s="2696"/>
      <c r="AS149" s="2668"/>
      <c r="AT149" s="2669"/>
      <c r="AU149" s="2669"/>
      <c r="AV149" s="2669"/>
      <c r="AW149" s="2669"/>
      <c r="AX149" s="1531"/>
      <c r="AY149" s="1531"/>
      <c r="AZ149" s="1531"/>
      <c r="BA149" s="1531"/>
      <c r="BB149" s="1531"/>
      <c r="BC149" s="1531"/>
      <c r="BD149" s="1531"/>
      <c r="BE149" s="1537"/>
    </row>
    <row r="150" spans="1:57" ht="15.75" customHeight="1">
      <c r="A150" s="1836"/>
      <c r="B150" s="1531"/>
      <c r="C150" s="2662" t="s">
        <v>2143</v>
      </c>
      <c r="D150" s="2663"/>
      <c r="E150" s="2663"/>
      <c r="F150" s="2663"/>
      <c r="G150" s="2663"/>
      <c r="H150" s="2663"/>
      <c r="I150" s="2663"/>
      <c r="J150" s="2663"/>
      <c r="K150" s="2663"/>
      <c r="L150" s="2663"/>
      <c r="M150" s="2664"/>
      <c r="N150" s="2665">
        <f>'Sources and Uses Budget'!B104</f>
        <v>8046914</v>
      </c>
      <c r="O150" s="2665"/>
      <c r="P150" s="2665"/>
      <c r="Q150" s="2665"/>
      <c r="R150" s="2665"/>
      <c r="S150" s="2665"/>
      <c r="T150" s="2666"/>
      <c r="U150" s="2675"/>
      <c r="V150" s="2676"/>
      <c r="W150" s="2676"/>
      <c r="X150" s="2676"/>
      <c r="Y150" s="2676"/>
      <c r="Z150" s="2676"/>
      <c r="AA150" s="2676"/>
      <c r="AB150" s="2676"/>
      <c r="AC150" s="2676"/>
      <c r="AD150" s="2676"/>
      <c r="AE150" s="2682"/>
      <c r="AF150" s="1531"/>
      <c r="AG150" s="1531"/>
      <c r="AH150" s="2683" t="s">
        <v>2144</v>
      </c>
      <c r="AI150" s="2684"/>
      <c r="AJ150" s="2684"/>
      <c r="AK150" s="2684"/>
      <c r="AL150" s="2684"/>
      <c r="AM150" s="2684"/>
      <c r="AN150" s="2684"/>
      <c r="AO150" s="2684"/>
      <c r="AP150" s="2684"/>
      <c r="AQ150" s="2684"/>
      <c r="AR150" s="2684"/>
      <c r="AS150" s="2668"/>
      <c r="AT150" s="2669"/>
      <c r="AU150" s="2669"/>
      <c r="AV150" s="2669"/>
      <c r="AW150" s="2669"/>
      <c r="AX150" s="1531"/>
      <c r="AY150" s="1531"/>
      <c r="AZ150" s="1531"/>
      <c r="BA150" s="1531"/>
      <c r="BB150" s="1531"/>
      <c r="BC150" s="1531"/>
      <c r="BD150" s="1531"/>
      <c r="BE150" s="1537"/>
    </row>
    <row r="151" spans="1:57" ht="15.75" customHeight="1">
      <c r="A151" s="1836"/>
      <c r="B151" s="1531"/>
      <c r="C151" s="2662" t="s">
        <v>2145</v>
      </c>
      <c r="D151" s="2663"/>
      <c r="E151" s="2663"/>
      <c r="F151" s="2663"/>
      <c r="G151" s="2663"/>
      <c r="H151" s="2663"/>
      <c r="I151" s="2663"/>
      <c r="J151" s="2663"/>
      <c r="K151" s="2663"/>
      <c r="L151" s="2663"/>
      <c r="M151" s="2664"/>
      <c r="N151" s="2665">
        <f>N150/J29</f>
        <v>50293.212500000001</v>
      </c>
      <c r="O151" s="2665"/>
      <c r="P151" s="2665"/>
      <c r="Q151" s="2665"/>
      <c r="R151" s="2665"/>
      <c r="S151" s="2665"/>
      <c r="T151" s="2666"/>
      <c r="U151" s="1555"/>
      <c r="V151" s="1555"/>
      <c r="W151" s="1555"/>
      <c r="X151" s="1555"/>
      <c r="Y151" s="1555"/>
      <c r="Z151" s="1555"/>
      <c r="AA151" s="1555"/>
      <c r="AB151" s="1555"/>
      <c r="AC151" s="1555"/>
      <c r="AD151" s="1555"/>
      <c r="AE151" s="1556"/>
      <c r="AF151" s="1531"/>
      <c r="AG151" s="1531"/>
      <c r="AH151" s="2653" t="s">
        <v>2146</v>
      </c>
      <c r="AI151" s="2654"/>
      <c r="AJ151" s="2654"/>
      <c r="AK151" s="2654"/>
      <c r="AL151" s="2654"/>
      <c r="AM151" s="2654"/>
      <c r="AN151" s="2654"/>
      <c r="AO151" s="2654"/>
      <c r="AP151" s="2654"/>
      <c r="AQ151" s="2654"/>
      <c r="AR151" s="2667"/>
      <c r="AS151" s="2668"/>
      <c r="AT151" s="2669"/>
      <c r="AU151" s="2669"/>
      <c r="AV151" s="2669"/>
      <c r="AW151" s="2669"/>
      <c r="AX151" s="1531"/>
      <c r="AY151" s="1531"/>
      <c r="AZ151" s="1531"/>
      <c r="BA151" s="1531"/>
      <c r="BB151" s="1531"/>
      <c r="BC151" s="1531"/>
      <c r="BD151" s="1531"/>
      <c r="BE151" s="1537"/>
    </row>
    <row r="152" spans="1:57" ht="15.75" customHeight="1">
      <c r="A152" s="1836"/>
      <c r="B152" s="1531"/>
      <c r="C152" s="2670" t="s">
        <v>2147</v>
      </c>
      <c r="D152" s="2671"/>
      <c r="E152" s="2671"/>
      <c r="F152" s="2671"/>
      <c r="G152" s="2671"/>
      <c r="H152" s="2671"/>
      <c r="I152" s="2671"/>
      <c r="J152" s="2671"/>
      <c r="K152" s="2671"/>
      <c r="L152" s="2671"/>
      <c r="M152" s="2672"/>
      <c r="N152" s="2673"/>
      <c r="O152" s="2673"/>
      <c r="P152" s="2673"/>
      <c r="Q152" s="2673"/>
      <c r="R152" s="2673"/>
      <c r="S152" s="2673"/>
      <c r="T152" s="2674"/>
      <c r="U152" s="2651"/>
      <c r="V152" s="2652"/>
      <c r="W152" s="2652"/>
      <c r="X152" s="2652"/>
      <c r="Y152" s="2652"/>
      <c r="Z152" s="2652"/>
      <c r="AA152" s="2652"/>
      <c r="AB152" s="2652"/>
      <c r="AC152" s="2652"/>
      <c r="AD152" s="2652"/>
      <c r="AE152" s="2681"/>
      <c r="AF152" s="1531"/>
      <c r="AG152" s="1531"/>
      <c r="AH152" s="2675"/>
      <c r="AI152" s="2676"/>
      <c r="AJ152" s="2676"/>
      <c r="AK152" s="2676"/>
      <c r="AL152" s="2676"/>
      <c r="AM152" s="2676"/>
      <c r="AN152" s="2676"/>
      <c r="AO152" s="2676"/>
      <c r="AP152" s="2676"/>
      <c r="AQ152" s="2676"/>
      <c r="AR152" s="2677"/>
      <c r="AS152" s="2678"/>
      <c r="AT152" s="2679"/>
      <c r="AU152" s="2679"/>
      <c r="AV152" s="2679"/>
      <c r="AW152" s="2680"/>
      <c r="AX152" s="1531"/>
      <c r="AY152" s="1531"/>
      <c r="AZ152" s="1531"/>
      <c r="BA152" s="1531"/>
      <c r="BB152" s="1531"/>
      <c r="BC152" s="1531"/>
      <c r="BD152" s="1531"/>
      <c r="BE152" s="1537"/>
    </row>
    <row r="153" spans="1:57" ht="15.75" customHeight="1" thickBot="1">
      <c r="A153" s="1836"/>
      <c r="B153" s="1531"/>
      <c r="C153" s="2653" t="s">
        <v>2148</v>
      </c>
      <c r="D153" s="2654"/>
      <c r="E153" s="2654"/>
      <c r="F153" s="2654"/>
      <c r="G153" s="2654"/>
      <c r="H153" s="2654"/>
      <c r="I153" s="2654"/>
      <c r="J153" s="2654"/>
      <c r="K153" s="2654"/>
      <c r="L153" s="2654"/>
      <c r="M153" s="2655"/>
      <c r="N153" s="2656">
        <f>SUM('Sources and Uses Budget'!B85:B86)</f>
        <v>2906720</v>
      </c>
      <c r="O153" s="2656"/>
      <c r="P153" s="2656"/>
      <c r="Q153" s="2656"/>
      <c r="R153" s="2656"/>
      <c r="S153" s="2656"/>
      <c r="T153" s="2657"/>
      <c r="U153" s="2648"/>
      <c r="V153" s="2649"/>
      <c r="W153" s="2649"/>
      <c r="X153" s="2649"/>
      <c r="Y153" s="2649"/>
      <c r="Z153" s="2649"/>
      <c r="AA153" s="2649"/>
      <c r="AB153" s="2649"/>
      <c r="AC153" s="2649"/>
      <c r="AD153" s="2649"/>
      <c r="AE153" s="2650"/>
      <c r="AF153" s="1531"/>
      <c r="AG153" s="1531"/>
      <c r="AH153" s="2658" t="s">
        <v>2149</v>
      </c>
      <c r="AI153" s="2659"/>
      <c r="AJ153" s="2659"/>
      <c r="AK153" s="2659"/>
      <c r="AL153" s="2659"/>
      <c r="AM153" s="2659"/>
      <c r="AN153" s="2659"/>
      <c r="AO153" s="2659"/>
      <c r="AP153" s="2659"/>
      <c r="AQ153" s="2659"/>
      <c r="AR153" s="2659"/>
      <c r="AS153" s="2660">
        <f>SUM(AS149:AW151)</f>
        <v>0</v>
      </c>
      <c r="AT153" s="2661"/>
      <c r="AU153" s="2661"/>
      <c r="AV153" s="2661"/>
      <c r="AW153" s="2661"/>
      <c r="AX153" s="1531"/>
      <c r="AY153" s="1531"/>
      <c r="AZ153" s="1531"/>
      <c r="BA153" s="1531"/>
      <c r="BB153" s="1531"/>
      <c r="BC153" s="1531"/>
      <c r="BD153" s="1531"/>
      <c r="BE153" s="1537"/>
    </row>
    <row r="154" spans="1:57" ht="15.75" customHeight="1">
      <c r="A154" s="1836"/>
      <c r="B154" s="1531"/>
      <c r="C154" s="2653" t="s">
        <v>2150</v>
      </c>
      <c r="D154" s="2654"/>
      <c r="E154" s="2654"/>
      <c r="F154" s="2654"/>
      <c r="G154" s="2654"/>
      <c r="H154" s="2654"/>
      <c r="I154" s="2654"/>
      <c r="J154" s="2654"/>
      <c r="K154" s="2654"/>
      <c r="L154" s="2654"/>
      <c r="M154" s="2655"/>
      <c r="N154" s="2656">
        <f>'Sources and Uses Budget'!B8</f>
        <v>3060000</v>
      </c>
      <c r="O154" s="2656"/>
      <c r="P154" s="2656"/>
      <c r="Q154" s="2656"/>
      <c r="R154" s="2656"/>
      <c r="S154" s="2656"/>
      <c r="T154" s="2657"/>
      <c r="U154" s="2648"/>
      <c r="V154" s="2649"/>
      <c r="W154" s="2649"/>
      <c r="X154" s="2649"/>
      <c r="Y154" s="2649"/>
      <c r="Z154" s="2649"/>
      <c r="AA154" s="2649"/>
      <c r="AB154" s="2649"/>
      <c r="AC154" s="2649"/>
      <c r="AD154" s="2649"/>
      <c r="AE154" s="2650"/>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53" t="s">
        <v>2151</v>
      </c>
      <c r="D155" s="2654"/>
      <c r="E155" s="2654"/>
      <c r="F155" s="2654"/>
      <c r="G155" s="2654"/>
      <c r="H155" s="2654"/>
      <c r="I155" s="2654"/>
      <c r="J155" s="2654"/>
      <c r="K155" s="2654"/>
      <c r="L155" s="2654"/>
      <c r="M155" s="2655"/>
      <c r="N155" s="2646"/>
      <c r="O155" s="2646"/>
      <c r="P155" s="2646"/>
      <c r="Q155" s="2646"/>
      <c r="R155" s="2646"/>
      <c r="S155" s="2646"/>
      <c r="T155" s="2647"/>
      <c r="U155" s="2648"/>
      <c r="V155" s="2649"/>
      <c r="W155" s="2649"/>
      <c r="X155" s="2649"/>
      <c r="Y155" s="2649"/>
      <c r="Z155" s="2649"/>
      <c r="AA155" s="2649"/>
      <c r="AB155" s="2649"/>
      <c r="AC155" s="2649"/>
      <c r="AD155" s="2649"/>
      <c r="AE155" s="2650"/>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53" t="s">
        <v>2144</v>
      </c>
      <c r="D156" s="2654"/>
      <c r="E156" s="2654"/>
      <c r="F156" s="2654"/>
      <c r="G156" s="2654"/>
      <c r="H156" s="2654"/>
      <c r="I156" s="2654"/>
      <c r="J156" s="2654"/>
      <c r="K156" s="2654"/>
      <c r="L156" s="2654"/>
      <c r="M156" s="2655"/>
      <c r="N156" s="2646"/>
      <c r="O156" s="2646"/>
      <c r="P156" s="2646"/>
      <c r="Q156" s="2646"/>
      <c r="R156" s="2646"/>
      <c r="S156" s="2646"/>
      <c r="T156" s="2647"/>
      <c r="U156" s="2648"/>
      <c r="V156" s="2649"/>
      <c r="W156" s="2649"/>
      <c r="X156" s="2649"/>
      <c r="Y156" s="2649"/>
      <c r="Z156" s="2649"/>
      <c r="AA156" s="2649"/>
      <c r="AB156" s="2649"/>
      <c r="AC156" s="2649"/>
      <c r="AD156" s="2649"/>
      <c r="AE156" s="2650"/>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42" t="s">
        <v>310</v>
      </c>
      <c r="D157" s="2643"/>
      <c r="E157" s="2644" t="s">
        <v>2134</v>
      </c>
      <c r="F157" s="2644"/>
      <c r="G157" s="2644"/>
      <c r="H157" s="2644"/>
      <c r="I157" s="2644"/>
      <c r="J157" s="2644"/>
      <c r="K157" s="2644"/>
      <c r="L157" s="2644"/>
      <c r="M157" s="2645"/>
      <c r="N157" s="2646"/>
      <c r="O157" s="2646"/>
      <c r="P157" s="2646"/>
      <c r="Q157" s="2646"/>
      <c r="R157" s="2646"/>
      <c r="S157" s="2646"/>
      <c r="T157" s="2647"/>
      <c r="U157" s="2648"/>
      <c r="V157" s="2649"/>
      <c r="W157" s="2649"/>
      <c r="X157" s="2649"/>
      <c r="Y157" s="2649"/>
      <c r="Z157" s="2649"/>
      <c r="AA157" s="2649"/>
      <c r="AB157" s="2649"/>
      <c r="AC157" s="2649"/>
      <c r="AD157" s="2649"/>
      <c r="AE157" s="2650"/>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51" t="s">
        <v>310</v>
      </c>
      <c r="D158" s="2652"/>
      <c r="E158" s="2644" t="s">
        <v>2134</v>
      </c>
      <c r="F158" s="2644"/>
      <c r="G158" s="2644"/>
      <c r="H158" s="2644"/>
      <c r="I158" s="2644"/>
      <c r="J158" s="2644"/>
      <c r="K158" s="2644"/>
      <c r="L158" s="2644"/>
      <c r="M158" s="2645"/>
      <c r="N158" s="2646"/>
      <c r="O158" s="2646"/>
      <c r="P158" s="2646"/>
      <c r="Q158" s="2646"/>
      <c r="R158" s="2646"/>
      <c r="S158" s="2646"/>
      <c r="T158" s="2647"/>
      <c r="U158" s="2648"/>
      <c r="V158" s="2649"/>
      <c r="W158" s="2649"/>
      <c r="X158" s="2649"/>
      <c r="Y158" s="2649"/>
      <c r="Z158" s="2649"/>
      <c r="AA158" s="2649"/>
      <c r="AB158" s="2649"/>
      <c r="AC158" s="2649"/>
      <c r="AD158" s="2649"/>
      <c r="AE158" s="2650"/>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27" t="s">
        <v>310</v>
      </c>
      <c r="D159" s="2628"/>
      <c r="E159" s="2629" t="s">
        <v>2134</v>
      </c>
      <c r="F159" s="2629"/>
      <c r="G159" s="2629"/>
      <c r="H159" s="2629"/>
      <c r="I159" s="2629"/>
      <c r="J159" s="2629"/>
      <c r="K159" s="2629"/>
      <c r="L159" s="2629"/>
      <c r="M159" s="2630"/>
      <c r="N159" s="2631"/>
      <c r="O159" s="2631"/>
      <c r="P159" s="2631"/>
      <c r="Q159" s="2631"/>
      <c r="R159" s="2631"/>
      <c r="S159" s="2631"/>
      <c r="T159" s="2632"/>
      <c r="U159" s="2633"/>
      <c r="V159" s="2634"/>
      <c r="W159" s="2634"/>
      <c r="X159" s="2634"/>
      <c r="Y159" s="2634"/>
      <c r="Z159" s="2634"/>
      <c r="AA159" s="2634"/>
      <c r="AB159" s="2634"/>
      <c r="AC159" s="2634"/>
      <c r="AD159" s="2634"/>
      <c r="AE159" s="2635"/>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36" t="s">
        <v>2152</v>
      </c>
      <c r="D160" s="2637"/>
      <c r="E160" s="2637"/>
      <c r="F160" s="2637"/>
      <c r="G160" s="2637"/>
      <c r="H160" s="2637"/>
      <c r="I160" s="2637"/>
      <c r="J160" s="2637"/>
      <c r="K160" s="2637"/>
      <c r="L160" s="2637"/>
      <c r="M160" s="2638"/>
      <c r="N160" s="2639">
        <f>SUM(N152:T159)</f>
        <v>5966720</v>
      </c>
      <c r="O160" s="2640"/>
      <c r="P160" s="2640"/>
      <c r="Q160" s="2640"/>
      <c r="R160" s="2640"/>
      <c r="S160" s="2640"/>
      <c r="T160" s="2641"/>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14" t="s">
        <v>2153</v>
      </c>
      <c r="D161" s="2615"/>
      <c r="E161" s="2615"/>
      <c r="F161" s="2615"/>
      <c r="G161" s="2615"/>
      <c r="H161" s="2615"/>
      <c r="I161" s="2615"/>
      <c r="J161" s="2615"/>
      <c r="K161" s="2615"/>
      <c r="L161" s="2615"/>
      <c r="M161" s="2615"/>
      <c r="N161" s="2616">
        <f>(N150-N160)/J29</f>
        <v>13001.2125</v>
      </c>
      <c r="O161" s="2616"/>
      <c r="P161" s="2616"/>
      <c r="Q161" s="2616"/>
      <c r="R161" s="2616"/>
      <c r="S161" s="2616"/>
      <c r="T161" s="261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18" t="s">
        <v>2154</v>
      </c>
      <c r="C164" s="2619"/>
      <c r="D164" s="2619"/>
      <c r="E164" s="2619"/>
      <c r="F164" s="2619"/>
      <c r="G164" s="2619"/>
      <c r="H164" s="2619"/>
      <c r="I164" s="2619"/>
      <c r="J164" s="2619"/>
      <c r="K164" s="2619"/>
      <c r="L164" s="2619"/>
      <c r="M164" s="2619"/>
      <c r="N164" s="2619"/>
      <c r="O164" s="2619"/>
      <c r="P164" s="2619"/>
      <c r="Q164" s="2619"/>
      <c r="R164" s="2619"/>
      <c r="S164" s="2619"/>
      <c r="T164" s="2619"/>
      <c r="U164" s="2619"/>
      <c r="V164" s="2619"/>
      <c r="W164" s="2619"/>
      <c r="X164" s="2619"/>
      <c r="Y164" s="2619"/>
      <c r="Z164" s="2619"/>
      <c r="AA164" s="2619"/>
      <c r="AB164" s="2619"/>
      <c r="AC164" s="2619"/>
      <c r="AD164" s="2619"/>
      <c r="AE164" s="2619"/>
      <c r="AF164" s="2619"/>
      <c r="AG164" s="2619"/>
      <c r="AH164" s="2619"/>
      <c r="AI164" s="2619"/>
      <c r="AJ164" s="2619"/>
      <c r="AK164" s="2619"/>
      <c r="AL164" s="2619"/>
      <c r="AM164" s="2619"/>
      <c r="AN164" s="2619"/>
      <c r="AO164" s="2619"/>
      <c r="AP164" s="2619"/>
      <c r="AQ164" s="2619"/>
      <c r="AR164" s="2619"/>
      <c r="AS164" s="2619"/>
      <c r="AT164" s="2619"/>
      <c r="AU164" s="2619"/>
      <c r="AV164" s="2619"/>
      <c r="AW164" s="2619"/>
      <c r="AX164" s="2619"/>
      <c r="AY164" s="2619"/>
      <c r="AZ164" s="2619"/>
      <c r="BA164" s="2619"/>
      <c r="BB164" s="2619"/>
      <c r="BC164" s="2619"/>
      <c r="BD164" s="2620"/>
      <c r="BE164" s="1537"/>
    </row>
    <row r="165" spans="1:57" ht="15.75" customHeight="1">
      <c r="A165" s="1836"/>
      <c r="B165" s="2621"/>
      <c r="C165" s="2622"/>
      <c r="D165" s="2622"/>
      <c r="E165" s="2622"/>
      <c r="F165" s="2622"/>
      <c r="G165" s="2622"/>
      <c r="H165" s="2622"/>
      <c r="I165" s="2622"/>
      <c r="J165" s="2622"/>
      <c r="K165" s="2622"/>
      <c r="L165" s="2622"/>
      <c r="M165" s="2622"/>
      <c r="N165" s="2622"/>
      <c r="O165" s="2622"/>
      <c r="P165" s="2622"/>
      <c r="Q165" s="2622"/>
      <c r="R165" s="2622"/>
      <c r="S165" s="2622"/>
      <c r="T165" s="2622"/>
      <c r="U165" s="2622"/>
      <c r="V165" s="2622"/>
      <c r="W165" s="2622"/>
      <c r="X165" s="2622"/>
      <c r="Y165" s="2622"/>
      <c r="Z165" s="2622"/>
      <c r="AA165" s="2622"/>
      <c r="AB165" s="2622"/>
      <c r="AC165" s="2622"/>
      <c r="AD165" s="2622"/>
      <c r="AE165" s="2622"/>
      <c r="AF165" s="2622"/>
      <c r="AG165" s="2622"/>
      <c r="AH165" s="2622"/>
      <c r="AI165" s="2622"/>
      <c r="AJ165" s="2622"/>
      <c r="AK165" s="2622"/>
      <c r="AL165" s="2622"/>
      <c r="AM165" s="2622"/>
      <c r="AN165" s="2622"/>
      <c r="AO165" s="2622"/>
      <c r="AP165" s="2622"/>
      <c r="AQ165" s="2622"/>
      <c r="AR165" s="2622"/>
      <c r="AS165" s="2622"/>
      <c r="AT165" s="2622"/>
      <c r="AU165" s="2622"/>
      <c r="AV165" s="2622"/>
      <c r="AW165" s="2622"/>
      <c r="AX165" s="2622"/>
      <c r="AY165" s="2622"/>
      <c r="AZ165" s="2622"/>
      <c r="BA165" s="2622"/>
      <c r="BB165" s="2622"/>
      <c r="BC165" s="2622"/>
      <c r="BD165" s="2623"/>
      <c r="BE165" s="1537"/>
    </row>
    <row r="166" spans="1:57" ht="15.75" customHeight="1">
      <c r="A166" s="1836"/>
      <c r="B166" s="2624" t="s">
        <v>2155</v>
      </c>
      <c r="C166" s="2625"/>
      <c r="D166" s="2625"/>
      <c r="E166" s="2625"/>
      <c r="F166" s="2625"/>
      <c r="G166" s="2625"/>
      <c r="H166" s="2625"/>
      <c r="I166" s="2625"/>
      <c r="J166" s="2625"/>
      <c r="K166" s="2625"/>
      <c r="L166" s="2625"/>
      <c r="M166" s="2625"/>
      <c r="N166" s="2625"/>
      <c r="O166" s="2625"/>
      <c r="P166" s="2625"/>
      <c r="Q166" s="2625"/>
      <c r="R166" s="2625"/>
      <c r="S166" s="2625"/>
      <c r="T166" s="2625"/>
      <c r="U166" s="2625"/>
      <c r="V166" s="2625"/>
      <c r="W166" s="2625"/>
      <c r="X166" s="2625"/>
      <c r="Y166" s="2625"/>
      <c r="Z166" s="2625"/>
      <c r="AA166" s="2625"/>
      <c r="AB166" s="2625"/>
      <c r="AC166" s="2625"/>
      <c r="AD166" s="2625"/>
      <c r="AE166" s="2625"/>
      <c r="AF166" s="2625"/>
      <c r="AG166" s="2625"/>
      <c r="AH166" s="2625"/>
      <c r="AI166" s="2625"/>
      <c r="AJ166" s="2625"/>
      <c r="AK166" s="2625"/>
      <c r="AL166" s="2625"/>
      <c r="AM166" s="2625"/>
      <c r="AN166" s="2625"/>
      <c r="AO166" s="2625"/>
      <c r="AP166" s="2625"/>
      <c r="AQ166" s="2625"/>
      <c r="AR166" s="2625"/>
      <c r="AS166" s="2625"/>
      <c r="AT166" s="2625"/>
      <c r="AU166" s="2625"/>
      <c r="AV166" s="2625"/>
      <c r="AW166" s="2625"/>
      <c r="AX166" s="2625"/>
      <c r="AY166" s="2625"/>
      <c r="AZ166" s="2625"/>
      <c r="BA166" s="2625"/>
      <c r="BB166" s="2625"/>
      <c r="BC166" s="2625"/>
      <c r="BD166" s="2626"/>
      <c r="BE166" s="1537"/>
    </row>
    <row r="167" spans="1:57" ht="15.75" customHeight="1">
      <c r="A167" s="1836"/>
      <c r="B167" s="2624" t="s">
        <v>2156</v>
      </c>
      <c r="C167" s="2625"/>
      <c r="D167" s="2625"/>
      <c r="E167" s="2625"/>
      <c r="F167" s="2625"/>
      <c r="G167" s="2625"/>
      <c r="H167" s="2625"/>
      <c r="I167" s="2625"/>
      <c r="J167" s="2625"/>
      <c r="K167" s="2625"/>
      <c r="L167" s="2625"/>
      <c r="M167" s="2625"/>
      <c r="N167" s="2625"/>
      <c r="O167" s="2625"/>
      <c r="P167" s="2625"/>
      <c r="Q167" s="2625"/>
      <c r="R167" s="2625"/>
      <c r="S167" s="2625"/>
      <c r="T167" s="2625"/>
      <c r="U167" s="2625"/>
      <c r="V167" s="2625"/>
      <c r="W167" s="2625"/>
      <c r="X167" s="2625"/>
      <c r="Y167" s="2625"/>
      <c r="Z167" s="2625"/>
      <c r="AA167" s="2625"/>
      <c r="AB167" s="2625"/>
      <c r="AC167" s="2625"/>
      <c r="AD167" s="2625"/>
      <c r="AE167" s="2625"/>
      <c r="AF167" s="2625"/>
      <c r="AG167" s="2625"/>
      <c r="AH167" s="2625"/>
      <c r="AI167" s="2625"/>
      <c r="AJ167" s="2625"/>
      <c r="AK167" s="2625"/>
      <c r="AL167" s="2625"/>
      <c r="AM167" s="2625"/>
      <c r="AN167" s="2625"/>
      <c r="AO167" s="2625"/>
      <c r="AP167" s="2625"/>
      <c r="AQ167" s="2625"/>
      <c r="AR167" s="2625"/>
      <c r="AS167" s="2625"/>
      <c r="AT167" s="2625"/>
      <c r="AU167" s="2625"/>
      <c r="AV167" s="2625"/>
      <c r="AW167" s="2625"/>
      <c r="AX167" s="2625"/>
      <c r="AY167" s="2625"/>
      <c r="AZ167" s="2625"/>
      <c r="BA167" s="2625"/>
      <c r="BB167" s="2625"/>
      <c r="BC167" s="2625"/>
      <c r="BD167" s="262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608" t="s">
        <v>2157</v>
      </c>
      <c r="C169" s="2609"/>
      <c r="D169" s="2609"/>
      <c r="E169" s="2609"/>
      <c r="F169" s="2609"/>
      <c r="G169" s="2609"/>
      <c r="H169" s="2609"/>
      <c r="I169" s="2609"/>
      <c r="J169" s="2609"/>
      <c r="K169" s="2609"/>
      <c r="L169" s="2609"/>
      <c r="M169" s="2609"/>
      <c r="N169" s="2609"/>
      <c r="O169" s="2609"/>
      <c r="P169" s="2609"/>
      <c r="Q169" s="2609"/>
      <c r="R169" s="2609"/>
      <c r="S169" s="2609"/>
      <c r="T169" s="2609"/>
      <c r="U169" s="2609"/>
      <c r="V169" s="2609"/>
      <c r="W169" s="2609"/>
      <c r="X169" s="2609"/>
      <c r="Y169" s="2609"/>
      <c r="Z169" s="2609"/>
      <c r="AA169" s="2609"/>
      <c r="AB169" s="2609"/>
      <c r="AC169" s="2609"/>
      <c r="AD169" s="2609"/>
      <c r="AE169" s="2609"/>
      <c r="AF169" s="2609"/>
      <c r="AG169" s="2609"/>
      <c r="AH169" s="2609"/>
      <c r="AI169" s="2609"/>
      <c r="AJ169" s="2609"/>
      <c r="AK169" s="2609"/>
      <c r="AL169" s="2609"/>
      <c r="AM169" s="2609"/>
      <c r="AN169" s="2609"/>
      <c r="AO169" s="2609"/>
      <c r="AP169" s="2609"/>
      <c r="AQ169" s="2609"/>
      <c r="AR169" s="2609"/>
      <c r="AS169" s="2609"/>
      <c r="AT169" s="2609"/>
      <c r="AU169" s="2609"/>
      <c r="AV169" s="2609"/>
      <c r="AW169" s="2609"/>
      <c r="AX169" s="2609"/>
      <c r="AY169" s="2609"/>
      <c r="AZ169" s="2609"/>
      <c r="BA169" s="2609"/>
      <c r="BB169" s="2609"/>
      <c r="BC169" s="2609"/>
      <c r="BD169" s="2610"/>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11" t="s">
        <v>2159</v>
      </c>
      <c r="I173" s="2611"/>
      <c r="J173" s="2611"/>
      <c r="K173" s="2611"/>
      <c r="L173" s="2611"/>
      <c r="M173" s="2611"/>
      <c r="N173" s="2611"/>
      <c r="O173" s="2611"/>
      <c r="P173" s="2611"/>
      <c r="Q173" s="2611"/>
      <c r="R173" s="2611"/>
      <c r="S173" s="2611"/>
      <c r="T173" s="2611"/>
      <c r="U173" s="2611"/>
      <c r="V173" s="2611"/>
      <c r="W173" s="2611"/>
      <c r="X173" s="2611"/>
      <c r="Y173" s="2611"/>
      <c r="Z173" s="2611"/>
      <c r="AA173" s="2611"/>
      <c r="AB173" s="2611"/>
      <c r="AC173" s="2611"/>
      <c r="AD173" s="2611"/>
      <c r="AE173" s="2611"/>
      <c r="AF173" s="2611"/>
      <c r="AG173" s="2611"/>
      <c r="AH173" s="2611"/>
      <c r="AI173" s="2611"/>
      <c r="AJ173" s="2611"/>
      <c r="AK173" s="2611"/>
      <c r="AL173" s="2611"/>
      <c r="AM173" s="2611"/>
      <c r="AN173" s="2611"/>
      <c r="AO173" s="2611"/>
      <c r="AP173" s="2611"/>
      <c r="AQ173" s="2611"/>
      <c r="AR173" s="2611"/>
      <c r="AS173" s="2611"/>
      <c r="AT173" s="2611"/>
      <c r="AU173" s="2611"/>
      <c r="AV173" s="2611"/>
      <c r="AW173" s="2611"/>
      <c r="AX173" s="2611"/>
      <c r="AY173" s="2611"/>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12" t="s">
        <v>2160</v>
      </c>
      <c r="I175" s="2612"/>
      <c r="J175" s="2612"/>
      <c r="K175" s="2612"/>
      <c r="L175" s="2612"/>
      <c r="M175" s="2612"/>
      <c r="N175" s="2612"/>
      <c r="O175" s="2612"/>
      <c r="P175" s="2612"/>
      <c r="Q175" s="2612"/>
      <c r="R175" s="2612"/>
      <c r="S175" s="2612"/>
      <c r="T175" s="2612"/>
      <c r="U175" s="2612"/>
      <c r="V175" s="2612"/>
      <c r="W175" s="2612"/>
      <c r="X175" s="2612"/>
      <c r="Y175" s="2612"/>
      <c r="Z175" s="2612"/>
      <c r="AA175" s="2612"/>
      <c r="AB175" s="2612"/>
      <c r="AC175" s="2612"/>
      <c r="AD175" s="2612"/>
      <c r="AE175" s="2612"/>
      <c r="AF175" s="2612"/>
      <c r="AG175" s="2612"/>
      <c r="AH175" s="2612"/>
      <c r="AI175" s="2612"/>
      <c r="AJ175" s="2612"/>
      <c r="AK175" s="2612"/>
      <c r="AL175" s="2612"/>
      <c r="AM175" s="2612"/>
      <c r="AN175" s="2612"/>
      <c r="AO175" s="2612"/>
      <c r="AP175" s="2612"/>
      <c r="AQ175" s="2612"/>
      <c r="AR175" s="2612"/>
      <c r="AS175" s="2612"/>
      <c r="AT175" s="2612"/>
      <c r="AU175" s="2612"/>
      <c r="AV175" s="2612"/>
      <c r="AW175" s="2612"/>
      <c r="AX175" s="2612"/>
      <c r="AY175" s="2612"/>
      <c r="AZ175" s="2612"/>
      <c r="BA175" s="1557"/>
      <c r="BB175" s="1557"/>
      <c r="BC175" s="1557"/>
      <c r="BD175" s="1537"/>
      <c r="BE175" s="1537"/>
    </row>
    <row r="176" spans="1:57" ht="15.75" customHeight="1">
      <c r="A176" s="1836"/>
      <c r="B176" s="1530"/>
      <c r="C176" s="1557"/>
      <c r="D176" s="1557"/>
      <c r="E176" s="1557"/>
      <c r="F176" s="1557"/>
      <c r="G176" s="1557"/>
      <c r="H176" s="2612"/>
      <c r="I176" s="2612"/>
      <c r="J176" s="2612"/>
      <c r="K176" s="2612"/>
      <c r="L176" s="2612"/>
      <c r="M176" s="2612"/>
      <c r="N176" s="2612"/>
      <c r="O176" s="2612"/>
      <c r="P176" s="2612"/>
      <c r="Q176" s="2612"/>
      <c r="R176" s="2612"/>
      <c r="S176" s="2612"/>
      <c r="T176" s="2612"/>
      <c r="U176" s="2612"/>
      <c r="V176" s="2612"/>
      <c r="W176" s="2612"/>
      <c r="X176" s="2612"/>
      <c r="Y176" s="2612"/>
      <c r="Z176" s="2612"/>
      <c r="AA176" s="2612"/>
      <c r="AB176" s="2612"/>
      <c r="AC176" s="2612"/>
      <c r="AD176" s="2612"/>
      <c r="AE176" s="2612"/>
      <c r="AF176" s="2612"/>
      <c r="AG176" s="2612"/>
      <c r="AH176" s="2612"/>
      <c r="AI176" s="2612"/>
      <c r="AJ176" s="2612"/>
      <c r="AK176" s="2612"/>
      <c r="AL176" s="2612"/>
      <c r="AM176" s="2612"/>
      <c r="AN176" s="2612"/>
      <c r="AO176" s="2612"/>
      <c r="AP176" s="2612"/>
      <c r="AQ176" s="2612"/>
      <c r="AR176" s="2612"/>
      <c r="AS176" s="2612"/>
      <c r="AT176" s="2612"/>
      <c r="AU176" s="2612"/>
      <c r="AV176" s="2612"/>
      <c r="AW176" s="2612"/>
      <c r="AX176" s="2612"/>
      <c r="AY176" s="2612"/>
      <c r="AZ176" s="2612"/>
      <c r="BA176" s="1557"/>
      <c r="BB176" s="1557"/>
      <c r="BC176" s="1557"/>
      <c r="BD176" s="1537"/>
      <c r="BE176" s="1537"/>
    </row>
    <row r="177" spans="1:57" ht="15.75" customHeight="1">
      <c r="A177" s="1836"/>
      <c r="B177" s="1530"/>
      <c r="C177" s="1557"/>
      <c r="D177" s="1557"/>
      <c r="E177" s="1557"/>
      <c r="F177" s="1557"/>
      <c r="G177" s="1557"/>
      <c r="H177" s="2612"/>
      <c r="I177" s="2612"/>
      <c r="J177" s="2612"/>
      <c r="K177" s="2612"/>
      <c r="L177" s="2612"/>
      <c r="M177" s="2612"/>
      <c r="N177" s="2612"/>
      <c r="O177" s="2612"/>
      <c r="P177" s="2612"/>
      <c r="Q177" s="2612"/>
      <c r="R177" s="2612"/>
      <c r="S177" s="2612"/>
      <c r="T177" s="2612"/>
      <c r="U177" s="2612"/>
      <c r="V177" s="2612"/>
      <c r="W177" s="2612"/>
      <c r="X177" s="2612"/>
      <c r="Y177" s="2612"/>
      <c r="Z177" s="2612"/>
      <c r="AA177" s="2612"/>
      <c r="AB177" s="2612"/>
      <c r="AC177" s="2612"/>
      <c r="AD177" s="2612"/>
      <c r="AE177" s="2612"/>
      <c r="AF177" s="2612"/>
      <c r="AG177" s="2612"/>
      <c r="AH177" s="2612"/>
      <c r="AI177" s="2612"/>
      <c r="AJ177" s="2612"/>
      <c r="AK177" s="2612"/>
      <c r="AL177" s="2612"/>
      <c r="AM177" s="2612"/>
      <c r="AN177" s="2612"/>
      <c r="AO177" s="2612"/>
      <c r="AP177" s="2612"/>
      <c r="AQ177" s="2612"/>
      <c r="AR177" s="2612"/>
      <c r="AS177" s="2612"/>
      <c r="AT177" s="2612"/>
      <c r="AU177" s="2612"/>
      <c r="AV177" s="2612"/>
      <c r="AW177" s="2612"/>
      <c r="AX177" s="2612"/>
      <c r="AY177" s="2612"/>
      <c r="AZ177" s="2612"/>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13" t="s">
        <v>2161</v>
      </c>
      <c r="I180" s="2613"/>
      <c r="J180" s="2613"/>
      <c r="K180" s="2613"/>
      <c r="L180" s="2613"/>
      <c r="M180" s="2613"/>
      <c r="N180" s="2613"/>
      <c r="O180" s="2613"/>
      <c r="P180" s="2613"/>
      <c r="Q180" s="2613"/>
      <c r="R180" s="2613"/>
      <c r="S180" s="2613"/>
      <c r="T180" s="2613"/>
      <c r="U180" s="2613"/>
      <c r="V180" s="2613"/>
      <c r="W180" s="2613"/>
      <c r="X180" s="2613"/>
      <c r="Y180" s="2613"/>
      <c r="Z180" s="2613"/>
      <c r="AA180" s="2613"/>
      <c r="AB180" s="2613"/>
      <c r="AC180" s="2613"/>
      <c r="AD180" s="2613"/>
      <c r="AE180" s="2613"/>
      <c r="AF180" s="2613"/>
      <c r="AG180" s="2613"/>
      <c r="AH180" s="2613"/>
      <c r="AI180" s="2613"/>
      <c r="AJ180" s="2613"/>
      <c r="AK180" s="2613"/>
      <c r="AL180" s="2613"/>
      <c r="AM180" s="2613"/>
      <c r="AN180" s="2613"/>
      <c r="AO180" s="2613"/>
      <c r="AP180" s="2613"/>
      <c r="AQ180" s="2613"/>
      <c r="AR180" s="2613"/>
      <c r="AS180" s="2613"/>
      <c r="AT180" s="2613"/>
      <c r="AU180" s="2613"/>
      <c r="AV180" s="2613"/>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606" t="s">
        <v>2162</v>
      </c>
      <c r="I182" s="2606"/>
      <c r="J182" s="2606"/>
      <c r="K182" s="2606"/>
      <c r="L182" s="1566"/>
      <c r="M182" s="1566"/>
      <c r="N182" s="1566"/>
      <c r="O182" s="1566"/>
      <c r="P182" s="1566"/>
      <c r="Q182" s="1566"/>
      <c r="R182" s="1566"/>
      <c r="S182" s="2603"/>
      <c r="T182" s="2604"/>
      <c r="U182" s="2604"/>
      <c r="V182" s="2604"/>
      <c r="W182" s="2604"/>
      <c r="X182" s="2604"/>
      <c r="Y182" s="2604"/>
      <c r="Z182" s="2604"/>
      <c r="AA182" s="2604"/>
      <c r="AB182" s="2604"/>
      <c r="AC182" s="2604"/>
      <c r="AD182" s="2604"/>
      <c r="AE182" s="2604"/>
      <c r="AF182" s="2604"/>
      <c r="AG182" s="2604"/>
      <c r="AH182" s="2604"/>
      <c r="AI182" s="2604"/>
      <c r="AJ182" s="2605"/>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606" t="s">
        <v>2163</v>
      </c>
      <c r="I184" s="2606"/>
      <c r="J184" s="2606"/>
      <c r="K184" s="1568"/>
      <c r="L184" s="1566"/>
      <c r="M184" s="1566"/>
      <c r="N184" s="1566"/>
      <c r="O184" s="1566"/>
      <c r="P184" s="1566"/>
      <c r="Q184" s="1566"/>
      <c r="R184" s="1566"/>
      <c r="S184" s="2603"/>
      <c r="T184" s="2604"/>
      <c r="U184" s="2604"/>
      <c r="V184" s="2604"/>
      <c r="W184" s="2604"/>
      <c r="X184" s="2604"/>
      <c r="Y184" s="2604"/>
      <c r="Z184" s="2604"/>
      <c r="AA184" s="2604"/>
      <c r="AB184" s="2604"/>
      <c r="AC184" s="2604"/>
      <c r="AD184" s="2604"/>
      <c r="AE184" s="2604"/>
      <c r="AF184" s="2604"/>
      <c r="AG184" s="2604"/>
      <c r="AH184" s="2604"/>
      <c r="AI184" s="2604"/>
      <c r="AJ184" s="2605"/>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606" t="s">
        <v>466</v>
      </c>
      <c r="I186" s="2606"/>
      <c r="J186" s="1568"/>
      <c r="K186" s="1568"/>
      <c r="L186" s="1566"/>
      <c r="M186" s="1566"/>
      <c r="N186" s="1566"/>
      <c r="O186" s="1566"/>
      <c r="P186" s="1566"/>
      <c r="Q186" s="1566"/>
      <c r="R186" s="1566"/>
      <c r="S186" s="2603"/>
      <c r="T186" s="2604"/>
      <c r="U186" s="2604"/>
      <c r="V186" s="2604"/>
      <c r="W186" s="2604"/>
      <c r="X186" s="2604"/>
      <c r="Y186" s="2604"/>
      <c r="Z186" s="2604"/>
      <c r="AA186" s="2604"/>
      <c r="AB186" s="2604"/>
      <c r="AC186" s="2604"/>
      <c r="AD186" s="2604"/>
      <c r="AE186" s="2604"/>
      <c r="AF186" s="2604"/>
      <c r="AG186" s="2604"/>
      <c r="AH186" s="2604"/>
      <c r="AI186" s="2604"/>
      <c r="AJ186" s="2605"/>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607" t="s">
        <v>2164</v>
      </c>
      <c r="I188" s="2607"/>
      <c r="J188" s="2607"/>
      <c r="K188" s="2607"/>
      <c r="L188" s="2607"/>
      <c r="M188" s="2607"/>
      <c r="N188" s="2607"/>
      <c r="O188" s="2607"/>
      <c r="P188" s="1566"/>
      <c r="Q188" s="1566"/>
      <c r="R188" s="1566"/>
      <c r="S188" s="2603"/>
      <c r="T188" s="2604"/>
      <c r="U188" s="2604"/>
      <c r="V188" s="2604"/>
      <c r="W188" s="2604"/>
      <c r="X188" s="2604"/>
      <c r="Y188" s="2604"/>
      <c r="Z188" s="2604"/>
      <c r="AA188" s="2604"/>
      <c r="AB188" s="2604"/>
      <c r="AC188" s="2604"/>
      <c r="AD188" s="2604"/>
      <c r="AE188" s="2604"/>
      <c r="AF188" s="2604"/>
      <c r="AG188" s="2604"/>
      <c r="AH188" s="2604"/>
      <c r="AI188" s="2604"/>
      <c r="AJ188" s="2605"/>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602" t="s">
        <v>2165</v>
      </c>
      <c r="I190" s="2602"/>
      <c r="J190" s="1566"/>
      <c r="K190" s="1566"/>
      <c r="L190" s="1566"/>
      <c r="M190" s="1566"/>
      <c r="N190" s="1566"/>
      <c r="O190" s="1566"/>
      <c r="P190" s="1566"/>
      <c r="Q190" s="1566"/>
      <c r="R190" s="1566"/>
      <c r="S190" s="2603"/>
      <c r="T190" s="2604"/>
      <c r="U190" s="2604"/>
      <c r="V190" s="2604"/>
      <c r="W190" s="2604"/>
      <c r="X190" s="2604"/>
      <c r="Y190" s="2604"/>
      <c r="Z190" s="2604"/>
      <c r="AA190" s="2604"/>
      <c r="AB190" s="2604"/>
      <c r="AC190" s="2604"/>
      <c r="AD190" s="2604"/>
      <c r="AE190" s="2604"/>
      <c r="AF190" s="2604"/>
      <c r="AG190" s="2604"/>
      <c r="AH190" s="2604"/>
      <c r="AI190" s="2604"/>
      <c r="AJ190" s="2605"/>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93" zoomScaleNormal="100" zoomScaleSheetLayoutView="100" workbookViewId="0">
      <selection activeCell="E418" sqref="E418:AC42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47" t="s">
        <v>1571</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row>
    <row r="2" spans="1:42" s="929" customFormat="1" ht="12.75" customHeight="1" thickBot="1">
      <c r="A2" s="3048"/>
      <c r="B2" s="3048"/>
      <c r="C2" s="3048"/>
      <c r="D2" s="3048"/>
      <c r="E2" s="3048"/>
      <c r="F2" s="3048"/>
      <c r="G2" s="3048"/>
      <c r="H2" s="3048"/>
      <c r="I2" s="3048"/>
      <c r="J2" s="3048"/>
      <c r="K2" s="3048"/>
      <c r="L2" s="3048"/>
      <c r="M2" s="3048"/>
      <c r="N2" s="3048"/>
      <c r="O2" s="3048"/>
      <c r="P2" s="3048"/>
      <c r="Q2" s="3048"/>
      <c r="R2" s="3048"/>
      <c r="S2" s="3048"/>
      <c r="T2" s="3048"/>
      <c r="U2" s="3048"/>
      <c r="V2" s="3048"/>
      <c r="W2" s="3048"/>
      <c r="X2" s="3048"/>
      <c r="Y2" s="3048"/>
      <c r="Z2" s="3048"/>
      <c r="AA2" s="3048"/>
      <c r="AB2" s="3048"/>
      <c r="AC2" s="3048"/>
      <c r="AD2" s="3048"/>
      <c r="AE2" s="3048"/>
      <c r="AF2" s="3048"/>
      <c r="AG2" s="3048"/>
      <c r="AH2" s="3048"/>
      <c r="AI2" s="3048"/>
      <c r="AJ2" s="3048"/>
      <c r="AK2" s="3048"/>
      <c r="AL2" s="3048"/>
      <c r="AM2" s="3048"/>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07" t="s">
        <v>1576</v>
      </c>
      <c r="AF7" s="3007"/>
      <c r="AG7" s="3007"/>
      <c r="AH7" s="3007"/>
      <c r="AI7" s="3007"/>
      <c r="AJ7" s="3007"/>
      <c r="AK7" s="3007"/>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006" t="s">
        <v>628</v>
      </c>
      <c r="C12" s="3006"/>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49"/>
      <c r="AH12" s="3049"/>
      <c r="AI12" s="3049"/>
      <c r="AJ12" s="3050"/>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006" t="s">
        <v>628</v>
      </c>
      <c r="C15" s="3006"/>
      <c r="D15" s="942"/>
      <c r="E15" s="3030" t="s">
        <v>1579</v>
      </c>
      <c r="F15" s="3031"/>
      <c r="G15" s="3031"/>
      <c r="H15" s="3031"/>
      <c r="I15" s="3031"/>
      <c r="J15" s="3031"/>
      <c r="K15" s="3031"/>
      <c r="L15" s="3031"/>
      <c r="M15" s="3031"/>
      <c r="N15" s="3031"/>
      <c r="O15" s="3031"/>
      <c r="P15" s="3031"/>
      <c r="Q15" s="3031"/>
      <c r="R15" s="3031"/>
      <c r="S15" s="3031"/>
      <c r="T15" s="3031"/>
      <c r="U15" s="3031"/>
      <c r="V15" s="3031"/>
      <c r="W15" s="3031"/>
      <c r="X15" s="3031"/>
      <c r="Y15" s="3031"/>
      <c r="Z15" s="3031"/>
      <c r="AA15" s="3031"/>
      <c r="AB15" s="3031"/>
      <c r="AC15" s="3031"/>
      <c r="AD15" s="3031"/>
      <c r="AE15" s="3031"/>
      <c r="AF15" s="3031"/>
      <c r="AG15" s="3031"/>
      <c r="AH15" s="3031"/>
      <c r="AI15" s="3031"/>
      <c r="AJ15" s="3032"/>
      <c r="AK15" s="935"/>
      <c r="AL15" s="935"/>
      <c r="AM15" s="935"/>
      <c r="AN15" s="931"/>
      <c r="AO15" s="945">
        <f>IF($B24="yes",20,0)</f>
        <v>0</v>
      </c>
      <c r="AP15" s="51"/>
    </row>
    <row r="16" spans="1:42" s="932" customFormat="1" ht="12.75" customHeight="1">
      <c r="A16" s="935"/>
      <c r="B16" s="935"/>
      <c r="C16" s="935"/>
      <c r="D16" s="946"/>
      <c r="E16" s="3033"/>
      <c r="F16" s="3034"/>
      <c r="G16" s="3034"/>
      <c r="H16" s="3034"/>
      <c r="I16" s="3034"/>
      <c r="J16" s="3034"/>
      <c r="K16" s="3034"/>
      <c r="L16" s="3034"/>
      <c r="M16" s="3034"/>
      <c r="N16" s="3034"/>
      <c r="O16" s="3034"/>
      <c r="P16" s="3034"/>
      <c r="Q16" s="3034"/>
      <c r="R16" s="3034"/>
      <c r="S16" s="3034"/>
      <c r="T16" s="3034"/>
      <c r="U16" s="3034"/>
      <c r="V16" s="3034"/>
      <c r="W16" s="3034"/>
      <c r="X16" s="3034"/>
      <c r="Y16" s="3034"/>
      <c r="Z16" s="3034"/>
      <c r="AA16" s="3034"/>
      <c r="AB16" s="3034"/>
      <c r="AC16" s="3034"/>
      <c r="AD16" s="3034"/>
      <c r="AE16" s="3034"/>
      <c r="AF16" s="3034"/>
      <c r="AG16" s="3034"/>
      <c r="AH16" s="3034"/>
      <c r="AI16" s="3034"/>
      <c r="AJ16" s="3035"/>
      <c r="AK16" s="935"/>
      <c r="AL16" s="935"/>
      <c r="AM16" s="935"/>
      <c r="AN16" s="931"/>
      <c r="AO16" s="932">
        <f>IF(SUM(AO12:AO15)&gt;20,20,(SUM(AO12:AO15)))</f>
        <v>0</v>
      </c>
      <c r="AP16" s="932" t="s">
        <v>1580</v>
      </c>
    </row>
    <row r="17" spans="1:42" s="932" customFormat="1" ht="12.75" customHeight="1">
      <c r="A17" s="935"/>
      <c r="B17" s="935"/>
      <c r="C17" s="935"/>
      <c r="D17" s="946"/>
      <c r="E17" s="3033"/>
      <c r="F17" s="3034"/>
      <c r="G17" s="3034"/>
      <c r="H17" s="3034"/>
      <c r="I17" s="3034"/>
      <c r="J17" s="3034"/>
      <c r="K17" s="3034"/>
      <c r="L17" s="3034"/>
      <c r="M17" s="3034"/>
      <c r="N17" s="3034"/>
      <c r="O17" s="3034"/>
      <c r="P17" s="3034"/>
      <c r="Q17" s="3034"/>
      <c r="R17" s="3034"/>
      <c r="S17" s="3034"/>
      <c r="T17" s="3034"/>
      <c r="U17" s="3034"/>
      <c r="V17" s="3034"/>
      <c r="W17" s="3034"/>
      <c r="X17" s="3034"/>
      <c r="Y17" s="3034"/>
      <c r="Z17" s="3034"/>
      <c r="AA17" s="3034"/>
      <c r="AB17" s="3034"/>
      <c r="AC17" s="3034"/>
      <c r="AD17" s="3034"/>
      <c r="AE17" s="3034"/>
      <c r="AF17" s="3034"/>
      <c r="AG17" s="3034"/>
      <c r="AH17" s="3034"/>
      <c r="AI17" s="3034"/>
      <c r="AJ17" s="3035"/>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12"/>
      <c r="F19" s="3013"/>
      <c r="G19" s="3013"/>
      <c r="H19" s="3013"/>
      <c r="I19" s="3013"/>
      <c r="J19" s="3013"/>
      <c r="K19" s="3013"/>
      <c r="L19" s="3013"/>
      <c r="M19" s="3013"/>
      <c r="N19" s="3013"/>
      <c r="O19" s="3013"/>
      <c r="P19" s="3013"/>
      <c r="Q19" s="3013"/>
      <c r="R19" s="3013"/>
      <c r="S19" s="3013"/>
      <c r="T19" s="3013"/>
      <c r="U19" s="3013"/>
      <c r="V19" s="3013"/>
      <c r="W19" s="3013"/>
      <c r="X19" s="3013"/>
      <c r="Y19" s="3013"/>
      <c r="Z19" s="3013"/>
      <c r="AA19" s="3013"/>
      <c r="AB19" s="3013"/>
      <c r="AC19" s="3013"/>
      <c r="AD19" s="3013"/>
      <c r="AE19" s="3013"/>
      <c r="AF19" s="3013"/>
      <c r="AG19" s="3013"/>
      <c r="AH19" s="3013"/>
      <c r="AI19" s="3013"/>
      <c r="AJ19" s="3014"/>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006" t="s">
        <v>628</v>
      </c>
      <c r="C21" s="3006"/>
      <c r="D21" s="942"/>
      <c r="E21" s="3015" t="s">
        <v>1582</v>
      </c>
      <c r="F21" s="3016"/>
      <c r="G21" s="3016"/>
      <c r="H21" s="3016"/>
      <c r="I21" s="3016"/>
      <c r="J21" s="3016"/>
      <c r="K21" s="3016"/>
      <c r="L21" s="3016"/>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7"/>
      <c r="AK21" s="935"/>
      <c r="AL21" s="935"/>
      <c r="AM21" s="935"/>
      <c r="AN21" s="931"/>
      <c r="AO21" s="932">
        <f>SUM(AO20)</f>
        <v>0</v>
      </c>
      <c r="AP21" s="932" t="s">
        <v>1580</v>
      </c>
    </row>
    <row r="22" spans="1:42" s="932" customFormat="1" ht="12.75" customHeight="1">
      <c r="A22" s="935"/>
      <c r="B22" s="935"/>
      <c r="C22" s="935"/>
      <c r="D22" s="945"/>
      <c r="E22" s="3018"/>
      <c r="F22" s="3019"/>
      <c r="G22" s="3019"/>
      <c r="H22" s="3019"/>
      <c r="I22" s="3019"/>
      <c r="J22" s="3019"/>
      <c r="K22" s="3019"/>
      <c r="L22" s="3019"/>
      <c r="M22" s="3019"/>
      <c r="N22" s="3019"/>
      <c r="O22" s="3019"/>
      <c r="P22" s="3019"/>
      <c r="Q22" s="3019"/>
      <c r="R22" s="3019"/>
      <c r="S22" s="3019"/>
      <c r="T22" s="3019"/>
      <c r="U22" s="3019"/>
      <c r="V22" s="3019"/>
      <c r="W22" s="3019"/>
      <c r="X22" s="3019"/>
      <c r="Y22" s="3019"/>
      <c r="Z22" s="3019"/>
      <c r="AA22" s="3019"/>
      <c r="AB22" s="3019"/>
      <c r="AC22" s="3019"/>
      <c r="AD22" s="3019"/>
      <c r="AE22" s="3019"/>
      <c r="AF22" s="3019"/>
      <c r="AG22" s="3019"/>
      <c r="AH22" s="3019"/>
      <c r="AI22" s="3019"/>
      <c r="AJ22" s="3020"/>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006" t="s">
        <v>628</v>
      </c>
      <c r="C24" s="3006"/>
      <c r="D24" s="942"/>
      <c r="E24" s="3021" t="s">
        <v>1583</v>
      </c>
      <c r="F24" s="3022"/>
      <c r="G24" s="3022"/>
      <c r="H24" s="3022"/>
      <c r="I24" s="3022"/>
      <c r="J24" s="3022"/>
      <c r="K24" s="3022"/>
      <c r="L24" s="3022"/>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3"/>
      <c r="AK24" s="935"/>
      <c r="AL24" s="935"/>
      <c r="AM24" s="935"/>
      <c r="AN24" s="931"/>
      <c r="AO24" s="945">
        <f>IF($B39="yes",6,0)</f>
        <v>0</v>
      </c>
    </row>
    <row r="25" spans="1:42" s="932" customFormat="1" ht="12.75" customHeight="1">
      <c r="A25" s="935"/>
      <c r="B25" s="935"/>
      <c r="C25" s="935"/>
      <c r="D25" s="945"/>
      <c r="E25" s="3024"/>
      <c r="F25" s="3025"/>
      <c r="G25" s="3025"/>
      <c r="H25" s="3025"/>
      <c r="I25" s="3025"/>
      <c r="J25" s="3025"/>
      <c r="K25" s="3025"/>
      <c r="L25" s="3025"/>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6"/>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006" t="s">
        <v>628</v>
      </c>
      <c r="C29" s="3006"/>
      <c r="D29" s="942"/>
      <c r="E29" s="3021" t="s">
        <v>1585</v>
      </c>
      <c r="F29" s="3022"/>
      <c r="G29" s="3022"/>
      <c r="H29" s="3022"/>
      <c r="I29" s="3022"/>
      <c r="J29" s="3022"/>
      <c r="K29" s="3022"/>
      <c r="L29" s="3022"/>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3"/>
      <c r="AK29" s="935"/>
      <c r="AL29" s="935"/>
      <c r="AM29" s="935"/>
      <c r="AN29" s="931"/>
      <c r="AO29" s="945">
        <f>IF($B49="yes",6,0)</f>
        <v>0</v>
      </c>
    </row>
    <row r="30" spans="1:42" s="932" customFormat="1" ht="12.75" customHeight="1">
      <c r="A30" s="935"/>
      <c r="B30" s="935"/>
      <c r="C30" s="935"/>
      <c r="E30" s="3027"/>
      <c r="F30" s="3028"/>
      <c r="G30" s="3028"/>
      <c r="H30" s="3028"/>
      <c r="I30" s="3028"/>
      <c r="J30" s="3028"/>
      <c r="K30" s="3028"/>
      <c r="L30" s="3028"/>
      <c r="M30" s="3028"/>
      <c r="N30" s="3028"/>
      <c r="O30" s="3028"/>
      <c r="P30" s="3028"/>
      <c r="Q30" s="3028"/>
      <c r="R30" s="3028"/>
      <c r="S30" s="3028"/>
      <c r="T30" s="3028"/>
      <c r="U30" s="3028"/>
      <c r="V30" s="3028"/>
      <c r="W30" s="3028"/>
      <c r="X30" s="3028"/>
      <c r="Y30" s="3028"/>
      <c r="Z30" s="3028"/>
      <c r="AA30" s="3028"/>
      <c r="AB30" s="3028"/>
      <c r="AC30" s="3028"/>
      <c r="AD30" s="3028"/>
      <c r="AE30" s="3028"/>
      <c r="AF30" s="3028"/>
      <c r="AG30" s="3028"/>
      <c r="AH30" s="3028"/>
      <c r="AI30" s="3028"/>
      <c r="AJ30" s="3029"/>
      <c r="AK30" s="935"/>
      <c r="AL30" s="935"/>
      <c r="AM30" s="935"/>
      <c r="AN30" s="931"/>
      <c r="AO30" s="932">
        <f>IF(SUM(AO23:AO29)&gt;6,6,(SUM(AO23:AO29)))</f>
        <v>0</v>
      </c>
      <c r="AP30" s="932" t="s">
        <v>1580</v>
      </c>
    </row>
    <row r="31" spans="1:42" s="932" customFormat="1" ht="12.75" customHeight="1">
      <c r="A31" s="935"/>
      <c r="B31" s="935"/>
      <c r="C31" s="935"/>
      <c r="E31" s="3024"/>
      <c r="F31" s="3025"/>
      <c r="G31" s="3025"/>
      <c r="H31" s="3025"/>
      <c r="I31" s="3025"/>
      <c r="J31" s="3025"/>
      <c r="K31" s="3025"/>
      <c r="L31" s="3025"/>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6"/>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51" t="s">
        <v>1587</v>
      </c>
      <c r="C34" s="3051"/>
      <c r="D34" s="3051"/>
      <c r="E34" s="3051"/>
      <c r="F34" s="3051"/>
      <c r="G34" s="3051"/>
      <c r="H34" s="3051"/>
      <c r="I34" s="3051"/>
      <c r="J34" s="3051"/>
      <c r="K34" s="3051"/>
      <c r="L34" s="3051"/>
      <c r="M34" s="3051"/>
      <c r="N34" s="3051"/>
      <c r="O34" s="3051"/>
      <c r="P34" s="3051"/>
      <c r="Q34" s="3051"/>
      <c r="R34" s="3051"/>
      <c r="S34" s="3051"/>
      <c r="T34" s="3051"/>
      <c r="U34" s="3051"/>
      <c r="V34" s="3051"/>
      <c r="W34" s="3051"/>
      <c r="X34" s="3051"/>
      <c r="Y34" s="3051"/>
      <c r="Z34" s="3051"/>
      <c r="AA34" s="3051"/>
      <c r="AB34" s="3051"/>
      <c r="AC34" s="3051"/>
      <c r="AD34" s="3051"/>
      <c r="AE34" s="3051"/>
      <c r="AF34" s="3051"/>
      <c r="AG34" s="3051"/>
      <c r="AH34" s="3051"/>
      <c r="AI34" s="3051"/>
      <c r="AJ34" s="3051"/>
      <c r="AK34" s="3051"/>
      <c r="AL34" s="935"/>
      <c r="AM34" s="935"/>
      <c r="AN34" s="931"/>
    </row>
    <row r="35" spans="1:41" s="932" customFormat="1" ht="12.75" customHeight="1">
      <c r="A35" s="935"/>
      <c r="B35" s="3051"/>
      <c r="C35" s="3051"/>
      <c r="D35" s="3051"/>
      <c r="E35" s="3051"/>
      <c r="F35" s="3051"/>
      <c r="G35" s="3051"/>
      <c r="H35" s="3051"/>
      <c r="I35" s="3051"/>
      <c r="J35" s="3051"/>
      <c r="K35" s="3051"/>
      <c r="L35" s="3051"/>
      <c r="M35" s="3051"/>
      <c r="N35" s="3051"/>
      <c r="O35" s="3051"/>
      <c r="P35" s="3051"/>
      <c r="Q35" s="3051"/>
      <c r="R35" s="3051"/>
      <c r="S35" s="3051"/>
      <c r="T35" s="3051"/>
      <c r="U35" s="3051"/>
      <c r="V35" s="3051"/>
      <c r="W35" s="3051"/>
      <c r="X35" s="3051"/>
      <c r="Y35" s="3051"/>
      <c r="Z35" s="3051"/>
      <c r="AA35" s="3051"/>
      <c r="AB35" s="3051"/>
      <c r="AC35" s="3051"/>
      <c r="AD35" s="3051"/>
      <c r="AE35" s="3051"/>
      <c r="AF35" s="3051"/>
      <c r="AG35" s="3051"/>
      <c r="AH35" s="3051"/>
      <c r="AI35" s="3051"/>
      <c r="AJ35" s="3051"/>
      <c r="AK35" s="3051"/>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006" t="s">
        <v>628</v>
      </c>
      <c r="C37" s="3006"/>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006" t="s">
        <v>628</v>
      </c>
      <c r="C39" s="3006"/>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006" t="s">
        <v>628</v>
      </c>
      <c r="C41" s="3006"/>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006" t="s">
        <v>628</v>
      </c>
      <c r="C43" s="3006"/>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006" t="s">
        <v>628</v>
      </c>
      <c r="C45" s="3006"/>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006" t="s">
        <v>628</v>
      </c>
      <c r="C47" s="3006"/>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006" t="s">
        <v>628</v>
      </c>
      <c r="C49" s="3006"/>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39">
        <f>AO32</f>
        <v>0</v>
      </c>
      <c r="AL51" s="3040"/>
      <c r="AM51" s="3041"/>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07" t="s">
        <v>1598</v>
      </c>
      <c r="AF54" s="3007"/>
      <c r="AG54" s="3007"/>
      <c r="AH54" s="3007"/>
      <c r="AI54" s="3007"/>
      <c r="AJ54" s="3007"/>
      <c r="AK54" s="3007"/>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006" t="s">
        <v>628</v>
      </c>
      <c r="C57" s="3006"/>
      <c r="D57" s="942" t="s">
        <v>1599</v>
      </c>
      <c r="E57" s="3030" t="s">
        <v>2255</v>
      </c>
      <c r="F57" s="3031"/>
      <c r="G57" s="3031"/>
      <c r="H57" s="3031"/>
      <c r="I57" s="3031"/>
      <c r="J57" s="3031"/>
      <c r="K57" s="3031"/>
      <c r="L57" s="3031"/>
      <c r="M57" s="3031"/>
      <c r="N57" s="3031"/>
      <c r="O57" s="3031"/>
      <c r="P57" s="3031"/>
      <c r="Q57" s="3031"/>
      <c r="R57" s="3031"/>
      <c r="S57" s="3031"/>
      <c r="T57" s="3031"/>
      <c r="U57" s="3031"/>
      <c r="V57" s="3031"/>
      <c r="W57" s="3031"/>
      <c r="X57" s="3031"/>
      <c r="Y57" s="3031"/>
      <c r="Z57" s="3031"/>
      <c r="AA57" s="3031"/>
      <c r="AB57" s="3031"/>
      <c r="AC57" s="3031"/>
      <c r="AD57" s="3031"/>
      <c r="AE57" s="3031"/>
      <c r="AF57" s="3031"/>
      <c r="AG57" s="3031"/>
      <c r="AH57" s="3031"/>
      <c r="AI57" s="3031"/>
      <c r="AJ57" s="3032"/>
      <c r="AK57" s="938"/>
      <c r="AL57" s="935"/>
      <c r="AM57" s="935"/>
      <c r="AN57" s="931"/>
      <c r="AO57" s="945">
        <f>IF($B57="yes",10,0)</f>
        <v>0</v>
      </c>
    </row>
    <row r="58" spans="1:50" s="932" customFormat="1" ht="12.75" customHeight="1">
      <c r="A58" s="933"/>
      <c r="B58" s="935"/>
      <c r="C58" s="935"/>
      <c r="D58" s="946"/>
      <c r="E58" s="3033"/>
      <c r="F58" s="3034"/>
      <c r="G58" s="3034"/>
      <c r="H58" s="3034"/>
      <c r="I58" s="3034"/>
      <c r="J58" s="3034"/>
      <c r="K58" s="3034"/>
      <c r="L58" s="3034"/>
      <c r="M58" s="3034"/>
      <c r="N58" s="3034"/>
      <c r="O58" s="3034"/>
      <c r="P58" s="3034"/>
      <c r="Q58" s="3034"/>
      <c r="R58" s="3034"/>
      <c r="S58" s="3034"/>
      <c r="T58" s="3034"/>
      <c r="U58" s="3034"/>
      <c r="V58" s="3034"/>
      <c r="W58" s="3034"/>
      <c r="X58" s="3034"/>
      <c r="Y58" s="3034"/>
      <c r="Z58" s="3034"/>
      <c r="AA58" s="3034"/>
      <c r="AB58" s="3034"/>
      <c r="AC58" s="3034"/>
      <c r="AD58" s="3034"/>
      <c r="AE58" s="3034"/>
      <c r="AF58" s="3034"/>
      <c r="AG58" s="3034"/>
      <c r="AH58" s="3034"/>
      <c r="AI58" s="3034"/>
      <c r="AJ58" s="3035"/>
      <c r="AK58" s="938"/>
      <c r="AL58" s="935"/>
      <c r="AM58" s="935"/>
      <c r="AN58" s="931"/>
      <c r="AO58" s="945">
        <f>IF($B62="yes",10,0)</f>
        <v>10</v>
      </c>
    </row>
    <row r="59" spans="1:50" s="932" customFormat="1" ht="12.75" customHeight="1">
      <c r="A59" s="933"/>
      <c r="B59" s="935"/>
      <c r="C59" s="935"/>
      <c r="D59" s="946"/>
      <c r="E59" s="3033"/>
      <c r="F59" s="3034"/>
      <c r="G59" s="3034"/>
      <c r="H59" s="3034"/>
      <c r="I59" s="3034"/>
      <c r="J59" s="3034"/>
      <c r="K59" s="3034"/>
      <c r="L59" s="3034"/>
      <c r="M59" s="3034"/>
      <c r="N59" s="3034"/>
      <c r="O59" s="3034"/>
      <c r="P59" s="3034"/>
      <c r="Q59" s="3034"/>
      <c r="R59" s="3034"/>
      <c r="S59" s="3034"/>
      <c r="T59" s="3034"/>
      <c r="U59" s="3034"/>
      <c r="V59" s="3034"/>
      <c r="W59" s="3034"/>
      <c r="X59" s="3034"/>
      <c r="Y59" s="3034"/>
      <c r="Z59" s="3034"/>
      <c r="AA59" s="3034"/>
      <c r="AB59" s="3034"/>
      <c r="AC59" s="3034"/>
      <c r="AD59" s="3034"/>
      <c r="AE59" s="3034"/>
      <c r="AF59" s="3034"/>
      <c r="AG59" s="3034"/>
      <c r="AH59" s="3034"/>
      <c r="AI59" s="3034"/>
      <c r="AJ59" s="3035"/>
      <c r="AK59" s="938"/>
      <c r="AL59" s="935"/>
      <c r="AM59" s="935"/>
      <c r="AN59" s="931"/>
      <c r="AO59" s="945">
        <f>IF($B69="yes",10,0)</f>
        <v>0</v>
      </c>
    </row>
    <row r="60" spans="1:50" s="932" customFormat="1" ht="12.75" customHeight="1">
      <c r="A60" s="933"/>
      <c r="B60" s="935"/>
      <c r="C60" s="935"/>
      <c r="D60" s="946"/>
      <c r="E60" s="3036"/>
      <c r="F60" s="3037"/>
      <c r="G60" s="3037"/>
      <c r="H60" s="3037"/>
      <c r="I60" s="3037"/>
      <c r="J60" s="3037"/>
      <c r="K60" s="3037"/>
      <c r="L60" s="3037"/>
      <c r="M60" s="3037"/>
      <c r="N60" s="3037"/>
      <c r="O60" s="3037"/>
      <c r="P60" s="3037"/>
      <c r="Q60" s="3037"/>
      <c r="R60" s="3037"/>
      <c r="S60" s="3037"/>
      <c r="T60" s="3037"/>
      <c r="U60" s="3037"/>
      <c r="V60" s="3037"/>
      <c r="W60" s="3037"/>
      <c r="X60" s="3037"/>
      <c r="Y60" s="3037"/>
      <c r="Z60" s="3037"/>
      <c r="AA60" s="3037"/>
      <c r="AB60" s="3037"/>
      <c r="AC60" s="3037"/>
      <c r="AD60" s="3037"/>
      <c r="AE60" s="3037"/>
      <c r="AF60" s="3037"/>
      <c r="AG60" s="3037"/>
      <c r="AH60" s="3037"/>
      <c r="AI60" s="3037"/>
      <c r="AJ60" s="3038"/>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006" t="s">
        <v>580</v>
      </c>
      <c r="C62" s="3006"/>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46" t="s">
        <v>628</v>
      </c>
      <c r="F63" s="3006"/>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52" t="s">
        <v>628</v>
      </c>
      <c r="F64" s="3053"/>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52" t="s">
        <v>628</v>
      </c>
      <c r="F65" s="3053"/>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46" t="s">
        <v>580</v>
      </c>
      <c r="F67" s="3006"/>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006" t="s">
        <v>628</v>
      </c>
      <c r="C69" s="3006"/>
      <c r="D69" s="942" t="s">
        <v>1604</v>
      </c>
      <c r="E69" s="3021" t="s">
        <v>2256</v>
      </c>
      <c r="F69" s="3022"/>
      <c r="G69" s="3022"/>
      <c r="H69" s="3022"/>
      <c r="I69" s="3022"/>
      <c r="J69" s="3022"/>
      <c r="K69" s="3022"/>
      <c r="L69" s="3022"/>
      <c r="M69" s="3022"/>
      <c r="N69" s="3022"/>
      <c r="O69" s="3022"/>
      <c r="P69" s="3022"/>
      <c r="Q69" s="3022"/>
      <c r="R69" s="3022"/>
      <c r="S69" s="3022"/>
      <c r="T69" s="3022"/>
      <c r="U69" s="3022"/>
      <c r="V69" s="3022"/>
      <c r="W69" s="3022"/>
      <c r="X69" s="3022"/>
      <c r="Y69" s="3022"/>
      <c r="Z69" s="3022"/>
      <c r="AA69" s="3022"/>
      <c r="AB69" s="3022"/>
      <c r="AC69" s="3022"/>
      <c r="AD69" s="3022"/>
      <c r="AE69" s="3022"/>
      <c r="AF69" s="3022"/>
      <c r="AG69" s="3022"/>
      <c r="AH69" s="3022"/>
      <c r="AI69" s="3022"/>
      <c r="AJ69" s="3023"/>
      <c r="AK69" s="938"/>
      <c r="AL69" s="935"/>
      <c r="AM69" s="935"/>
      <c r="AN69" s="931"/>
    </row>
    <row r="70" spans="1:40" s="932" customFormat="1" ht="12.75" customHeight="1">
      <c r="A70" s="933"/>
      <c r="B70" s="935"/>
      <c r="C70" s="935"/>
      <c r="D70" s="945"/>
      <c r="E70" s="3024"/>
      <c r="F70" s="3025"/>
      <c r="G70" s="3025"/>
      <c r="H70" s="3025"/>
      <c r="I70" s="3025"/>
      <c r="J70" s="3025"/>
      <c r="K70" s="3025"/>
      <c r="L70" s="3025"/>
      <c r="M70" s="3025"/>
      <c r="N70" s="3025"/>
      <c r="O70" s="3025"/>
      <c r="P70" s="3025"/>
      <c r="Q70" s="3025"/>
      <c r="R70" s="3025"/>
      <c r="S70" s="3025"/>
      <c r="T70" s="3025"/>
      <c r="U70" s="3025"/>
      <c r="V70" s="3025"/>
      <c r="W70" s="3025"/>
      <c r="X70" s="3025"/>
      <c r="Y70" s="3025"/>
      <c r="Z70" s="3025"/>
      <c r="AA70" s="3025"/>
      <c r="AB70" s="3025"/>
      <c r="AC70" s="3025"/>
      <c r="AD70" s="3025"/>
      <c r="AE70" s="3025"/>
      <c r="AF70" s="3025"/>
      <c r="AG70" s="3025"/>
      <c r="AH70" s="3025"/>
      <c r="AI70" s="3025"/>
      <c r="AJ70" s="3026"/>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39">
        <f>IF(AK51&gt;0,0,AO60)</f>
        <v>10</v>
      </c>
      <c r="AL72" s="3040"/>
      <c r="AM72" s="3041"/>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07" t="s">
        <v>1576</v>
      </c>
      <c r="AF75" s="3007"/>
      <c r="AG75" s="3007"/>
      <c r="AH75" s="3007"/>
      <c r="AI75" s="3007"/>
      <c r="AJ75" s="3007"/>
      <c r="AK75" s="3007"/>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006" t="s">
        <v>628</v>
      </c>
      <c r="C78" s="3006"/>
      <c r="D78" s="942" t="s">
        <v>1599</v>
      </c>
      <c r="E78" s="3000" t="s">
        <v>1609</v>
      </c>
      <c r="F78" s="3001"/>
      <c r="G78" s="3001"/>
      <c r="H78" s="3001"/>
      <c r="I78" s="3001"/>
      <c r="J78" s="3001"/>
      <c r="K78" s="3001"/>
      <c r="L78" s="3001"/>
      <c r="M78" s="3001"/>
      <c r="N78" s="3001"/>
      <c r="O78" s="3001"/>
      <c r="P78" s="3001"/>
      <c r="Q78" s="3001"/>
      <c r="R78" s="3001"/>
      <c r="S78" s="3001"/>
      <c r="T78" s="3001"/>
      <c r="U78" s="3001"/>
      <c r="V78" s="3001"/>
      <c r="W78" s="3001"/>
      <c r="X78" s="3001"/>
      <c r="Y78" s="3001"/>
      <c r="Z78" s="3001"/>
      <c r="AA78" s="3001"/>
      <c r="AB78" s="3001"/>
      <c r="AC78" s="3001"/>
      <c r="AD78" s="3001"/>
      <c r="AE78" s="3001"/>
      <c r="AF78" s="3001"/>
      <c r="AG78" s="3001"/>
      <c r="AH78" s="3001"/>
      <c r="AI78" s="3001"/>
      <c r="AJ78" s="3002"/>
      <c r="AK78" s="938"/>
      <c r="AL78" s="935"/>
      <c r="AM78" s="935"/>
      <c r="AN78" s="931"/>
    </row>
    <row r="79" spans="1:40" s="932" customFormat="1" ht="12.75" customHeight="1">
      <c r="A79" s="933"/>
      <c r="B79" s="934"/>
      <c r="C79" s="934"/>
      <c r="D79" s="934"/>
      <c r="E79" s="3003"/>
      <c r="F79" s="3004"/>
      <c r="G79" s="3004"/>
      <c r="H79" s="3004"/>
      <c r="I79" s="3004"/>
      <c r="J79" s="3004"/>
      <c r="K79" s="3004"/>
      <c r="L79" s="3004"/>
      <c r="M79" s="3004"/>
      <c r="N79" s="3004"/>
      <c r="O79" s="3004"/>
      <c r="P79" s="3004"/>
      <c r="Q79" s="3004"/>
      <c r="R79" s="3004"/>
      <c r="S79" s="3004"/>
      <c r="T79" s="3004"/>
      <c r="U79" s="3004"/>
      <c r="V79" s="3004"/>
      <c r="W79" s="3004"/>
      <c r="X79" s="3004"/>
      <c r="Y79" s="3004"/>
      <c r="Z79" s="3004"/>
      <c r="AA79" s="3004"/>
      <c r="AB79" s="3004"/>
      <c r="AC79" s="3004"/>
      <c r="AD79" s="3004"/>
      <c r="AE79" s="3004"/>
      <c r="AF79" s="3004"/>
      <c r="AG79" s="3004"/>
      <c r="AH79" s="3004"/>
      <c r="AI79" s="3004"/>
      <c r="AJ79" s="3005"/>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42">
        <f>Application!AH753</f>
        <v>0.56981132075471697</v>
      </c>
      <c r="F81" s="3043"/>
      <c r="G81" s="3043"/>
      <c r="H81" s="3043"/>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44">
        <f>0.6-ROUNDUP(E81,2)</f>
        <v>2.9999999999999916E-2</v>
      </c>
      <c r="F82" s="3045"/>
      <c r="G82" s="3045"/>
      <c r="H82" s="3045"/>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54">
        <f>IF(E82*200&gt;20,20,E82*200)</f>
        <v>5.9999999999999831</v>
      </c>
      <c r="F83" s="3055"/>
      <c r="G83" s="3055"/>
      <c r="H83" s="3055"/>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006" t="s">
        <v>580</v>
      </c>
      <c r="C86" s="3006"/>
      <c r="D86" s="942" t="s">
        <v>1601</v>
      </c>
      <c r="E86" s="3000" t="s">
        <v>2240</v>
      </c>
      <c r="F86" s="3001"/>
      <c r="G86" s="3001"/>
      <c r="H86" s="3001"/>
      <c r="I86" s="3001"/>
      <c r="J86" s="3001"/>
      <c r="K86" s="3001"/>
      <c r="L86" s="3001"/>
      <c r="M86" s="3001"/>
      <c r="N86" s="3001"/>
      <c r="O86" s="3001"/>
      <c r="P86" s="3001"/>
      <c r="Q86" s="3001"/>
      <c r="R86" s="3001"/>
      <c r="S86" s="3001"/>
      <c r="T86" s="3001"/>
      <c r="U86" s="3001"/>
      <c r="V86" s="3001"/>
      <c r="W86" s="3001"/>
      <c r="X86" s="3001"/>
      <c r="Y86" s="3001"/>
      <c r="Z86" s="3001"/>
      <c r="AA86" s="3001"/>
      <c r="AB86" s="3001"/>
      <c r="AC86" s="3001"/>
      <c r="AD86" s="3001"/>
      <c r="AE86" s="3001"/>
      <c r="AF86" s="3001"/>
      <c r="AG86" s="3001"/>
      <c r="AH86" s="3001"/>
      <c r="AI86" s="3001"/>
      <c r="AJ86" s="3002"/>
      <c r="AK86" s="938"/>
      <c r="AL86" s="935"/>
      <c r="AM86" s="935"/>
      <c r="AN86" s="931"/>
    </row>
    <row r="87" spans="1:47" s="932" customFormat="1" ht="12.75" customHeight="1">
      <c r="A87" s="933"/>
      <c r="B87" s="934"/>
      <c r="C87" s="934"/>
      <c r="D87" s="934"/>
      <c r="E87" s="3003"/>
      <c r="F87" s="3004"/>
      <c r="G87" s="3004"/>
      <c r="H87" s="3004"/>
      <c r="I87" s="3004"/>
      <c r="J87" s="3004"/>
      <c r="K87" s="3004"/>
      <c r="L87" s="3004"/>
      <c r="M87" s="3004"/>
      <c r="N87" s="3004"/>
      <c r="O87" s="3004"/>
      <c r="P87" s="3004"/>
      <c r="Q87" s="3004"/>
      <c r="R87" s="3004"/>
      <c r="S87" s="3004"/>
      <c r="T87" s="3004"/>
      <c r="U87" s="3004"/>
      <c r="V87" s="3004"/>
      <c r="W87" s="3004"/>
      <c r="X87" s="3004"/>
      <c r="Y87" s="3004"/>
      <c r="Z87" s="3004"/>
      <c r="AA87" s="3004"/>
      <c r="AB87" s="3004"/>
      <c r="AC87" s="3004"/>
      <c r="AD87" s="3004"/>
      <c r="AE87" s="3004"/>
      <c r="AF87" s="3004"/>
      <c r="AG87" s="3004"/>
      <c r="AH87" s="3004"/>
      <c r="AI87" s="3004"/>
      <c r="AJ87" s="3005"/>
      <c r="AK87" s="938"/>
      <c r="AL87" s="935"/>
      <c r="AM87" s="935"/>
      <c r="AN87" s="931"/>
    </row>
    <row r="88" spans="1:47" s="932" customFormat="1" ht="12.75" customHeight="1">
      <c r="A88" s="933"/>
      <c r="B88" s="934"/>
      <c r="C88" s="934"/>
      <c r="D88" s="934"/>
      <c r="E88" s="3003"/>
      <c r="F88" s="3004"/>
      <c r="G88" s="3004"/>
      <c r="H88" s="3004"/>
      <c r="I88" s="3004"/>
      <c r="J88" s="3004"/>
      <c r="K88" s="3004"/>
      <c r="L88" s="3004"/>
      <c r="M88" s="3004"/>
      <c r="N88" s="3004"/>
      <c r="O88" s="3004"/>
      <c r="P88" s="3004"/>
      <c r="Q88" s="3004"/>
      <c r="R88" s="3004"/>
      <c r="S88" s="3004"/>
      <c r="T88" s="3004"/>
      <c r="U88" s="3004"/>
      <c r="V88" s="3004"/>
      <c r="W88" s="3004"/>
      <c r="X88" s="3004"/>
      <c r="Y88" s="3004"/>
      <c r="Z88" s="3004"/>
      <c r="AA88" s="3004"/>
      <c r="AB88" s="3004"/>
      <c r="AC88" s="3004"/>
      <c r="AD88" s="3004"/>
      <c r="AE88" s="3004"/>
      <c r="AF88" s="3004"/>
      <c r="AG88" s="3004"/>
      <c r="AH88" s="3004"/>
      <c r="AI88" s="3004"/>
      <c r="AJ88" s="3005"/>
      <c r="AK88" s="938"/>
      <c r="AL88" s="935"/>
      <c r="AM88" s="935"/>
      <c r="AN88" s="931"/>
    </row>
    <row r="89" spans="1:47" s="932" customFormat="1" ht="12.75" customHeight="1">
      <c r="A89" s="933"/>
      <c r="B89" s="934"/>
      <c r="C89" s="934"/>
      <c r="D89" s="934"/>
      <c r="E89" s="3003"/>
      <c r="F89" s="3004"/>
      <c r="G89" s="3004"/>
      <c r="H89" s="3004"/>
      <c r="I89" s="3004"/>
      <c r="J89" s="3004"/>
      <c r="K89" s="3004"/>
      <c r="L89" s="3004"/>
      <c r="M89" s="3004"/>
      <c r="N89" s="3004"/>
      <c r="O89" s="3004"/>
      <c r="P89" s="3004"/>
      <c r="Q89" s="3004"/>
      <c r="R89" s="3004"/>
      <c r="S89" s="3004"/>
      <c r="T89" s="3004"/>
      <c r="U89" s="3004"/>
      <c r="V89" s="3004"/>
      <c r="W89" s="3004"/>
      <c r="X89" s="3004"/>
      <c r="Y89" s="3004"/>
      <c r="Z89" s="3004"/>
      <c r="AA89" s="3004"/>
      <c r="AB89" s="3004"/>
      <c r="AC89" s="3004"/>
      <c r="AD89" s="3004"/>
      <c r="AE89" s="3004"/>
      <c r="AF89" s="3004"/>
      <c r="AG89" s="3004"/>
      <c r="AH89" s="3004"/>
      <c r="AI89" s="3004"/>
      <c r="AJ89" s="3005"/>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42">
        <f>Application!AH753</f>
        <v>0.56981132075471697</v>
      </c>
      <c r="F91" s="3043"/>
      <c r="G91" s="3043"/>
      <c r="H91" s="3043"/>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42">
        <f ca="1">SUMIF(Application!AH728:AL752,0.2,Application!G728:J752)/Application!G753+SUMIF(Application!AH728:AL752,0.25,Application!G728:J752)/Application!G753+SUMIF(Application!AH728:AL752,0.3,Application!G728:J752)/Application!G753</f>
        <v>0.10062893081761007</v>
      </c>
      <c r="F92" s="3043"/>
      <c r="G92" s="3043"/>
      <c r="H92" s="3043"/>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42">
        <f ca="1">SUMIF(Application!AH728:AL752,0.35,Application!G728:J752)/Application!G753+SUMIF(Application!AH728:AL752,0.4,Application!G728:J752)/Application!G753+SUMIF(Application!AH728:AL752,0.45,Application!G728:J752)/Application!G753+SUMIF(Application!AH728:AL752,0.5,Application!G728:J752)/Application!G753</f>
        <v>0.10062893081761007</v>
      </c>
      <c r="F93" s="3043"/>
      <c r="G93" s="3043"/>
      <c r="H93" s="3043"/>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59">
        <f ca="1">IF(AND(E91&lt;=0.6,E92&gt;=0.1,OR(E93&gt;=0.1,E92=1)),20,0)</f>
        <v>20</v>
      </c>
      <c r="F94" s="3060"/>
      <c r="G94" s="3060"/>
      <c r="H94" s="3060"/>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39">
        <f ca="1">MAX(AP83,AP94)</f>
        <v>20</v>
      </c>
      <c r="AL97" s="3040"/>
      <c r="AM97" s="3041"/>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07" t="s">
        <v>1598</v>
      </c>
      <c r="AF100" s="3007"/>
      <c r="AG100" s="3007"/>
      <c r="AH100" s="3007"/>
      <c r="AI100" s="3007"/>
      <c r="AJ100" s="3007"/>
      <c r="AK100" s="3007"/>
      <c r="AL100" s="935"/>
      <c r="AM100" s="935"/>
      <c r="AN100" s="931"/>
      <c r="AO100" s="932" t="str">
        <f>Application!B728</f>
        <v>2 Bedrooms</v>
      </c>
      <c r="AQ100" s="932">
        <f>Application!O728</f>
        <v>1538</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1270</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735</v>
      </c>
    </row>
    <row r="103" spans="1:49" s="932" customFormat="1" ht="12.75" customHeight="1">
      <c r="A103" s="935"/>
      <c r="B103" s="3006" t="s">
        <v>580</v>
      </c>
      <c r="C103" s="3006"/>
      <c r="D103" s="942" t="s">
        <v>1599</v>
      </c>
      <c r="E103" s="3000" t="s">
        <v>2452</v>
      </c>
      <c r="F103" s="3001"/>
      <c r="G103" s="3001"/>
      <c r="H103" s="3001"/>
      <c r="I103" s="3001"/>
      <c r="J103" s="3001"/>
      <c r="K103" s="3001"/>
      <c r="L103" s="3001"/>
      <c r="M103" s="3001"/>
      <c r="N103" s="3001"/>
      <c r="O103" s="3001"/>
      <c r="P103" s="3001"/>
      <c r="Q103" s="3001"/>
      <c r="R103" s="3001"/>
      <c r="S103" s="3001"/>
      <c r="T103" s="3001"/>
      <c r="U103" s="3001"/>
      <c r="V103" s="3001"/>
      <c r="W103" s="3001"/>
      <c r="X103" s="3001"/>
      <c r="Y103" s="3001"/>
      <c r="Z103" s="3001"/>
      <c r="AA103" s="3001"/>
      <c r="AB103" s="3001"/>
      <c r="AC103" s="3001"/>
      <c r="AD103" s="3001"/>
      <c r="AE103" s="3001"/>
      <c r="AF103" s="3001"/>
      <c r="AG103" s="3001"/>
      <c r="AH103" s="3001"/>
      <c r="AI103" s="3001"/>
      <c r="AJ103" s="3002"/>
      <c r="AK103" s="935"/>
      <c r="AL103" s="935"/>
      <c r="AM103" s="935"/>
      <c r="AN103" s="931"/>
      <c r="AO103" s="932" t="str">
        <f>Application!B731</f>
        <v>3 Bedrooms</v>
      </c>
      <c r="AQ103" s="932">
        <f>Application!O731</f>
        <v>1775</v>
      </c>
      <c r="AU103" s="932" t="s">
        <v>2429</v>
      </c>
      <c r="AV103" s="1783" t="s">
        <v>2430</v>
      </c>
      <c r="AW103" s="932" t="s">
        <v>2431</v>
      </c>
    </row>
    <row r="104" spans="1:49" s="932" customFormat="1" ht="12.75" customHeight="1">
      <c r="A104" s="935"/>
      <c r="B104" s="934"/>
      <c r="C104" s="934"/>
      <c r="D104" s="934"/>
      <c r="E104" s="3003"/>
      <c r="F104" s="3004"/>
      <c r="G104" s="3004"/>
      <c r="H104" s="3004"/>
      <c r="I104" s="3004"/>
      <c r="J104" s="3004"/>
      <c r="K104" s="3004"/>
      <c r="L104" s="3004"/>
      <c r="M104" s="3004"/>
      <c r="N104" s="3004"/>
      <c r="O104" s="3004"/>
      <c r="P104" s="3004"/>
      <c r="Q104" s="3004"/>
      <c r="R104" s="3004"/>
      <c r="S104" s="3004"/>
      <c r="T104" s="3004"/>
      <c r="U104" s="3004"/>
      <c r="V104" s="3004"/>
      <c r="W104" s="3004"/>
      <c r="X104" s="3004"/>
      <c r="Y104" s="3004"/>
      <c r="Z104" s="3004"/>
      <c r="AA104" s="3004"/>
      <c r="AB104" s="3004"/>
      <c r="AC104" s="3004"/>
      <c r="AD104" s="3004"/>
      <c r="AE104" s="3004"/>
      <c r="AF104" s="3004"/>
      <c r="AG104" s="3004"/>
      <c r="AH104" s="3004"/>
      <c r="AI104" s="3004"/>
      <c r="AJ104" s="3005"/>
      <c r="AK104" s="935"/>
      <c r="AL104" s="935"/>
      <c r="AM104" s="935"/>
      <c r="AN104" s="931"/>
      <c r="AO104" s="932" t="str">
        <f>Application!B732</f>
        <v>3 Bedrooms</v>
      </c>
      <c r="AQ104" s="932">
        <f>Application!O732</f>
        <v>1465</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003"/>
      <c r="F105" s="3004"/>
      <c r="G105" s="3004"/>
      <c r="H105" s="3004"/>
      <c r="I105" s="3004"/>
      <c r="J105" s="3004"/>
      <c r="K105" s="3004"/>
      <c r="L105" s="3004"/>
      <c r="M105" s="3004"/>
      <c r="N105" s="3004"/>
      <c r="O105" s="3004"/>
      <c r="P105" s="3004"/>
      <c r="Q105" s="3004"/>
      <c r="R105" s="3004"/>
      <c r="S105" s="3004"/>
      <c r="T105" s="3004"/>
      <c r="U105" s="3004"/>
      <c r="V105" s="3004"/>
      <c r="W105" s="3004"/>
      <c r="X105" s="3004"/>
      <c r="Y105" s="3004"/>
      <c r="Z105" s="3004"/>
      <c r="AA105" s="3004"/>
      <c r="AB105" s="3004"/>
      <c r="AC105" s="3004"/>
      <c r="AD105" s="3004"/>
      <c r="AE105" s="3004"/>
      <c r="AF105" s="3004"/>
      <c r="AG105" s="3004"/>
      <c r="AH105" s="3004"/>
      <c r="AI105" s="3004"/>
      <c r="AJ105" s="3005"/>
      <c r="AK105" s="935"/>
      <c r="AL105" s="935"/>
      <c r="AM105" s="935"/>
      <c r="AN105" s="931"/>
      <c r="AO105" s="932" t="str">
        <f>Application!B733</f>
        <v>3 Bedrooms</v>
      </c>
      <c r="AQ105" s="932">
        <f>Application!O733</f>
        <v>846</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3003"/>
      <c r="F106" s="3004"/>
      <c r="G106" s="3004"/>
      <c r="H106" s="3004"/>
      <c r="I106" s="3004"/>
      <c r="J106" s="3004"/>
      <c r="K106" s="3004"/>
      <c r="L106" s="3004"/>
      <c r="M106" s="3004"/>
      <c r="N106" s="3004"/>
      <c r="O106" s="3004"/>
      <c r="P106" s="3004"/>
      <c r="Q106" s="3004"/>
      <c r="R106" s="3004"/>
      <c r="S106" s="3004"/>
      <c r="T106" s="3004"/>
      <c r="U106" s="3004"/>
      <c r="V106" s="3004"/>
      <c r="W106" s="3004"/>
      <c r="X106" s="3004"/>
      <c r="Y106" s="3004"/>
      <c r="Z106" s="3004"/>
      <c r="AA106" s="3004"/>
      <c r="AB106" s="3004"/>
      <c r="AC106" s="3004"/>
      <c r="AD106" s="3004"/>
      <c r="AE106" s="3004"/>
      <c r="AF106" s="3004"/>
      <c r="AG106" s="3004"/>
      <c r="AH106" s="3004"/>
      <c r="AI106" s="3004"/>
      <c r="AJ106" s="3005"/>
      <c r="AK106" s="935"/>
      <c r="AL106" s="935"/>
      <c r="AM106" s="935"/>
      <c r="AN106" s="931"/>
      <c r="AO106" s="932" t="str">
        <f>Application!B734</f>
        <v>4 Bedrooms</v>
      </c>
      <c r="AQ106" s="932">
        <f>Application!O734</f>
        <v>1978</v>
      </c>
      <c r="AU106" s="1786" t="str">
        <f>O112</f>
        <v>2-bedroom</v>
      </c>
      <c r="AV106" s="932">
        <f t="array" ref="AV106">SUM(IF(Application!B728:F752="2 Bedrooms",Application!G728:J752))</f>
        <v>70</v>
      </c>
      <c r="AW106" s="1821">
        <f>AV106/AV110</f>
        <v>0.44025157232704404</v>
      </c>
    </row>
    <row r="107" spans="1:49" s="932" customFormat="1" ht="12.75" customHeight="1">
      <c r="A107" s="935"/>
      <c r="B107" s="934"/>
      <c r="C107" s="934"/>
      <c r="D107" s="934"/>
      <c r="E107" s="3003"/>
      <c r="F107" s="3004"/>
      <c r="G107" s="3004"/>
      <c r="H107" s="3004"/>
      <c r="I107" s="3004"/>
      <c r="J107" s="3004"/>
      <c r="K107" s="3004"/>
      <c r="L107" s="3004"/>
      <c r="M107" s="3004"/>
      <c r="N107" s="3004"/>
      <c r="O107" s="3004"/>
      <c r="P107" s="3004"/>
      <c r="Q107" s="3004"/>
      <c r="R107" s="3004"/>
      <c r="S107" s="3004"/>
      <c r="T107" s="3004"/>
      <c r="U107" s="3004"/>
      <c r="V107" s="3004"/>
      <c r="W107" s="3004"/>
      <c r="X107" s="3004"/>
      <c r="Y107" s="3004"/>
      <c r="Z107" s="3004"/>
      <c r="AA107" s="3004"/>
      <c r="AB107" s="3004"/>
      <c r="AC107" s="3004"/>
      <c r="AD107" s="3004"/>
      <c r="AE107" s="3004"/>
      <c r="AF107" s="3004"/>
      <c r="AG107" s="3004"/>
      <c r="AH107" s="3004"/>
      <c r="AI107" s="3004"/>
      <c r="AJ107" s="3005"/>
      <c r="AK107" s="935"/>
      <c r="AL107" s="935"/>
      <c r="AM107" s="935"/>
      <c r="AN107" s="931"/>
      <c r="AO107" s="932" t="str">
        <f>Application!B735</f>
        <v>4 Bedrooms</v>
      </c>
      <c r="AQ107" s="932">
        <f>Application!O735</f>
        <v>1633</v>
      </c>
      <c r="AU107" s="1786" t="str">
        <f>T112</f>
        <v>3-bedroom</v>
      </c>
      <c r="AV107" s="932">
        <f t="array" ref="AV107">SUM(IF(Application!B728:F752="3 Bedrooms",Application!G728:J752))</f>
        <v>69</v>
      </c>
      <c r="AW107" s="1821">
        <f>AV107/AV110</f>
        <v>0.43396226415094341</v>
      </c>
    </row>
    <row r="108" spans="1:49" s="932" customFormat="1" ht="12.75" customHeight="1">
      <c r="A108" s="935"/>
      <c r="B108" s="934"/>
      <c r="C108" s="934"/>
      <c r="D108" s="934"/>
      <c r="E108" s="3003"/>
      <c r="F108" s="3004"/>
      <c r="G108" s="3004"/>
      <c r="H108" s="3004"/>
      <c r="I108" s="3004"/>
      <c r="J108" s="3004"/>
      <c r="K108" s="3004"/>
      <c r="L108" s="3004"/>
      <c r="M108" s="3004"/>
      <c r="N108" s="3004"/>
      <c r="O108" s="3004"/>
      <c r="P108" s="3004"/>
      <c r="Q108" s="3004"/>
      <c r="R108" s="3004"/>
      <c r="S108" s="3004"/>
      <c r="T108" s="3004"/>
      <c r="U108" s="3004"/>
      <c r="V108" s="3004"/>
      <c r="W108" s="3004"/>
      <c r="X108" s="3004"/>
      <c r="Y108" s="3004"/>
      <c r="Z108" s="3004"/>
      <c r="AA108" s="3004"/>
      <c r="AB108" s="3004"/>
      <c r="AC108" s="3004"/>
      <c r="AD108" s="3004"/>
      <c r="AE108" s="3004"/>
      <c r="AF108" s="3004"/>
      <c r="AG108" s="3004"/>
      <c r="AH108" s="3004"/>
      <c r="AI108" s="3004"/>
      <c r="AJ108" s="3005"/>
      <c r="AK108" s="935"/>
      <c r="AL108" s="935"/>
      <c r="AM108" s="935"/>
      <c r="AN108" s="931"/>
      <c r="AO108" s="932" t="str">
        <f>Application!B736</f>
        <v>4 Bedrooms</v>
      </c>
      <c r="AQ108" s="932">
        <f>Application!O736</f>
        <v>942</v>
      </c>
      <c r="AU108" s="1786" t="str">
        <f>Y112</f>
        <v>4-bedroom</v>
      </c>
      <c r="AV108" s="932">
        <f t="array" ref="AV108">SUM(IF(Application!B728:F752="4 Bedrooms",Application!G728:J752))</f>
        <v>20</v>
      </c>
      <c r="AW108" s="1821">
        <f>AV108/AV110</f>
        <v>0.12578616352201258</v>
      </c>
    </row>
    <row r="109" spans="1:49" s="932" customFormat="1" ht="12.75" customHeight="1">
      <c r="A109" s="935"/>
      <c r="B109" s="934"/>
      <c r="C109" s="934"/>
      <c r="D109" s="934"/>
      <c r="E109" s="3003"/>
      <c r="F109" s="3004"/>
      <c r="G109" s="3004"/>
      <c r="H109" s="3004"/>
      <c r="I109" s="3004"/>
      <c r="J109" s="3004"/>
      <c r="K109" s="3004"/>
      <c r="L109" s="3004"/>
      <c r="M109" s="3004"/>
      <c r="N109" s="3004"/>
      <c r="O109" s="3004"/>
      <c r="P109" s="3004"/>
      <c r="Q109" s="3004"/>
      <c r="R109" s="3004"/>
      <c r="S109" s="3004"/>
      <c r="T109" s="3004"/>
      <c r="U109" s="3004"/>
      <c r="V109" s="3004"/>
      <c r="W109" s="3004"/>
      <c r="X109" s="3004"/>
      <c r="Y109" s="3004"/>
      <c r="Z109" s="3004"/>
      <c r="AA109" s="3004"/>
      <c r="AB109" s="3004"/>
      <c r="AC109" s="3004"/>
      <c r="AD109" s="3004"/>
      <c r="AE109" s="3004"/>
      <c r="AF109" s="3004"/>
      <c r="AG109" s="3004"/>
      <c r="AH109" s="3004"/>
      <c r="AI109" s="3004"/>
      <c r="AJ109" s="3005"/>
      <c r="AK109" s="935"/>
      <c r="AL109" s="935"/>
      <c r="AM109" s="935"/>
      <c r="AN109" s="931"/>
      <c r="AO109" s="932" t="str">
        <f>Application!B737</f>
        <v>2 Bedrooms</v>
      </c>
      <c r="AQ109" s="932">
        <f>Application!O737</f>
        <v>1805.6666666666667</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003"/>
      <c r="F110" s="3004"/>
      <c r="G110" s="3004"/>
      <c r="H110" s="3004"/>
      <c r="I110" s="3004"/>
      <c r="J110" s="3004"/>
      <c r="K110" s="3004"/>
      <c r="L110" s="3004"/>
      <c r="M110" s="3004"/>
      <c r="N110" s="3004"/>
      <c r="O110" s="3004"/>
      <c r="P110" s="3004"/>
      <c r="Q110" s="3004"/>
      <c r="R110" s="3004"/>
      <c r="S110" s="3004"/>
      <c r="T110" s="3004"/>
      <c r="U110" s="3004"/>
      <c r="V110" s="3004"/>
      <c r="W110" s="3004"/>
      <c r="X110" s="3004"/>
      <c r="Y110" s="3004"/>
      <c r="Z110" s="3004"/>
      <c r="AA110" s="3004"/>
      <c r="AB110" s="3004"/>
      <c r="AC110" s="3004"/>
      <c r="AD110" s="3004"/>
      <c r="AE110" s="3004"/>
      <c r="AF110" s="3004"/>
      <c r="AG110" s="3004"/>
      <c r="AH110" s="3004"/>
      <c r="AI110" s="3004"/>
      <c r="AJ110" s="3005"/>
      <c r="AK110" s="935"/>
      <c r="AL110" s="935"/>
      <c r="AM110" s="935"/>
      <c r="AN110" s="931"/>
      <c r="AO110" s="932" t="str">
        <f>Application!B738</f>
        <v>3 Bedrooms</v>
      </c>
      <c r="AQ110" s="932">
        <f>Application!O738</f>
        <v>2083.5</v>
      </c>
      <c r="AV110" s="932">
        <f>SUM(AV104:AV109)</f>
        <v>159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4 Bedrooms</v>
      </c>
      <c r="AQ111" s="932">
        <f>Application!O739</f>
        <v>2323.1666666666665</v>
      </c>
    </row>
    <row r="112" spans="1:49" s="932" customFormat="1" ht="12.75" customHeight="1">
      <c r="A112" s="935"/>
      <c r="B112" s="934"/>
      <c r="C112" s="935"/>
      <c r="D112" s="935"/>
      <c r="E112" s="3042" t="s">
        <v>1900</v>
      </c>
      <c r="F112" s="3043"/>
      <c r="G112" s="3043"/>
      <c r="H112" s="3043"/>
      <c r="I112" s="1475"/>
      <c r="J112" s="3043" t="s">
        <v>1994</v>
      </c>
      <c r="K112" s="3043"/>
      <c r="L112" s="3043"/>
      <c r="M112" s="3043"/>
      <c r="N112" s="1475"/>
      <c r="O112" s="3043" t="s">
        <v>1995</v>
      </c>
      <c r="P112" s="3043"/>
      <c r="Q112" s="3043"/>
      <c r="R112" s="3043"/>
      <c r="S112" s="1475"/>
      <c r="T112" s="3043" t="s">
        <v>1618</v>
      </c>
      <c r="U112" s="3043"/>
      <c r="V112" s="3043"/>
      <c r="W112" s="3043"/>
      <c r="X112" s="1475"/>
      <c r="Y112" s="3043" t="s">
        <v>1996</v>
      </c>
      <c r="Z112" s="3043"/>
      <c r="AA112" s="3043"/>
      <c r="AB112" s="3043"/>
      <c r="AC112" s="1475"/>
      <c r="AD112" s="3043" t="s">
        <v>1997</v>
      </c>
      <c r="AE112" s="3043"/>
      <c r="AF112" s="3043"/>
      <c r="AG112" s="3043"/>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61"/>
      <c r="F115" s="3062"/>
      <c r="G115" s="3062"/>
      <c r="H115" s="3062"/>
      <c r="I115" s="1477"/>
      <c r="J115" s="3062"/>
      <c r="K115" s="3062"/>
      <c r="L115" s="3062"/>
      <c r="M115" s="3062"/>
      <c r="N115" s="1477"/>
      <c r="O115" s="3062">
        <v>2016</v>
      </c>
      <c r="P115" s="3062"/>
      <c r="Q115" s="3062"/>
      <c r="R115" s="3062"/>
      <c r="S115" s="1477"/>
      <c r="T115" s="3062">
        <v>2365</v>
      </c>
      <c r="U115" s="3062"/>
      <c r="V115" s="3062"/>
      <c r="W115" s="3062"/>
      <c r="X115" s="1477"/>
      <c r="Y115" s="3062">
        <v>2690</v>
      </c>
      <c r="Z115" s="3062"/>
      <c r="AA115" s="3062"/>
      <c r="AB115" s="3062"/>
      <c r="AC115" s="1477"/>
      <c r="AD115" s="3062"/>
      <c r="AE115" s="3062"/>
      <c r="AF115" s="3062"/>
      <c r="AG115" s="3062"/>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63">
        <f>Application!DX663</f>
        <v>0</v>
      </c>
      <c r="F118" s="3011"/>
      <c r="G118" s="3011"/>
      <c r="H118" s="3011"/>
      <c r="I118" s="1477"/>
      <c r="J118" s="3011">
        <f>Application!EC663</f>
        <v>0</v>
      </c>
      <c r="K118" s="3011"/>
      <c r="L118" s="3011"/>
      <c r="M118" s="3011"/>
      <c r="N118" s="1477"/>
      <c r="O118" s="3011">
        <f>Application!EH663</f>
        <v>1457.6666666666665</v>
      </c>
      <c r="P118" s="3011"/>
      <c r="Q118" s="3011"/>
      <c r="R118" s="3011"/>
      <c r="S118" s="1481"/>
      <c r="T118" s="3011">
        <f>Application!EM663</f>
        <v>1680.6014492753625</v>
      </c>
      <c r="U118" s="3011"/>
      <c r="V118" s="3011"/>
      <c r="W118" s="3011"/>
      <c r="X118" s="1481"/>
      <c r="Y118" s="3011">
        <f>Application!ER663</f>
        <v>1874.4166666666665</v>
      </c>
      <c r="Z118" s="3011"/>
      <c r="AA118" s="3011"/>
      <c r="AB118" s="3011"/>
      <c r="AC118" s="1481"/>
      <c r="AD118" s="3011">
        <f>Application!EW663</f>
        <v>0</v>
      </c>
      <c r="AE118" s="3011"/>
      <c r="AF118" s="3011"/>
      <c r="AG118" s="3011"/>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65" t="e">
        <f>(E115-E118)/E115</f>
        <v>#DIV/0!</v>
      </c>
      <c r="F121" s="3266"/>
      <c r="G121" s="3266"/>
      <c r="H121" s="3267"/>
      <c r="I121" s="973"/>
      <c r="J121" s="3265" t="e">
        <f>(J115-J118)/J115</f>
        <v>#DIV/0!</v>
      </c>
      <c r="K121" s="3266"/>
      <c r="L121" s="3266"/>
      <c r="M121" s="3267"/>
      <c r="N121" s="973"/>
      <c r="O121" s="3265">
        <f>(O115-O118)/O115</f>
        <v>0.27695105820105825</v>
      </c>
      <c r="P121" s="3266"/>
      <c r="Q121" s="3266"/>
      <c r="R121" s="3267"/>
      <c r="S121" s="973"/>
      <c r="T121" s="3265">
        <f>(T115-T118)/T115</f>
        <v>0.28938627937616807</v>
      </c>
      <c r="U121" s="3266"/>
      <c r="V121" s="3266"/>
      <c r="W121" s="3267"/>
      <c r="X121" s="973"/>
      <c r="Y121" s="3265">
        <f>(Y115-Y118)/Y115</f>
        <v>0.30319083023543997</v>
      </c>
      <c r="Z121" s="3266"/>
      <c r="AA121" s="3266"/>
      <c r="AB121" s="3267"/>
      <c r="AC121" s="973"/>
      <c r="AD121" s="3265" t="e">
        <f>(AD115-AD118)/AD115</f>
        <v>#DIV/0!</v>
      </c>
      <c r="AE121" s="3266"/>
      <c r="AF121" s="3266"/>
      <c r="AG121" s="3267"/>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008" t="e">
        <f>IF(((E121-0.1)*AW104)&gt;0,((E121-0.1)*AW104),0)</f>
        <v>#DIV/0!</v>
      </c>
      <c r="F124" s="3009"/>
      <c r="G124" s="3009"/>
      <c r="H124" s="3010"/>
      <c r="I124" s="973"/>
      <c r="J124" s="3008" t="e">
        <f>IF(((J121-0.1)*AW105)&gt;0,((J121-0.1)*AW105),0)</f>
        <v>#DIV/0!</v>
      </c>
      <c r="K124" s="3009"/>
      <c r="L124" s="3009"/>
      <c r="M124" s="3010"/>
      <c r="N124" s="973"/>
      <c r="O124" s="3008">
        <f>IF(((O121-0.1)*AW106)&gt;0,((O121-0.1)*AW106),0)</f>
        <v>7.7902981597950172E-2</v>
      </c>
      <c r="P124" s="3009"/>
      <c r="Q124" s="3009"/>
      <c r="R124" s="3010"/>
      <c r="S124" s="973"/>
      <c r="T124" s="3008">
        <f>IF(((T121-0.1)*AW107)&gt;0,((T121-0.1)*AW107),0)</f>
        <v>8.2186498597205004E-2</v>
      </c>
      <c r="U124" s="3009"/>
      <c r="V124" s="3009"/>
      <c r="W124" s="3010"/>
      <c r="X124" s="973"/>
      <c r="Y124" s="3008">
        <f>IF(((Y121-0.1)*AW108)&gt;0,((Y121-0.1)*AW108),0)</f>
        <v>2.5558594998168548E-2</v>
      </c>
      <c r="Z124" s="3009"/>
      <c r="AA124" s="3009"/>
      <c r="AB124" s="3010"/>
      <c r="AC124" s="973"/>
      <c r="AD124" s="3008" t="e">
        <f>IF(((AD121-0.1)*AW109)&gt;0,((AD121-0.1)*AW109),0)</f>
        <v>#DIV/0!</v>
      </c>
      <c r="AE124" s="3009"/>
      <c r="AF124" s="3009"/>
      <c r="AG124" s="301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65">
        <f>ROUNDDOWN(SUMIF(E124:AG124,"&gt;0"),2)</f>
        <v>0.18</v>
      </c>
      <c r="F126" s="3266"/>
      <c r="G126" s="3266"/>
      <c r="H126" s="3267"/>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39">
        <f>IF((E126*100)&gt;10,10,E126*100)</f>
        <v>10</v>
      </c>
      <c r="F127" s="3040"/>
      <c r="G127" s="3040"/>
      <c r="H127" s="3041"/>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39">
        <f>E127</f>
        <v>10</v>
      </c>
      <c r="AL131" s="3040"/>
      <c r="AM131" s="3041"/>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007" t="s">
        <v>1598</v>
      </c>
      <c r="AF134" s="3007"/>
      <c r="AG134" s="3007"/>
      <c r="AH134" s="3007"/>
      <c r="AI134" s="3007"/>
      <c r="AJ134" s="3007"/>
      <c r="AK134" s="3007"/>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57" t="s">
        <v>1622</v>
      </c>
      <c r="AG136" s="3057"/>
      <c r="AH136" s="3057"/>
      <c r="AI136" s="3057"/>
      <c r="AJ136" s="3057"/>
      <c r="AK136" s="3057"/>
      <c r="AL136" s="3057"/>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58" t="s">
        <v>2582</v>
      </c>
      <c r="C138" s="3058"/>
      <c r="D138" s="3058"/>
      <c r="E138" s="3058"/>
      <c r="F138" s="3058"/>
      <c r="G138" s="3058"/>
      <c r="H138" s="3058"/>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58"/>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84" t="s">
        <v>1625</v>
      </c>
      <c r="C141" s="3084"/>
      <c r="D141" s="3084"/>
      <c r="E141" s="3084"/>
      <c r="F141" s="3084"/>
      <c r="G141" s="3084"/>
      <c r="H141" s="3084"/>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84"/>
      <c r="AD141" s="3084"/>
      <c r="AE141" s="3084"/>
      <c r="AF141" s="3084"/>
      <c r="AG141" s="3084"/>
      <c r="AH141" s="3084"/>
      <c r="AI141" s="3084"/>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85" t="s">
        <v>628</v>
      </c>
      <c r="AC143" s="3085"/>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84" t="s">
        <v>1627</v>
      </c>
      <c r="C146" s="3084"/>
      <c r="D146" s="3084"/>
      <c r="E146" s="3084"/>
      <c r="F146" s="3084"/>
      <c r="G146" s="3084"/>
      <c r="H146" s="3084"/>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84"/>
      <c r="AD146" s="3084"/>
      <c r="AE146" s="3084"/>
      <c r="AF146" s="3084"/>
      <c r="AG146" s="3084"/>
      <c r="AH146" s="3084"/>
      <c r="AI146" s="3084"/>
      <c r="AJ146" s="3084"/>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56">
        <f>IF($AB$143="N/A",VLOOKUP($B$141,$AO$139:$AP$142,2,FALSE),VLOOKUP($B$146,$AO$144:$AP$147,2,FALSE))</f>
        <v>7</v>
      </c>
      <c r="AK149" s="3056"/>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57" t="s">
        <v>1636</v>
      </c>
      <c r="AG151" s="3057"/>
      <c r="AH151" s="3057"/>
      <c r="AI151" s="3057"/>
      <c r="AJ151" s="3057"/>
      <c r="AK151" s="3057"/>
      <c r="AL151" s="3057"/>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84" t="s">
        <v>1634</v>
      </c>
      <c r="D153" s="3084"/>
      <c r="E153" s="3084"/>
      <c r="F153" s="3084"/>
      <c r="G153" s="3084"/>
      <c r="H153" s="3084"/>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84"/>
      <c r="AD153" s="3084"/>
      <c r="AE153" s="3084"/>
      <c r="AF153" s="3084"/>
      <c r="AG153" s="3084"/>
      <c r="AH153" s="3084"/>
      <c r="AI153" s="3084"/>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85" t="s">
        <v>628</v>
      </c>
      <c r="AD155" s="3085"/>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84" t="s">
        <v>1627</v>
      </c>
      <c r="D157" s="3084"/>
      <c r="E157" s="3084"/>
      <c r="F157" s="3084"/>
      <c r="G157" s="3084"/>
      <c r="H157" s="3084"/>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84"/>
      <c r="AD157" s="3084"/>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58" t="s">
        <v>2580</v>
      </c>
      <c r="D161" s="3058"/>
      <c r="E161" s="3058"/>
      <c r="F161" s="3058"/>
      <c r="G161" s="3058"/>
      <c r="H161" s="3058"/>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58"/>
      <c r="AD161" s="3058"/>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86">
        <f>IF($AC$155="N/A",VLOOKUP($C$153,$AO$153:$AP$156,2,FALSE),VLOOKUP($C$157,$AO$160:$AP$162,2,FALSE))</f>
        <v>3</v>
      </c>
      <c r="AK163" s="3086"/>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39">
        <f>$AJ$149+$AJ$163</f>
        <v>10</v>
      </c>
      <c r="AL166" s="3040"/>
      <c r="AM166" s="3041"/>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1" t="s">
        <v>1598</v>
      </c>
      <c r="AF169" s="3081"/>
      <c r="AG169" s="3081"/>
      <c r="AH169" s="3081"/>
      <c r="AI169" s="3081"/>
      <c r="AJ169" s="3081"/>
      <c r="AK169" s="3081"/>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82" t="s">
        <v>1159</v>
      </c>
      <c r="C171" s="3082"/>
      <c r="D171" s="3082"/>
      <c r="E171" s="3082"/>
      <c r="F171" s="3082"/>
      <c r="G171" s="3082"/>
      <c r="H171" s="3082"/>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82"/>
      <c r="AD171" s="1025"/>
      <c r="AE171" s="1025"/>
      <c r="AF171" s="3057" t="s">
        <v>1647</v>
      </c>
      <c r="AG171" s="3057"/>
      <c r="AH171" s="3057"/>
      <c r="AI171" s="3057"/>
      <c r="AJ171" s="3057"/>
      <c r="AK171" s="3057"/>
      <c r="AL171" s="3057"/>
      <c r="AN171" s="1002"/>
      <c r="AP171" s="945" t="s">
        <v>1161</v>
      </c>
      <c r="AQ171" s="945">
        <v>10</v>
      </c>
    </row>
    <row r="172" spans="1:81" s="945" customFormat="1" ht="12.75" customHeight="1">
      <c r="A172" s="929"/>
      <c r="B172" s="3083" t="s">
        <v>2241</v>
      </c>
      <c r="C172" s="3083"/>
      <c r="D172" s="3083"/>
      <c r="E172" s="3083"/>
      <c r="F172" s="3083"/>
      <c r="G172" s="3083"/>
      <c r="H172" s="3083"/>
      <c r="I172" s="3083"/>
      <c r="J172" s="3083"/>
      <c r="K172" s="3083"/>
      <c r="L172" s="3083"/>
      <c r="M172" s="3083"/>
      <c r="N172" s="3083"/>
      <c r="O172" s="3083"/>
      <c r="P172" s="3083"/>
      <c r="Q172" s="3083"/>
      <c r="R172" s="3083"/>
      <c r="S172" s="3083"/>
      <c r="T172" s="3058" t="s">
        <v>628</v>
      </c>
      <c r="U172" s="3058"/>
      <c r="V172" s="3058"/>
      <c r="W172" s="3058"/>
      <c r="X172" s="3058"/>
      <c r="Y172" s="3058"/>
      <c r="Z172" s="3058"/>
      <c r="AA172" s="3058"/>
      <c r="AB172" s="3058"/>
      <c r="AC172" s="3058"/>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98">
        <f>IF(AK72&gt;0,VLOOKUP($B$171,AP168:AQ175,2,FALSE),0)</f>
        <v>10</v>
      </c>
      <c r="AL174" s="3099"/>
      <c r="AM174" s="3100"/>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1" t="s">
        <v>1656</v>
      </c>
      <c r="AF177" s="3081"/>
      <c r="AG177" s="3081"/>
      <c r="AH177" s="3081"/>
      <c r="AI177" s="3081"/>
      <c r="AJ177" s="3081"/>
      <c r="AK177" s="3081"/>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89" t="s">
        <v>2562</v>
      </c>
      <c r="C182" s="3089"/>
      <c r="D182" s="3089"/>
      <c r="E182" s="3089"/>
      <c r="F182" s="3089"/>
      <c r="G182" s="3089"/>
      <c r="H182" s="3089"/>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1399"/>
      <c r="AD182" s="3067">
        <v>7000000</v>
      </c>
      <c r="AE182" s="3067"/>
      <c r="AF182" s="3067"/>
      <c r="AG182" s="3067"/>
      <c r="AH182" s="3067"/>
      <c r="AI182" s="3067"/>
      <c r="AJ182" s="3067"/>
      <c r="AK182" s="1026"/>
    </row>
    <row r="183" spans="1:37">
      <c r="A183" s="1018"/>
      <c r="B183" s="3066"/>
      <c r="C183" s="3066"/>
      <c r="D183" s="3066"/>
      <c r="E183" s="3066"/>
      <c r="F183" s="3066"/>
      <c r="G183" s="3066"/>
      <c r="H183" s="3066"/>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1399"/>
      <c r="AD183" s="3067"/>
      <c r="AE183" s="3067"/>
      <c r="AF183" s="3067"/>
      <c r="AG183" s="3067"/>
      <c r="AH183" s="3067"/>
      <c r="AI183" s="3067"/>
      <c r="AJ183" s="3067"/>
      <c r="AK183" s="1026"/>
    </row>
    <row r="184" spans="1:37">
      <c r="A184" s="1018"/>
      <c r="B184" s="3066"/>
      <c r="C184" s="3066"/>
      <c r="D184" s="3066"/>
      <c r="E184" s="3066"/>
      <c r="F184" s="3066"/>
      <c r="G184" s="3066"/>
      <c r="H184" s="3066"/>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1399"/>
      <c r="AD184" s="3067"/>
      <c r="AE184" s="3067"/>
      <c r="AF184" s="3067"/>
      <c r="AG184" s="3067"/>
      <c r="AH184" s="3067"/>
      <c r="AI184" s="3067"/>
      <c r="AJ184" s="3067"/>
      <c r="AK184" s="1026"/>
    </row>
    <row r="185" spans="1:37">
      <c r="A185" s="1018"/>
      <c r="B185" s="3066"/>
      <c r="C185" s="3066"/>
      <c r="D185" s="3066"/>
      <c r="E185" s="3066"/>
      <c r="F185" s="3066"/>
      <c r="G185" s="3066"/>
      <c r="H185" s="3066"/>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1399"/>
      <c r="AD185" s="3067"/>
      <c r="AE185" s="3067"/>
      <c r="AF185" s="3067"/>
      <c r="AG185" s="3067"/>
      <c r="AH185" s="3067"/>
      <c r="AI185" s="3067"/>
      <c r="AJ185" s="3067"/>
      <c r="AK185" s="1026"/>
    </row>
    <row r="186" spans="1:37">
      <c r="A186" s="1018"/>
      <c r="B186" s="3066"/>
      <c r="C186" s="3066"/>
      <c r="D186" s="3066"/>
      <c r="E186" s="3066"/>
      <c r="F186" s="3066"/>
      <c r="G186" s="3066"/>
      <c r="H186" s="3066"/>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1399"/>
      <c r="AD186" s="3067"/>
      <c r="AE186" s="3067"/>
      <c r="AF186" s="3067"/>
      <c r="AG186" s="3067"/>
      <c r="AH186" s="3067"/>
      <c r="AI186" s="3067"/>
      <c r="AJ186" s="3067"/>
      <c r="AK186" s="1026"/>
    </row>
    <row r="187" spans="1:37">
      <c r="A187" s="1018"/>
      <c r="B187" s="3066"/>
      <c r="C187" s="3066"/>
      <c r="D187" s="3066"/>
      <c r="E187" s="3066"/>
      <c r="F187" s="3066"/>
      <c r="G187" s="3066"/>
      <c r="H187" s="3066"/>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1399"/>
      <c r="AD187" s="3067"/>
      <c r="AE187" s="3067"/>
      <c r="AF187" s="3067"/>
      <c r="AG187" s="3067"/>
      <c r="AH187" s="3067"/>
      <c r="AI187" s="3067"/>
      <c r="AJ187" s="3067"/>
      <c r="AK187" s="1026"/>
    </row>
    <row r="188" spans="1:37">
      <c r="A188" s="1018"/>
      <c r="B188" s="3066"/>
      <c r="C188" s="3066"/>
      <c r="D188" s="3066"/>
      <c r="E188" s="3066"/>
      <c r="F188" s="3066"/>
      <c r="G188" s="3066"/>
      <c r="H188" s="3066"/>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1399"/>
      <c r="AD188" s="3067"/>
      <c r="AE188" s="3067"/>
      <c r="AF188" s="3067"/>
      <c r="AG188" s="3067"/>
      <c r="AH188" s="3067"/>
      <c r="AI188" s="3067"/>
      <c r="AJ188" s="3067"/>
      <c r="AK188" s="1026"/>
    </row>
    <row r="189" spans="1:37">
      <c r="A189" s="1018"/>
      <c r="B189" s="3066"/>
      <c r="C189" s="3066"/>
      <c r="D189" s="3066"/>
      <c r="E189" s="3066"/>
      <c r="F189" s="3066"/>
      <c r="G189" s="3066"/>
      <c r="H189" s="3066"/>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1399"/>
      <c r="AD189" s="3067"/>
      <c r="AE189" s="3067"/>
      <c r="AF189" s="3067"/>
      <c r="AG189" s="3067"/>
      <c r="AH189" s="3067"/>
      <c r="AI189" s="3067"/>
      <c r="AJ189" s="3067"/>
      <c r="AK189" s="1026"/>
    </row>
    <row r="190" spans="1:37">
      <c r="A190" s="1018"/>
      <c r="B190" s="3066"/>
      <c r="C190" s="3066"/>
      <c r="D190" s="3066"/>
      <c r="E190" s="3066"/>
      <c r="F190" s="3066"/>
      <c r="G190" s="3066"/>
      <c r="H190" s="3066"/>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1399"/>
      <c r="AD190" s="3067"/>
      <c r="AE190" s="3067"/>
      <c r="AF190" s="3067"/>
      <c r="AG190" s="3067"/>
      <c r="AH190" s="3067"/>
      <c r="AI190" s="3067"/>
      <c r="AJ190" s="3067"/>
      <c r="AK190" s="1026"/>
    </row>
    <row r="191" spans="1:37">
      <c r="A191" s="1018"/>
      <c r="B191" s="3066"/>
      <c r="C191" s="3066"/>
      <c r="D191" s="3066"/>
      <c r="E191" s="3066"/>
      <c r="F191" s="3066"/>
      <c r="G191" s="3066"/>
      <c r="H191" s="3066"/>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1399"/>
      <c r="AD191" s="3067"/>
      <c r="AE191" s="3067"/>
      <c r="AF191" s="3067"/>
      <c r="AG191" s="3067"/>
      <c r="AH191" s="3067"/>
      <c r="AI191" s="3067"/>
      <c r="AJ191" s="3067"/>
      <c r="AK191" s="1026"/>
    </row>
    <row r="192" spans="1:37">
      <c r="A192" s="1018"/>
      <c r="B192" s="3252" t="s">
        <v>1944</v>
      </c>
      <c r="C192" s="3252"/>
      <c r="D192" s="3252"/>
      <c r="E192" s="3252"/>
      <c r="F192" s="3252"/>
      <c r="G192" s="3252"/>
      <c r="H192" s="3252"/>
      <c r="I192" s="3252"/>
      <c r="J192" s="3252"/>
      <c r="K192" s="3252"/>
      <c r="L192" s="3252"/>
      <c r="M192" s="3252"/>
      <c r="N192" s="3252"/>
      <c r="O192" s="3252"/>
      <c r="P192" s="3252"/>
      <c r="Q192" s="3252"/>
      <c r="R192" s="3252"/>
      <c r="S192" s="3252"/>
      <c r="T192" s="3252"/>
      <c r="U192" s="3252"/>
      <c r="V192" s="3252"/>
      <c r="W192" s="3252"/>
      <c r="X192" s="3252"/>
      <c r="Y192" s="3252"/>
      <c r="Z192" s="3252"/>
      <c r="AA192" s="3252"/>
      <c r="AB192" s="3252"/>
      <c r="AC192" s="929"/>
      <c r="AD192" s="3105">
        <f>AB243</f>
        <v>0</v>
      </c>
      <c r="AE192" s="3105"/>
      <c r="AF192" s="3105"/>
      <c r="AG192" s="3105"/>
      <c r="AH192" s="3105"/>
      <c r="AI192" s="3105"/>
      <c r="AJ192" s="3105"/>
      <c r="AK192" s="1026"/>
    </row>
    <row r="193" spans="1:37">
      <c r="A193" s="1018"/>
      <c r="B193" s="3251" t="s">
        <v>1907</v>
      </c>
      <c r="C193" s="3251"/>
      <c r="D193" s="3251"/>
      <c r="E193" s="3251"/>
      <c r="F193" s="3251"/>
      <c r="G193" s="3251"/>
      <c r="H193" s="3251"/>
      <c r="I193" s="3251"/>
      <c r="J193" s="3251"/>
      <c r="K193" s="3251"/>
      <c r="L193" s="3251"/>
      <c r="M193" s="3251"/>
      <c r="N193" s="3251"/>
      <c r="O193" s="3251"/>
      <c r="P193" s="3251"/>
      <c r="Q193" s="3251"/>
      <c r="R193" s="3251"/>
      <c r="S193" s="3251"/>
      <c r="T193" s="3251"/>
      <c r="U193" s="3251"/>
      <c r="V193" s="3251"/>
      <c r="W193" s="3251"/>
      <c r="X193" s="3251"/>
      <c r="Y193" s="3251"/>
      <c r="Z193" s="3251"/>
      <c r="AA193" s="3251"/>
      <c r="AB193" s="3251"/>
      <c r="AC193" s="1399"/>
      <c r="AD193" s="3106">
        <f>'Sources and Uses Budget'!B15</f>
        <v>0</v>
      </c>
      <c r="AE193" s="3106"/>
      <c r="AF193" s="3106"/>
      <c r="AG193" s="3106"/>
      <c r="AH193" s="3106"/>
      <c r="AI193" s="3106"/>
      <c r="AJ193" s="310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10">
        <f>SUM(AD182:AJ192)-AD193</f>
        <v>7000000</v>
      </c>
      <c r="AE194" s="3110"/>
      <c r="AF194" s="3110"/>
      <c r="AG194" s="3110"/>
      <c r="AH194" s="3110"/>
      <c r="AI194" s="3110"/>
      <c r="AJ194" s="311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70" t="s">
        <v>1924</v>
      </c>
      <c r="J205" s="3070"/>
      <c r="K205" s="3070"/>
      <c r="L205" s="993"/>
      <c r="M205" s="993"/>
      <c r="N205" s="993"/>
      <c r="O205" s="993"/>
      <c r="P205" s="993"/>
      <c r="Q205" s="993"/>
      <c r="R205" s="993"/>
      <c r="S205" s="993"/>
      <c r="T205" s="3269" t="s">
        <v>1918</v>
      </c>
      <c r="U205" s="3269"/>
      <c r="V205" s="3269"/>
      <c r="W205" s="3269"/>
      <c r="X205" s="3269"/>
      <c r="Y205" s="3269"/>
      <c r="Z205" s="1403"/>
      <c r="AA205" s="1404"/>
      <c r="AB205" s="3088" t="s">
        <v>1919</v>
      </c>
      <c r="AC205" s="3088"/>
      <c r="AD205" s="3088"/>
      <c r="AE205" s="3088"/>
      <c r="AF205" s="3088"/>
      <c r="AG205" s="3088"/>
      <c r="AH205" s="1373"/>
      <c r="AI205" s="1373"/>
      <c r="AJ205" s="1373"/>
      <c r="AK205" s="1026"/>
    </row>
    <row r="206" spans="1:37">
      <c r="A206" s="1018"/>
      <c r="B206" s="3068" t="s">
        <v>1897</v>
      </c>
      <c r="C206" s="3068"/>
      <c r="D206" s="3068"/>
      <c r="E206" s="3068"/>
      <c r="F206" s="3068"/>
      <c r="G206" s="3068"/>
      <c r="I206" s="3069" t="s">
        <v>1925</v>
      </c>
      <c r="J206" s="3069"/>
      <c r="K206" s="3069"/>
      <c r="L206" s="1817"/>
      <c r="N206" s="3076" t="s">
        <v>1920</v>
      </c>
      <c r="O206" s="3076"/>
      <c r="P206" s="3076"/>
      <c r="Q206" s="3076"/>
      <c r="R206" s="3076"/>
      <c r="T206" s="3076" t="s">
        <v>1921</v>
      </c>
      <c r="U206" s="3076"/>
      <c r="V206" s="3076"/>
      <c r="W206" s="3076"/>
      <c r="X206" s="3076"/>
      <c r="Y206" s="3076"/>
      <c r="Z206" s="1405"/>
      <c r="AA206" s="1404"/>
      <c r="AB206" s="3254" t="s">
        <v>1922</v>
      </c>
      <c r="AC206" s="3254"/>
      <c r="AD206" s="3254"/>
      <c r="AE206" s="3254"/>
      <c r="AF206" s="3254"/>
      <c r="AG206" s="3254"/>
      <c r="AH206" s="1373"/>
      <c r="AI206" s="1373"/>
      <c r="AJ206" s="1373"/>
      <c r="AK206" s="1026"/>
    </row>
    <row r="207" spans="1:37">
      <c r="A207" s="1018"/>
      <c r="B207" s="3253" t="s">
        <v>2563</v>
      </c>
      <c r="C207" s="3253"/>
      <c r="D207" s="3253"/>
      <c r="E207" s="3253"/>
      <c r="F207" s="3253"/>
      <c r="G207" s="3253"/>
      <c r="H207" s="1407"/>
      <c r="I207" s="3071">
        <v>70</v>
      </c>
      <c r="J207" s="3071"/>
      <c r="K207" s="3071"/>
      <c r="L207" s="1817"/>
      <c r="N207" s="3077">
        <v>0</v>
      </c>
      <c r="O207" s="3077"/>
      <c r="P207" s="3077"/>
      <c r="Q207" s="3077"/>
      <c r="R207" s="3077"/>
      <c r="T207" s="3087"/>
      <c r="U207" s="3087"/>
      <c r="V207" s="3087"/>
      <c r="W207" s="3087"/>
      <c r="X207" s="3087"/>
      <c r="Y207" s="3087"/>
      <c r="Z207" s="1406"/>
      <c r="AA207" s="1406"/>
      <c r="AB207" s="3073">
        <f t="shared" ref="AB207:AB216" si="0">MAX(($T207-$N207)*$I207*12,0)</f>
        <v>0</v>
      </c>
      <c r="AC207" s="3073"/>
      <c r="AD207" s="3073"/>
      <c r="AE207" s="3073"/>
      <c r="AF207" s="3073"/>
      <c r="AG207" s="3073"/>
      <c r="AH207" s="1373"/>
      <c r="AI207" s="1373"/>
      <c r="AJ207" s="1373"/>
      <c r="AK207" s="1026"/>
    </row>
    <row r="208" spans="1:37">
      <c r="A208" s="1018"/>
      <c r="B208" s="3253" t="s">
        <v>2564</v>
      </c>
      <c r="C208" s="3253"/>
      <c r="D208" s="3253"/>
      <c r="E208" s="3253"/>
      <c r="F208" s="3253"/>
      <c r="G208" s="3253"/>
      <c r="I208" s="3071">
        <v>69</v>
      </c>
      <c r="J208" s="3071"/>
      <c r="K208" s="3071"/>
      <c r="L208" s="1817"/>
      <c r="N208" s="3077">
        <v>0</v>
      </c>
      <c r="O208" s="3077"/>
      <c r="P208" s="3077"/>
      <c r="Q208" s="3077"/>
      <c r="R208" s="3077"/>
      <c r="T208" s="3087"/>
      <c r="U208" s="3087"/>
      <c r="V208" s="3087"/>
      <c r="W208" s="3087"/>
      <c r="X208" s="3087"/>
      <c r="Y208" s="3087"/>
      <c r="Z208" s="1406"/>
      <c r="AA208" s="1406"/>
      <c r="AB208" s="3073">
        <f t="shared" si="0"/>
        <v>0</v>
      </c>
      <c r="AC208" s="3073"/>
      <c r="AD208" s="3073"/>
      <c r="AE208" s="3073"/>
      <c r="AF208" s="3073"/>
      <c r="AG208" s="3073"/>
      <c r="AH208" s="1373"/>
      <c r="AI208" s="1373"/>
      <c r="AJ208" s="1373"/>
      <c r="AK208" s="1026"/>
    </row>
    <row r="209" spans="1:37">
      <c r="A209" s="1018"/>
      <c r="B209" s="3253" t="s">
        <v>2565</v>
      </c>
      <c r="C209" s="3253"/>
      <c r="D209" s="3253"/>
      <c r="E209" s="3253"/>
      <c r="F209" s="3253"/>
      <c r="G209" s="3253"/>
      <c r="I209" s="3071">
        <v>20</v>
      </c>
      <c r="J209" s="3071"/>
      <c r="K209" s="3071"/>
      <c r="L209" s="1817"/>
      <c r="N209" s="3077">
        <v>0</v>
      </c>
      <c r="O209" s="3077"/>
      <c r="P209" s="3077"/>
      <c r="Q209" s="3077"/>
      <c r="R209" s="3077"/>
      <c r="T209" s="3087"/>
      <c r="U209" s="3087"/>
      <c r="V209" s="3087"/>
      <c r="W209" s="3087"/>
      <c r="X209" s="3087"/>
      <c r="Y209" s="3087"/>
      <c r="Z209" s="1406"/>
      <c r="AA209" s="1406"/>
      <c r="AB209" s="3073">
        <f t="shared" si="0"/>
        <v>0</v>
      </c>
      <c r="AC209" s="3073"/>
      <c r="AD209" s="3073"/>
      <c r="AE209" s="3073"/>
      <c r="AF209" s="3073"/>
      <c r="AG209" s="3073"/>
      <c r="AH209" s="1373"/>
      <c r="AI209" s="1373"/>
      <c r="AJ209" s="1373"/>
      <c r="AK209" s="1026"/>
    </row>
    <row r="210" spans="1:37">
      <c r="A210" s="1018"/>
      <c r="B210" s="3072" t="s">
        <v>1388</v>
      </c>
      <c r="C210" s="3072"/>
      <c r="D210" s="3072"/>
      <c r="E210" s="3072"/>
      <c r="F210" s="3072"/>
      <c r="G210" s="3072"/>
      <c r="I210" s="3074"/>
      <c r="J210" s="3074"/>
      <c r="K210" s="3074"/>
      <c r="L210" s="1817"/>
      <c r="N210" s="3077"/>
      <c r="O210" s="3077"/>
      <c r="P210" s="3077"/>
      <c r="Q210" s="3077"/>
      <c r="R210" s="3077"/>
      <c r="T210" s="3087"/>
      <c r="U210" s="3087"/>
      <c r="V210" s="3087"/>
      <c r="W210" s="3087"/>
      <c r="X210" s="3087"/>
      <c r="Y210" s="3087"/>
      <c r="Z210" s="1406"/>
      <c r="AA210" s="1406"/>
      <c r="AB210" s="3073">
        <f t="shared" si="0"/>
        <v>0</v>
      </c>
      <c r="AC210" s="3073"/>
      <c r="AD210" s="3073"/>
      <c r="AE210" s="3073"/>
      <c r="AF210" s="3073"/>
      <c r="AG210" s="3073"/>
      <c r="AH210" s="1373"/>
      <c r="AI210" s="1373"/>
      <c r="AJ210" s="1373"/>
      <c r="AK210" s="1026"/>
    </row>
    <row r="211" spans="1:37">
      <c r="A211" s="1018"/>
      <c r="B211" s="3072" t="s">
        <v>1388</v>
      </c>
      <c r="C211" s="3072"/>
      <c r="D211" s="3072"/>
      <c r="E211" s="3072"/>
      <c r="F211" s="3072"/>
      <c r="G211" s="3072"/>
      <c r="I211" s="3074"/>
      <c r="J211" s="3074"/>
      <c r="K211" s="3074"/>
      <c r="L211" s="1829"/>
      <c r="N211" s="3077"/>
      <c r="O211" s="3077"/>
      <c r="P211" s="3077"/>
      <c r="Q211" s="3077"/>
      <c r="R211" s="3077"/>
      <c r="T211" s="3087"/>
      <c r="U211" s="3087"/>
      <c r="V211" s="3087"/>
      <c r="W211" s="3087"/>
      <c r="X211" s="3087"/>
      <c r="Y211" s="3087"/>
      <c r="Z211" s="1406"/>
      <c r="AA211" s="1406"/>
      <c r="AB211" s="3073">
        <f t="shared" si="0"/>
        <v>0</v>
      </c>
      <c r="AC211" s="3073"/>
      <c r="AD211" s="3073"/>
      <c r="AE211" s="3073"/>
      <c r="AF211" s="3073"/>
      <c r="AG211" s="3073"/>
      <c r="AH211" s="1373"/>
      <c r="AI211" s="1373"/>
      <c r="AJ211" s="1373"/>
      <c r="AK211" s="1026"/>
    </row>
    <row r="212" spans="1:37">
      <c r="A212" s="1018"/>
      <c r="B212" s="3072" t="s">
        <v>1388</v>
      </c>
      <c r="C212" s="3072"/>
      <c r="D212" s="3072"/>
      <c r="E212" s="3072"/>
      <c r="F212" s="3072"/>
      <c r="G212" s="3072"/>
      <c r="I212" s="3074"/>
      <c r="J212" s="3074"/>
      <c r="K212" s="3074"/>
      <c r="L212" s="1829"/>
      <c r="N212" s="3077"/>
      <c r="O212" s="3077"/>
      <c r="P212" s="3077"/>
      <c r="Q212" s="3077"/>
      <c r="R212" s="3077"/>
      <c r="T212" s="3087"/>
      <c r="U212" s="3087"/>
      <c r="V212" s="3087"/>
      <c r="W212" s="3087"/>
      <c r="X212" s="3087"/>
      <c r="Y212" s="3087"/>
      <c r="Z212" s="1406"/>
      <c r="AA212" s="1406"/>
      <c r="AB212" s="3073">
        <f t="shared" si="0"/>
        <v>0</v>
      </c>
      <c r="AC212" s="3073"/>
      <c r="AD212" s="3073"/>
      <c r="AE212" s="3073"/>
      <c r="AF212" s="3073"/>
      <c r="AG212" s="3073"/>
      <c r="AH212" s="1373"/>
      <c r="AI212" s="1373"/>
      <c r="AJ212" s="1373"/>
      <c r="AK212" s="1026"/>
    </row>
    <row r="213" spans="1:37">
      <c r="A213" s="1018"/>
      <c r="B213" s="3072" t="s">
        <v>1388</v>
      </c>
      <c r="C213" s="3072"/>
      <c r="D213" s="3072"/>
      <c r="E213" s="3072"/>
      <c r="F213" s="3072"/>
      <c r="G213" s="3072"/>
      <c r="I213" s="3074"/>
      <c r="J213" s="3074"/>
      <c r="K213" s="3074"/>
      <c r="L213" s="1829"/>
      <c r="N213" s="3077"/>
      <c r="O213" s="3077"/>
      <c r="P213" s="3077"/>
      <c r="Q213" s="3077"/>
      <c r="R213" s="3077"/>
      <c r="T213" s="3087"/>
      <c r="U213" s="3087"/>
      <c r="V213" s="3087"/>
      <c r="W213" s="3087"/>
      <c r="X213" s="3087"/>
      <c r="Y213" s="3087"/>
      <c r="Z213" s="1406"/>
      <c r="AA213" s="1406"/>
      <c r="AB213" s="3073">
        <f t="shared" si="0"/>
        <v>0</v>
      </c>
      <c r="AC213" s="3073"/>
      <c r="AD213" s="3073"/>
      <c r="AE213" s="3073"/>
      <c r="AF213" s="3073"/>
      <c r="AG213" s="3073"/>
      <c r="AH213" s="1373"/>
      <c r="AI213" s="1373"/>
      <c r="AJ213" s="1373"/>
      <c r="AK213" s="1026"/>
    </row>
    <row r="214" spans="1:37">
      <c r="A214" s="1018"/>
      <c r="B214" s="3072" t="s">
        <v>1388</v>
      </c>
      <c r="C214" s="3072"/>
      <c r="D214" s="3072"/>
      <c r="E214" s="3072"/>
      <c r="F214" s="3072"/>
      <c r="G214" s="3072"/>
      <c r="I214" s="3074"/>
      <c r="J214" s="3074"/>
      <c r="K214" s="3074"/>
      <c r="L214" s="1829"/>
      <c r="N214" s="3077"/>
      <c r="O214" s="3077"/>
      <c r="P214" s="3077"/>
      <c r="Q214" s="3077"/>
      <c r="R214" s="3077"/>
      <c r="T214" s="3087"/>
      <c r="U214" s="3087"/>
      <c r="V214" s="3087"/>
      <c r="W214" s="3087"/>
      <c r="X214" s="3087"/>
      <c r="Y214" s="3087"/>
      <c r="Z214" s="1406"/>
      <c r="AA214" s="1406"/>
      <c r="AB214" s="3073">
        <f t="shared" si="0"/>
        <v>0</v>
      </c>
      <c r="AC214" s="3073"/>
      <c r="AD214" s="3073"/>
      <c r="AE214" s="3073"/>
      <c r="AF214" s="3073"/>
      <c r="AG214" s="3073"/>
      <c r="AH214" s="1373"/>
      <c r="AI214" s="1373"/>
      <c r="AJ214" s="1373"/>
      <c r="AK214" s="1026"/>
    </row>
    <row r="215" spans="1:37">
      <c r="A215" s="1018"/>
      <c r="B215" s="3072" t="s">
        <v>1388</v>
      </c>
      <c r="C215" s="3072"/>
      <c r="D215" s="3072"/>
      <c r="E215" s="3072"/>
      <c r="F215" s="3072"/>
      <c r="G215" s="3072"/>
      <c r="I215" s="3074"/>
      <c r="J215" s="3074"/>
      <c r="K215" s="3074"/>
      <c r="L215" s="1829"/>
      <c r="N215" s="3077"/>
      <c r="O215" s="3077"/>
      <c r="P215" s="3077"/>
      <c r="Q215" s="3077"/>
      <c r="R215" s="3077"/>
      <c r="T215" s="3087"/>
      <c r="U215" s="3087"/>
      <c r="V215" s="3087"/>
      <c r="W215" s="3087"/>
      <c r="X215" s="3087"/>
      <c r="Y215" s="3087"/>
      <c r="Z215" s="1406"/>
      <c r="AA215" s="1406"/>
      <c r="AB215" s="3073">
        <f t="shared" si="0"/>
        <v>0</v>
      </c>
      <c r="AC215" s="3073"/>
      <c r="AD215" s="3073"/>
      <c r="AE215" s="3073"/>
      <c r="AF215" s="3073"/>
      <c r="AG215" s="3073"/>
      <c r="AH215" s="1373"/>
      <c r="AI215" s="1373"/>
      <c r="AJ215" s="1373"/>
      <c r="AK215" s="1026"/>
    </row>
    <row r="216" spans="1:37">
      <c r="A216" s="1018"/>
      <c r="B216" s="3072" t="s">
        <v>1388</v>
      </c>
      <c r="C216" s="3072"/>
      <c r="D216" s="3072"/>
      <c r="E216" s="3072"/>
      <c r="F216" s="3072"/>
      <c r="G216" s="3072"/>
      <c r="I216" s="3075"/>
      <c r="J216" s="3075"/>
      <c r="K216" s="3075"/>
      <c r="L216" s="1829"/>
      <c r="N216" s="3077"/>
      <c r="O216" s="3077"/>
      <c r="P216" s="3077"/>
      <c r="Q216" s="3077"/>
      <c r="R216" s="3077"/>
      <c r="T216" s="3087"/>
      <c r="U216" s="3087"/>
      <c r="V216" s="3087"/>
      <c r="W216" s="3087"/>
      <c r="X216" s="3087"/>
      <c r="Y216" s="3087"/>
      <c r="Z216" s="1406"/>
      <c r="AA216" s="1406"/>
      <c r="AB216" s="3260">
        <f t="shared" si="0"/>
        <v>0</v>
      </c>
      <c r="AC216" s="3260"/>
      <c r="AD216" s="3260"/>
      <c r="AE216" s="3260"/>
      <c r="AF216" s="3260"/>
      <c r="AG216" s="326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73">
        <f>SUM(AB207:AB216)</f>
        <v>0</v>
      </c>
      <c r="AC217" s="3073"/>
      <c r="AD217" s="3073"/>
      <c r="AE217" s="3073"/>
      <c r="AF217" s="3073"/>
      <c r="AG217" s="3073"/>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80">
        <v>0</v>
      </c>
      <c r="AC223" s="3080"/>
      <c r="AD223" s="3080"/>
      <c r="AE223" s="3080"/>
      <c r="AF223" s="3080"/>
      <c r="AG223" s="3080"/>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80">
        <v>0</v>
      </c>
      <c r="AC226" s="3080"/>
      <c r="AD226" s="3080"/>
      <c r="AE226" s="3080"/>
      <c r="AF226" s="3080"/>
      <c r="AG226" s="3080"/>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68">
        <v>0</v>
      </c>
      <c r="AC227" s="3268"/>
      <c r="AD227" s="3268"/>
      <c r="AE227" s="3268"/>
      <c r="AF227" s="3268"/>
      <c r="AG227" s="3268"/>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61">
        <f>IFERROR(AB226/AB227,0)</f>
        <v>0</v>
      </c>
      <c r="AC228" s="3261"/>
      <c r="AD228" s="3261"/>
      <c r="AE228" s="3261"/>
      <c r="AF228" s="3261"/>
      <c r="AG228" s="326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50">
        <f>MAX(AB223,AB228)</f>
        <v>0</v>
      </c>
      <c r="AC230" s="3250"/>
      <c r="AD230" s="3250"/>
      <c r="AE230" s="3250"/>
      <c r="AF230" s="3250"/>
      <c r="AG230" s="325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64">
        <f>AB217+AB230</f>
        <v>0</v>
      </c>
      <c r="AC233" s="3064"/>
      <c r="AD233" s="3064"/>
      <c r="AE233" s="3064"/>
      <c r="AF233" s="3064"/>
      <c r="AG233" s="3064"/>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14">
        <v>0.05</v>
      </c>
      <c r="AC234" s="3114"/>
      <c r="AD234" s="3114"/>
      <c r="AE234" s="3114"/>
      <c r="AF234" s="3114"/>
      <c r="AG234" s="3114"/>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15">
        <f>AB233-(AB233*AB234)</f>
        <v>0</v>
      </c>
      <c r="AC235" s="3115"/>
      <c r="AD235" s="3115"/>
      <c r="AE235" s="3115"/>
      <c r="AF235" s="3115"/>
      <c r="AG235" s="3115"/>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64">
        <f>AB235/AB241</f>
        <v>0</v>
      </c>
      <c r="AC237" s="3064"/>
      <c r="AD237" s="3064"/>
      <c r="AE237" s="3064"/>
      <c r="AF237" s="3064"/>
      <c r="AG237" s="3064"/>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65">
        <v>15</v>
      </c>
      <c r="AC239" s="3065"/>
      <c r="AD239" s="3065"/>
      <c r="AE239" s="3065"/>
      <c r="AF239" s="3065"/>
      <c r="AG239" s="3065"/>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78">
        <v>0.04</v>
      </c>
      <c r="AC240" s="3078"/>
      <c r="AD240" s="3078"/>
      <c r="AE240" s="3078"/>
      <c r="AF240" s="3078"/>
      <c r="AG240" s="3078"/>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79">
        <v>1.1499999999999999</v>
      </c>
      <c r="AC241" s="3079"/>
      <c r="AD241" s="3079"/>
      <c r="AE241" s="3079"/>
      <c r="AF241" s="3079"/>
      <c r="AG241" s="307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07">
        <f>PV(AB240/12,AB239*12,-AB237/12, ,0)</f>
        <v>0</v>
      </c>
      <c r="AC243" s="3108"/>
      <c r="AD243" s="3108"/>
      <c r="AE243" s="3108"/>
      <c r="AF243" s="3108"/>
      <c r="AG243" s="3109"/>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11">
        <f>IFERROR(('Sources and Uses Budget'!D105/'Sources and Uses Budget'!B105),0)</f>
        <v>0</v>
      </c>
      <c r="AC249" s="3112"/>
      <c r="AD249" s="3112"/>
      <c r="AE249" s="3112"/>
      <c r="AF249" s="3112"/>
      <c r="AG249" s="311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101">
        <f>AD194*(1-AB249)</f>
        <v>7000000</v>
      </c>
      <c r="AH251" s="3101"/>
      <c r="AI251" s="3101"/>
      <c r="AJ251" s="3101"/>
      <c r="AK251" s="3101"/>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101">
        <f>'Sources and Uses Budget'!C105</f>
        <v>69814798</v>
      </c>
      <c r="AH252" s="3101"/>
      <c r="AI252" s="3101"/>
      <c r="AJ252" s="3101"/>
      <c r="AK252" s="3101"/>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02">
        <f>ROUNDDOWN(IF(AND(C274="Yes",AK72=10),((AG251*2)/AG252),AG251/AG252),2)</f>
        <v>0.1</v>
      </c>
      <c r="AH253" s="3102"/>
      <c r="AI253" s="3102"/>
      <c r="AJ253" s="3102"/>
      <c r="AK253" s="3102"/>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03">
        <f>IF(AG253=0,0,IF((AG253*100)&gt;8,8,(AG253*100)))</f>
        <v>8</v>
      </c>
      <c r="AL256" s="3103"/>
      <c r="AM256" s="310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90" t="s">
        <v>580</v>
      </c>
      <c r="D261" s="3090"/>
      <c r="E261" s="942"/>
      <c r="F261" s="3091" t="s">
        <v>2000</v>
      </c>
      <c r="G261" s="3092"/>
      <c r="H261" s="3092"/>
      <c r="I261" s="3092"/>
      <c r="J261" s="3092"/>
      <c r="K261" s="3092"/>
      <c r="L261" s="3092"/>
      <c r="M261" s="3092"/>
      <c r="N261" s="3092"/>
      <c r="O261" s="3092"/>
      <c r="P261" s="3092"/>
      <c r="Q261" s="3092"/>
      <c r="R261" s="3092"/>
      <c r="S261" s="3092"/>
      <c r="T261" s="3092"/>
      <c r="U261" s="3092"/>
      <c r="V261" s="3092"/>
      <c r="W261" s="3092"/>
      <c r="X261" s="3092"/>
      <c r="Y261" s="3092"/>
      <c r="Z261" s="3092"/>
      <c r="AA261" s="3092"/>
      <c r="AB261" s="3092"/>
      <c r="AC261" s="3092"/>
      <c r="AD261" s="3093"/>
      <c r="AE261" s="945"/>
      <c r="AF261" s="1068"/>
      <c r="AG261" s="3097" t="s">
        <v>1662</v>
      </c>
      <c r="AH261" s="3097"/>
      <c r="AI261" s="3097"/>
      <c r="AJ261" s="3097"/>
      <c r="AK261" s="1028"/>
      <c r="AL261" s="1028"/>
      <c r="AM261" s="1028"/>
      <c r="AN261" s="1063"/>
      <c r="AO261" s="945">
        <f>IF($C$261="yes",5,0)</f>
        <v>5</v>
      </c>
      <c r="AS261" s="21"/>
      <c r="AT261" s="21"/>
    </row>
    <row r="262" spans="1:81" ht="13.7" customHeight="1">
      <c r="A262" s="1062"/>
      <c r="B262" s="1067"/>
      <c r="C262" s="1069"/>
      <c r="D262" s="945"/>
      <c r="E262" s="942"/>
      <c r="F262" s="3094"/>
      <c r="G262" s="3095"/>
      <c r="H262" s="3095"/>
      <c r="I262" s="3095"/>
      <c r="J262" s="3095"/>
      <c r="K262" s="3095"/>
      <c r="L262" s="3095"/>
      <c r="M262" s="3095"/>
      <c r="N262" s="3095"/>
      <c r="O262" s="3095"/>
      <c r="P262" s="3095"/>
      <c r="Q262" s="3095"/>
      <c r="R262" s="3095"/>
      <c r="S262" s="3095"/>
      <c r="T262" s="3095"/>
      <c r="U262" s="3095"/>
      <c r="V262" s="3095"/>
      <c r="W262" s="3095"/>
      <c r="X262" s="3095"/>
      <c r="Y262" s="3095"/>
      <c r="Z262" s="3095"/>
      <c r="AA262" s="3095"/>
      <c r="AB262" s="3095"/>
      <c r="AC262" s="3095"/>
      <c r="AD262" s="309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90" t="s">
        <v>580</v>
      </c>
      <c r="D264" s="3090"/>
      <c r="E264" s="942"/>
      <c r="F264" s="3091" t="s">
        <v>2207</v>
      </c>
      <c r="G264" s="3092"/>
      <c r="H264" s="3092"/>
      <c r="I264" s="3092"/>
      <c r="J264" s="3092"/>
      <c r="K264" s="3092"/>
      <c r="L264" s="3092"/>
      <c r="M264" s="3092"/>
      <c r="N264" s="3092"/>
      <c r="O264" s="3092"/>
      <c r="P264" s="3092"/>
      <c r="Q264" s="3092"/>
      <c r="R264" s="3092"/>
      <c r="S264" s="3092"/>
      <c r="T264" s="3092"/>
      <c r="U264" s="3092"/>
      <c r="V264" s="3092"/>
      <c r="W264" s="3092"/>
      <c r="X264" s="3092"/>
      <c r="Y264" s="3092"/>
      <c r="Z264" s="3092"/>
      <c r="AA264" s="3092"/>
      <c r="AB264" s="3092"/>
      <c r="AC264" s="3092"/>
      <c r="AD264" s="3093"/>
      <c r="AE264" s="945"/>
      <c r="AF264" s="1068"/>
      <c r="AG264" s="3097" t="s">
        <v>1662</v>
      </c>
      <c r="AH264" s="3097"/>
      <c r="AI264" s="3097"/>
      <c r="AJ264" s="3097"/>
      <c r="AK264" s="1028"/>
      <c r="AL264" s="1028"/>
      <c r="AM264" s="1028"/>
      <c r="AN264" s="1063"/>
      <c r="AS264" s="21"/>
      <c r="AT264" s="21"/>
    </row>
    <row r="265" spans="1:81" ht="13.7" customHeight="1">
      <c r="A265" s="1062"/>
      <c r="C265" s="1071"/>
      <c r="D265" s="1071"/>
      <c r="E265" s="1071"/>
      <c r="F265" s="3094"/>
      <c r="G265" s="3095"/>
      <c r="H265" s="3095"/>
      <c r="I265" s="3095"/>
      <c r="J265" s="3095"/>
      <c r="K265" s="3095"/>
      <c r="L265" s="3095"/>
      <c r="M265" s="3095"/>
      <c r="N265" s="3095"/>
      <c r="O265" s="3095"/>
      <c r="P265" s="3095"/>
      <c r="Q265" s="3095"/>
      <c r="R265" s="3095"/>
      <c r="S265" s="3095"/>
      <c r="T265" s="3095"/>
      <c r="U265" s="3095"/>
      <c r="V265" s="3095"/>
      <c r="W265" s="3095"/>
      <c r="X265" s="3095"/>
      <c r="Y265" s="3095"/>
      <c r="Z265" s="3095"/>
      <c r="AA265" s="3095"/>
      <c r="AB265" s="3095"/>
      <c r="AC265" s="3095"/>
      <c r="AD265" s="309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98">
        <f>$AO$263</f>
        <v>10</v>
      </c>
      <c r="AL267" s="3099"/>
      <c r="AM267" s="310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22" t="s">
        <v>1666</v>
      </c>
      <c r="B274" s="3122"/>
      <c r="C274" s="3090" t="s">
        <v>628</v>
      </c>
      <c r="D274" s="3090"/>
      <c r="E274" s="942"/>
      <c r="F274" s="3123" t="s">
        <v>1667</v>
      </c>
      <c r="G274" s="3124"/>
      <c r="H274" s="3124"/>
      <c r="I274" s="3124"/>
      <c r="J274" s="3124"/>
      <c r="K274" s="3124"/>
      <c r="L274" s="3124"/>
      <c r="M274" s="3124"/>
      <c r="N274" s="3124"/>
      <c r="O274" s="3124"/>
      <c r="P274" s="3124"/>
      <c r="Q274" s="3124"/>
      <c r="R274" s="3124"/>
      <c r="S274" s="3124"/>
      <c r="T274" s="3124"/>
      <c r="U274" s="3124"/>
      <c r="V274" s="3124"/>
      <c r="W274" s="3124"/>
      <c r="X274" s="3124"/>
      <c r="Y274" s="3124"/>
      <c r="Z274" s="3124"/>
      <c r="AA274" s="3124"/>
      <c r="AB274" s="3124"/>
      <c r="AC274" s="3124"/>
      <c r="AD274" s="3125"/>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16"/>
      <c r="G275" s="3117"/>
      <c r="H275" s="3117"/>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17"/>
      <c r="AD275" s="311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16"/>
      <c r="G276" s="3117"/>
      <c r="H276" s="3117"/>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17"/>
      <c r="AD276" s="311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16" t="s">
        <v>1669</v>
      </c>
      <c r="G277" s="3117"/>
      <c r="H277" s="3117"/>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17"/>
      <c r="AD277" s="3118"/>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116"/>
      <c r="G278" s="3117"/>
      <c r="H278" s="3117"/>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17"/>
      <c r="AD278" s="3118"/>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16" t="s">
        <v>1670</v>
      </c>
      <c r="G279" s="3117"/>
      <c r="H279" s="3117"/>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17"/>
      <c r="AD279" s="3118"/>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16"/>
      <c r="G280" s="3117"/>
      <c r="H280" s="3117"/>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17"/>
      <c r="AD280" s="311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16" t="s">
        <v>1671</v>
      </c>
      <c r="G281" s="3117"/>
      <c r="H281" s="3117"/>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17"/>
      <c r="AD281" s="311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19"/>
      <c r="G282" s="3120"/>
      <c r="H282" s="3120"/>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20"/>
      <c r="AD282" s="312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22" t="s">
        <v>1672</v>
      </c>
      <c r="B284" s="3122"/>
      <c r="C284" s="3090" t="s">
        <v>628</v>
      </c>
      <c r="D284" s="3090"/>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16" t="s">
        <v>1675</v>
      </c>
      <c r="G285" s="3117"/>
      <c r="H285" s="3117"/>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17"/>
      <c r="AD285" s="3118"/>
      <c r="AE285" s="946"/>
      <c r="AF285" s="946"/>
      <c r="AG285" s="946"/>
      <c r="AH285" s="946"/>
      <c r="AI285" s="946"/>
      <c r="AJ285" s="945"/>
      <c r="AK285" s="1028"/>
      <c r="AL285" s="1028"/>
      <c r="AM285" s="1028"/>
      <c r="AR285" s="1088"/>
    </row>
    <row r="286" spans="1:53" ht="15" customHeight="1">
      <c r="A286" s="1062"/>
      <c r="B286" s="946"/>
      <c r="C286" s="945"/>
      <c r="D286" s="946"/>
      <c r="E286" s="945"/>
      <c r="F286" s="3116"/>
      <c r="G286" s="3117"/>
      <c r="H286" s="3117"/>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17"/>
      <c r="AD286" s="3118"/>
      <c r="AE286" s="946"/>
      <c r="AF286" s="946"/>
      <c r="AG286" s="946"/>
      <c r="AH286" s="946"/>
      <c r="AI286" s="946"/>
      <c r="AJ286" s="945"/>
      <c r="AK286" s="1028"/>
      <c r="AL286" s="1028"/>
      <c r="AM286" s="1028"/>
      <c r="AR286" s="1088"/>
    </row>
    <row r="287" spans="1:53">
      <c r="A287" s="1062"/>
      <c r="B287" s="946"/>
      <c r="C287" s="945"/>
      <c r="D287" s="946"/>
      <c r="E287" s="945"/>
      <c r="F287" s="3116" t="s">
        <v>1670</v>
      </c>
      <c r="G287" s="3117"/>
      <c r="H287" s="3117"/>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17"/>
      <c r="AD287" s="311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16"/>
      <c r="G288" s="3117"/>
      <c r="H288" s="3117"/>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17"/>
      <c r="AD288" s="3118"/>
      <c r="AE288" s="946"/>
      <c r="AF288" s="946"/>
      <c r="AG288" s="946"/>
      <c r="AH288" s="946"/>
      <c r="AI288" s="946"/>
      <c r="AJ288" s="945"/>
      <c r="AK288" s="1028"/>
      <c r="AL288" s="1028"/>
      <c r="AM288" s="1028"/>
      <c r="AP288" s="1081"/>
      <c r="AQ288" s="970"/>
      <c r="AR288" s="1088"/>
    </row>
    <row r="289" spans="1:60">
      <c r="A289" s="1062"/>
      <c r="B289" s="946"/>
      <c r="C289" s="945"/>
      <c r="D289" s="946"/>
      <c r="E289" s="945"/>
      <c r="F289" s="3116" t="s">
        <v>1676</v>
      </c>
      <c r="G289" s="3117"/>
      <c r="H289" s="3117"/>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17"/>
      <c r="AD289" s="3118"/>
      <c r="AE289" s="946"/>
      <c r="AF289" s="946"/>
      <c r="AG289" s="946"/>
      <c r="AH289" s="946"/>
      <c r="AI289" s="946"/>
      <c r="AJ289" s="945"/>
      <c r="AK289" s="1028"/>
      <c r="AL289" s="1028"/>
      <c r="AM289" s="1028"/>
      <c r="AP289" s="1081"/>
      <c r="AQ289" s="970"/>
      <c r="AR289" s="1088"/>
    </row>
    <row r="290" spans="1:60">
      <c r="A290" s="1062"/>
      <c r="B290" s="946"/>
      <c r="C290" s="945"/>
      <c r="D290" s="946"/>
      <c r="E290" s="945"/>
      <c r="F290" s="3119"/>
      <c r="G290" s="3120"/>
      <c r="H290" s="3120"/>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20"/>
      <c r="AD290" s="312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22" t="s">
        <v>1677</v>
      </c>
      <c r="B292" s="3122"/>
      <c r="C292" s="3090" t="s">
        <v>580</v>
      </c>
      <c r="D292" s="3090"/>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116" t="s">
        <v>1678</v>
      </c>
      <c r="G293" s="3117"/>
      <c r="H293" s="3117"/>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17"/>
      <c r="AD293" s="3118"/>
      <c r="AE293" s="946"/>
      <c r="AF293" s="946"/>
      <c r="AG293" s="1014"/>
      <c r="AH293" s="946"/>
      <c r="AI293" s="946"/>
      <c r="AJ293" s="945"/>
      <c r="AK293" s="1028"/>
      <c r="AL293" s="1028"/>
      <c r="AM293" s="1028"/>
      <c r="AN293" s="110"/>
      <c r="AO293" s="51"/>
      <c r="AP293" s="952" t="s">
        <v>1388</v>
      </c>
      <c r="AR293" s="21"/>
    </row>
    <row r="294" spans="1:60" s="21" customFormat="1">
      <c r="F294" s="3116"/>
      <c r="G294" s="3117"/>
      <c r="H294" s="3117"/>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17"/>
      <c r="AD294" s="3118"/>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26" t="s">
        <v>2245</v>
      </c>
      <c r="G298" s="3127"/>
      <c r="H298" s="3127"/>
      <c r="I298" s="3127"/>
      <c r="J298" s="3127"/>
      <c r="K298" s="3127"/>
      <c r="L298" s="3127"/>
      <c r="M298" s="3127"/>
      <c r="N298" s="3127"/>
      <c r="O298" s="3127"/>
      <c r="P298" s="3127"/>
      <c r="Q298" s="3127"/>
      <c r="R298" s="3127"/>
      <c r="S298" s="3127"/>
      <c r="T298" s="3127"/>
      <c r="U298" s="3127"/>
      <c r="V298" s="3127"/>
      <c r="W298" s="3127"/>
      <c r="X298" s="3127"/>
      <c r="Y298" s="3127"/>
      <c r="Z298" s="3127"/>
      <c r="AA298" s="3127"/>
      <c r="AB298" s="3127"/>
      <c r="AC298" s="3127"/>
      <c r="AD298" s="3128"/>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26"/>
      <c r="G299" s="3127"/>
      <c r="H299" s="3127"/>
      <c r="I299" s="3127"/>
      <c r="J299" s="3127"/>
      <c r="K299" s="3127"/>
      <c r="L299" s="3127"/>
      <c r="M299" s="3127"/>
      <c r="N299" s="3127"/>
      <c r="O299" s="3127"/>
      <c r="P299" s="3127"/>
      <c r="Q299" s="3127"/>
      <c r="R299" s="3127"/>
      <c r="S299" s="3127"/>
      <c r="T299" s="3127"/>
      <c r="U299" s="3127"/>
      <c r="V299" s="3127"/>
      <c r="W299" s="3127"/>
      <c r="X299" s="3127"/>
      <c r="Y299" s="3127"/>
      <c r="Z299" s="3127"/>
      <c r="AA299" s="3127"/>
      <c r="AB299" s="3127"/>
      <c r="AC299" s="3127"/>
      <c r="AD299" s="3128"/>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26"/>
      <c r="G300" s="3127"/>
      <c r="H300" s="3127"/>
      <c r="I300" s="3127"/>
      <c r="J300" s="3127"/>
      <c r="K300" s="3127"/>
      <c r="L300" s="3127"/>
      <c r="M300" s="3127"/>
      <c r="N300" s="3127"/>
      <c r="O300" s="3127"/>
      <c r="P300" s="3127"/>
      <c r="Q300" s="3127"/>
      <c r="R300" s="3127"/>
      <c r="S300" s="3127"/>
      <c r="T300" s="3127"/>
      <c r="U300" s="3127"/>
      <c r="V300" s="3127"/>
      <c r="W300" s="3127"/>
      <c r="X300" s="3127"/>
      <c r="Y300" s="3127"/>
      <c r="Z300" s="3127"/>
      <c r="AA300" s="3127"/>
      <c r="AB300" s="3127"/>
      <c r="AC300" s="3127"/>
      <c r="AD300" s="3128"/>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26"/>
      <c r="G301" s="3127"/>
      <c r="H301" s="3127"/>
      <c r="I301" s="3127"/>
      <c r="J301" s="3127"/>
      <c r="K301" s="3127"/>
      <c r="L301" s="3127"/>
      <c r="M301" s="3127"/>
      <c r="N301" s="3127"/>
      <c r="O301" s="3127"/>
      <c r="P301" s="3127"/>
      <c r="Q301" s="3127"/>
      <c r="R301" s="3127"/>
      <c r="S301" s="3127"/>
      <c r="T301" s="3127"/>
      <c r="U301" s="3127"/>
      <c r="V301" s="3127"/>
      <c r="W301" s="3127"/>
      <c r="X301" s="3127"/>
      <c r="Y301" s="3127"/>
      <c r="Z301" s="3127"/>
      <c r="AA301" s="3127"/>
      <c r="AB301" s="3127"/>
      <c r="AC301" s="3127"/>
      <c r="AD301" s="3128"/>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29"/>
      <c r="G302" s="3130"/>
      <c r="H302" s="3130"/>
      <c r="I302" s="3130"/>
      <c r="J302" s="3130"/>
      <c r="K302" s="3130"/>
      <c r="L302" s="3130"/>
      <c r="M302" s="3130"/>
      <c r="N302" s="3130"/>
      <c r="O302" s="3130"/>
      <c r="P302" s="3130"/>
      <c r="Q302" s="3130"/>
      <c r="R302" s="3130"/>
      <c r="S302" s="3130"/>
      <c r="T302" s="3130"/>
      <c r="U302" s="3130"/>
      <c r="V302" s="3130"/>
      <c r="W302" s="3130"/>
      <c r="X302" s="3130"/>
      <c r="Y302" s="3130"/>
      <c r="Z302" s="3130"/>
      <c r="AA302" s="3130"/>
      <c r="AB302" s="3130"/>
      <c r="AC302" s="3130"/>
      <c r="AD302" s="3131"/>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32" t="s">
        <v>2598</v>
      </c>
      <c r="J306" s="3132"/>
      <c r="K306" s="3132"/>
      <c r="L306" s="3132"/>
      <c r="M306" s="3132"/>
      <c r="N306" s="3132"/>
      <c r="O306" s="3132"/>
      <c r="P306" s="3132"/>
      <c r="Q306" s="3132"/>
      <c r="R306" s="3132"/>
      <c r="S306" s="3132"/>
      <c r="T306" s="3132"/>
      <c r="U306" s="3132"/>
      <c r="V306" s="3132"/>
      <c r="W306" s="3132"/>
      <c r="X306" s="3132"/>
      <c r="Y306" s="3132"/>
      <c r="Z306" s="3132"/>
      <c r="AA306" s="3132"/>
      <c r="AB306" s="3132"/>
      <c r="AC306" s="3132"/>
      <c r="AD306" s="3133"/>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32"/>
      <c r="J307" s="3132"/>
      <c r="K307" s="3132"/>
      <c r="L307" s="3132"/>
      <c r="M307" s="3132"/>
      <c r="N307" s="3132"/>
      <c r="O307" s="3132"/>
      <c r="P307" s="3132"/>
      <c r="Q307" s="3132"/>
      <c r="R307" s="3132"/>
      <c r="S307" s="3132"/>
      <c r="T307" s="3132"/>
      <c r="U307" s="3132"/>
      <c r="V307" s="3132"/>
      <c r="W307" s="3132"/>
      <c r="X307" s="3132"/>
      <c r="Y307" s="3132"/>
      <c r="Z307" s="3132"/>
      <c r="AA307" s="3132"/>
      <c r="AB307" s="3132"/>
      <c r="AC307" s="3132"/>
      <c r="AD307" s="3133"/>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32"/>
      <c r="J308" s="3132"/>
      <c r="K308" s="3132"/>
      <c r="L308" s="3132"/>
      <c r="M308" s="3132"/>
      <c r="N308" s="3132"/>
      <c r="O308" s="3132"/>
      <c r="P308" s="3132"/>
      <c r="Q308" s="3132"/>
      <c r="R308" s="3132"/>
      <c r="S308" s="3132"/>
      <c r="T308" s="3132"/>
      <c r="U308" s="3132"/>
      <c r="V308" s="3132"/>
      <c r="W308" s="3132"/>
      <c r="X308" s="3132"/>
      <c r="Y308" s="3132"/>
      <c r="Z308" s="3132"/>
      <c r="AA308" s="3132"/>
      <c r="AB308" s="3132"/>
      <c r="AC308" s="3132"/>
      <c r="AD308" s="3133"/>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34"/>
      <c r="J309" s="3134"/>
      <c r="K309" s="3134"/>
      <c r="L309" s="3134"/>
      <c r="M309" s="3134"/>
      <c r="N309" s="3134"/>
      <c r="O309" s="3134"/>
      <c r="P309" s="3134"/>
      <c r="Q309" s="3134"/>
      <c r="R309" s="3134"/>
      <c r="S309" s="3134"/>
      <c r="T309" s="3134"/>
      <c r="U309" s="3134"/>
      <c r="V309" s="3134"/>
      <c r="W309" s="3134"/>
      <c r="X309" s="3134"/>
      <c r="Y309" s="3134"/>
      <c r="Z309" s="3134"/>
      <c r="AA309" s="3134"/>
      <c r="AB309" s="3134"/>
      <c r="AC309" s="3134"/>
      <c r="AD309" s="3135"/>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32" t="s">
        <v>1388</v>
      </c>
      <c r="J311" s="3132"/>
      <c r="K311" s="3132"/>
      <c r="L311" s="3132"/>
      <c r="M311" s="3132"/>
      <c r="N311" s="3132"/>
      <c r="O311" s="3132"/>
      <c r="P311" s="3132"/>
      <c r="Q311" s="3132"/>
      <c r="R311" s="3132"/>
      <c r="S311" s="3132"/>
      <c r="T311" s="3132"/>
      <c r="U311" s="3132"/>
      <c r="V311" s="3132"/>
      <c r="W311" s="3132"/>
      <c r="X311" s="3132"/>
      <c r="Y311" s="3132"/>
      <c r="Z311" s="3132"/>
      <c r="AA311" s="3132"/>
      <c r="AB311" s="3132"/>
      <c r="AC311" s="3132"/>
      <c r="AD311" s="3133"/>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32"/>
      <c r="J312" s="3132"/>
      <c r="K312" s="3132"/>
      <c r="L312" s="3132"/>
      <c r="M312" s="3132"/>
      <c r="N312" s="3132"/>
      <c r="O312" s="3132"/>
      <c r="P312" s="3132"/>
      <c r="Q312" s="3132"/>
      <c r="R312" s="3132"/>
      <c r="S312" s="3132"/>
      <c r="T312" s="3132"/>
      <c r="U312" s="3132"/>
      <c r="V312" s="3132"/>
      <c r="W312" s="3132"/>
      <c r="X312" s="3132"/>
      <c r="Y312" s="3132"/>
      <c r="Z312" s="3132"/>
      <c r="AA312" s="3132"/>
      <c r="AB312" s="3132"/>
      <c r="AC312" s="3132"/>
      <c r="AD312" s="3133"/>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34"/>
      <c r="J313" s="3134"/>
      <c r="K313" s="3134"/>
      <c r="L313" s="3134"/>
      <c r="M313" s="3134"/>
      <c r="N313" s="3134"/>
      <c r="O313" s="3134"/>
      <c r="P313" s="3134"/>
      <c r="Q313" s="3134"/>
      <c r="R313" s="3134"/>
      <c r="S313" s="3134"/>
      <c r="T313" s="3134"/>
      <c r="U313" s="3134"/>
      <c r="V313" s="3134"/>
      <c r="W313" s="3134"/>
      <c r="X313" s="3134"/>
      <c r="Y313" s="3134"/>
      <c r="Z313" s="3134"/>
      <c r="AA313" s="3134"/>
      <c r="AB313" s="3134"/>
      <c r="AC313" s="3134"/>
      <c r="AD313" s="3135"/>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22" t="s">
        <v>1681</v>
      </c>
      <c r="B315" s="3122"/>
      <c r="C315" s="3090" t="s">
        <v>628</v>
      </c>
      <c r="D315" s="3090"/>
      <c r="E315" s="942"/>
      <c r="F315" s="3021" t="s">
        <v>1682</v>
      </c>
      <c r="G315" s="3022"/>
      <c r="H315" s="3022"/>
      <c r="I315" s="3022"/>
      <c r="J315" s="3022"/>
      <c r="K315" s="3022"/>
      <c r="L315" s="3022"/>
      <c r="M315" s="3022"/>
      <c r="N315" s="3022"/>
      <c r="O315" s="3022"/>
      <c r="P315" s="3022"/>
      <c r="Q315" s="3022"/>
      <c r="R315" s="3022"/>
      <c r="S315" s="3022"/>
      <c r="T315" s="3022"/>
      <c r="U315" s="3022"/>
      <c r="V315" s="3022"/>
      <c r="W315" s="3022"/>
      <c r="X315" s="3022"/>
      <c r="Y315" s="3022"/>
      <c r="Z315" s="3022"/>
      <c r="AA315" s="3022"/>
      <c r="AB315" s="3022"/>
      <c r="AC315" s="3022"/>
      <c r="AD315" s="3023"/>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27"/>
      <c r="G316" s="3028"/>
      <c r="H316" s="3028"/>
      <c r="I316" s="3028"/>
      <c r="J316" s="3028"/>
      <c r="K316" s="3028"/>
      <c r="L316" s="3028"/>
      <c r="M316" s="3028"/>
      <c r="N316" s="3028"/>
      <c r="O316" s="3028"/>
      <c r="P316" s="3028"/>
      <c r="Q316" s="3028"/>
      <c r="R316" s="3028"/>
      <c r="S316" s="3028"/>
      <c r="T316" s="3028"/>
      <c r="U316" s="3028"/>
      <c r="V316" s="3028"/>
      <c r="W316" s="3028"/>
      <c r="X316" s="3028"/>
      <c r="Y316" s="3028"/>
      <c r="Z316" s="3028"/>
      <c r="AA316" s="3028"/>
      <c r="AB316" s="3028"/>
      <c r="AC316" s="3028"/>
      <c r="AD316" s="3029"/>
      <c r="AE316" s="946"/>
      <c r="AF316" s="946"/>
      <c r="AG316" s="946"/>
      <c r="AH316" s="946"/>
      <c r="AI316" s="946"/>
      <c r="AJ316" s="945"/>
      <c r="AK316" s="1028"/>
      <c r="AL316" s="1028"/>
      <c r="AM316" s="1028"/>
      <c r="AN316" s="110"/>
      <c r="AO316" s="51"/>
    </row>
    <row r="317" spans="1:60" ht="15" customHeight="1">
      <c r="A317" s="1062"/>
      <c r="B317" s="946"/>
      <c r="C317" s="946"/>
      <c r="D317" s="946"/>
      <c r="E317" s="946"/>
      <c r="F317" s="3027"/>
      <c r="G317" s="3028"/>
      <c r="H317" s="3028"/>
      <c r="I317" s="3028"/>
      <c r="J317" s="3028"/>
      <c r="K317" s="3028"/>
      <c r="L317" s="3028"/>
      <c r="M317" s="3028"/>
      <c r="N317" s="3028"/>
      <c r="O317" s="3028"/>
      <c r="P317" s="3028"/>
      <c r="Q317" s="3028"/>
      <c r="R317" s="3028"/>
      <c r="S317" s="3028"/>
      <c r="T317" s="3028"/>
      <c r="U317" s="3028"/>
      <c r="V317" s="3028"/>
      <c r="W317" s="3028"/>
      <c r="X317" s="3028"/>
      <c r="Y317" s="3028"/>
      <c r="Z317" s="3028"/>
      <c r="AA317" s="3028"/>
      <c r="AB317" s="3028"/>
      <c r="AC317" s="3028"/>
      <c r="AD317" s="3029"/>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98">
        <f>AP279</f>
        <v>9</v>
      </c>
      <c r="AL320" s="3099"/>
      <c r="AM320" s="310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1" t="s">
        <v>1598</v>
      </c>
      <c r="AF323" s="3081"/>
      <c r="AG323" s="3081"/>
      <c r="AH323" s="3081"/>
      <c r="AI323" s="3081"/>
      <c r="AJ323" s="3081"/>
      <c r="AK323" s="308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17" t="s">
        <v>2208</v>
      </c>
      <c r="C325" s="3117"/>
      <c r="D325" s="3117"/>
      <c r="E325" s="3117"/>
      <c r="F325" s="3117"/>
      <c r="G325" s="3117"/>
      <c r="H325" s="3117"/>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17"/>
      <c r="AD325" s="3117"/>
      <c r="AE325" s="3117"/>
      <c r="AF325" s="3117"/>
      <c r="AG325" s="3117"/>
      <c r="AH325" s="3117"/>
      <c r="AI325" s="3117"/>
      <c r="AJ325" s="3117"/>
      <c r="AK325" s="1080"/>
      <c r="AL325" s="969"/>
      <c r="AM325" s="1029"/>
      <c r="AN325" s="1002"/>
    </row>
    <row r="326" spans="1:42" s="945" customFormat="1" ht="12.75" customHeight="1">
      <c r="A326" s="1029"/>
      <c r="B326" s="3117"/>
      <c r="C326" s="3117"/>
      <c r="D326" s="3117"/>
      <c r="E326" s="3117"/>
      <c r="F326" s="3117"/>
      <c r="G326" s="3117"/>
      <c r="H326" s="3117"/>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17"/>
      <c r="AD326" s="3117"/>
      <c r="AE326" s="3117"/>
      <c r="AF326" s="3117"/>
      <c r="AG326" s="3117"/>
      <c r="AH326" s="3117"/>
      <c r="AI326" s="3117"/>
      <c r="AJ326" s="3117"/>
      <c r="AK326" s="1080"/>
      <c r="AL326" s="969"/>
      <c r="AM326" s="1029"/>
      <c r="AN326" s="1002"/>
    </row>
    <row r="327" spans="1:42" s="945" customFormat="1" ht="12.75" customHeight="1">
      <c r="A327" s="1029"/>
      <c r="B327" s="3117"/>
      <c r="C327" s="3117"/>
      <c r="D327" s="3117"/>
      <c r="E327" s="3117"/>
      <c r="F327" s="3117"/>
      <c r="G327" s="3117"/>
      <c r="H327" s="3117"/>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17"/>
      <c r="AD327" s="3117"/>
      <c r="AE327" s="3117"/>
      <c r="AF327" s="3117"/>
      <c r="AG327" s="3117"/>
      <c r="AH327" s="3117"/>
      <c r="AI327" s="3117"/>
      <c r="AJ327" s="3117"/>
      <c r="AK327" s="1080"/>
      <c r="AL327" s="969"/>
      <c r="AM327" s="1029"/>
      <c r="AN327" s="1002"/>
    </row>
    <row r="328" spans="1:42" s="945" customFormat="1" ht="12.75" customHeight="1">
      <c r="A328" s="1029"/>
      <c r="B328" s="3117"/>
      <c r="C328" s="3117"/>
      <c r="D328" s="3117"/>
      <c r="E328" s="3117"/>
      <c r="F328" s="3117"/>
      <c r="G328" s="3117"/>
      <c r="H328" s="3117"/>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17"/>
      <c r="AD328" s="3117"/>
      <c r="AE328" s="3117"/>
      <c r="AF328" s="3117"/>
      <c r="AG328" s="3117"/>
      <c r="AH328" s="3117"/>
      <c r="AI328" s="3117"/>
      <c r="AJ328" s="3117"/>
      <c r="AK328" s="1080"/>
      <c r="AL328" s="969"/>
      <c r="AM328" s="1029"/>
      <c r="AN328" s="1002"/>
    </row>
    <row r="329" spans="1:42" s="945" customFormat="1" ht="12.75" customHeight="1">
      <c r="A329" s="1029"/>
      <c r="B329" s="3117"/>
      <c r="C329" s="3117"/>
      <c r="D329" s="3117"/>
      <c r="E329" s="3117"/>
      <c r="F329" s="3117"/>
      <c r="G329" s="3117"/>
      <c r="H329" s="3117"/>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7"/>
      <c r="AD329" s="3117"/>
      <c r="AE329" s="3117"/>
      <c r="AF329" s="3117"/>
      <c r="AG329" s="3117"/>
      <c r="AH329" s="3117"/>
      <c r="AI329" s="3117"/>
      <c r="AJ329" s="3117"/>
      <c r="AK329" s="1080"/>
      <c r="AL329" s="969"/>
      <c r="AM329" s="1029"/>
      <c r="AN329" s="1002"/>
    </row>
    <row r="330" spans="1:42" s="945" customFormat="1" ht="12.75" customHeight="1">
      <c r="A330" s="1029"/>
      <c r="B330" s="3117"/>
      <c r="C330" s="3117"/>
      <c r="D330" s="3117"/>
      <c r="E330" s="3117"/>
      <c r="F330" s="3117"/>
      <c r="G330" s="3117"/>
      <c r="H330" s="3117"/>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17"/>
      <c r="AD330" s="3117"/>
      <c r="AE330" s="3117"/>
      <c r="AF330" s="3117"/>
      <c r="AG330" s="3117"/>
      <c r="AH330" s="3117"/>
      <c r="AI330" s="3117"/>
      <c r="AJ330" s="3117"/>
      <c r="AK330" s="1080"/>
      <c r="AL330" s="969"/>
      <c r="AM330" s="1029"/>
      <c r="AN330" s="1002"/>
    </row>
    <row r="331" spans="1:42" s="945" customFormat="1" ht="12.75" customHeight="1">
      <c r="A331" s="1029"/>
      <c r="B331" s="3117"/>
      <c r="C331" s="3117"/>
      <c r="D331" s="3117"/>
      <c r="E331" s="3117"/>
      <c r="F331" s="3117"/>
      <c r="G331" s="3117"/>
      <c r="H331" s="3117"/>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17"/>
      <c r="AD331" s="3117"/>
      <c r="AE331" s="3117"/>
      <c r="AF331" s="3117"/>
      <c r="AG331" s="3117"/>
      <c r="AH331" s="3117"/>
      <c r="AI331" s="3117"/>
      <c r="AJ331" s="3117"/>
      <c r="AK331" s="1080"/>
      <c r="AL331" s="969"/>
      <c r="AM331" s="1029"/>
      <c r="AN331" s="1002"/>
    </row>
    <row r="332" spans="1:42" ht="12.75" customHeight="1">
      <c r="A332" s="1029"/>
      <c r="B332" s="3117"/>
      <c r="C332" s="3117"/>
      <c r="D332" s="3117"/>
      <c r="E332" s="3117"/>
      <c r="F332" s="3117"/>
      <c r="G332" s="3117"/>
      <c r="H332" s="3117"/>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17"/>
      <c r="AD332" s="3117"/>
      <c r="AE332" s="3117"/>
      <c r="AF332" s="3117"/>
      <c r="AG332" s="3117"/>
      <c r="AH332" s="3117"/>
      <c r="AI332" s="3117"/>
      <c r="AJ332" s="3117"/>
      <c r="AK332" s="1080"/>
      <c r="AL332" s="969"/>
      <c r="AM332" s="1029"/>
    </row>
    <row r="333" spans="1:42" s="945" customFormat="1" ht="12.75" customHeight="1">
      <c r="A333" s="1062"/>
      <c r="B333" s="3117"/>
      <c r="C333" s="3117"/>
      <c r="D333" s="3117"/>
      <c r="E333" s="3117"/>
      <c r="F333" s="3117"/>
      <c r="G333" s="3117"/>
      <c r="H333" s="3117"/>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17"/>
      <c r="AD333" s="3117"/>
      <c r="AE333" s="3117"/>
      <c r="AF333" s="3117"/>
      <c r="AG333" s="3117"/>
      <c r="AH333" s="3117"/>
      <c r="AI333" s="3117"/>
      <c r="AJ333" s="311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57" t="s">
        <v>1622</v>
      </c>
      <c r="AG339" s="3057"/>
      <c r="AH339" s="3057"/>
      <c r="AI339" s="3057"/>
      <c r="AJ339" s="3057"/>
      <c r="AK339" s="3057"/>
      <c r="AL339" s="3057"/>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57" t="s">
        <v>1688</v>
      </c>
      <c r="AG346" s="3057"/>
      <c r="AH346" s="3057"/>
      <c r="AI346" s="3057"/>
      <c r="AJ346" s="3057"/>
      <c r="AK346" s="3057"/>
      <c r="AL346" s="3057"/>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57" t="s">
        <v>1662</v>
      </c>
      <c r="AG352" s="3057"/>
      <c r="AH352" s="3057"/>
      <c r="AI352" s="3057"/>
      <c r="AJ352" s="3057"/>
      <c r="AK352" s="3057"/>
      <c r="AL352" s="3057"/>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57" t="s">
        <v>1691</v>
      </c>
      <c r="AG358" s="3057"/>
      <c r="AH358" s="3057"/>
      <c r="AI358" s="3057"/>
      <c r="AJ358" s="3057"/>
      <c r="AK358" s="3057"/>
      <c r="AL358" s="3057"/>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39" t="s">
        <v>1388</v>
      </c>
      <c r="P362" s="3139"/>
      <c r="Q362" s="3139"/>
      <c r="R362" s="3139"/>
      <c r="S362" s="3139"/>
      <c r="T362" s="3139"/>
      <c r="U362" s="3139"/>
      <c r="V362" s="3139"/>
      <c r="W362" s="3139"/>
      <c r="X362" s="3139"/>
      <c r="Y362" s="3139"/>
      <c r="Z362" s="3139"/>
      <c r="AA362" s="3139"/>
      <c r="AB362" s="313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57" t="s">
        <v>1636</v>
      </c>
      <c r="AG364" s="3057"/>
      <c r="AH364" s="3057"/>
      <c r="AI364" s="3057"/>
      <c r="AJ364" s="3057"/>
      <c r="AK364" s="3057"/>
      <c r="AL364" s="3057"/>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36" t="s">
        <v>727</v>
      </c>
      <c r="I367" s="313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38" t="s">
        <v>628</v>
      </c>
      <c r="J375" s="3138"/>
      <c r="K375" s="3138"/>
      <c r="L375" s="3138"/>
      <c r="M375" s="3138"/>
      <c r="N375" s="3138"/>
      <c r="O375" s="3138"/>
      <c r="P375" s="3138"/>
      <c r="Q375" s="3138"/>
      <c r="R375" s="3138"/>
      <c r="S375" s="3138"/>
      <c r="T375" s="3138"/>
      <c r="U375" s="3138"/>
      <c r="V375" s="3138"/>
      <c r="W375" s="3138"/>
      <c r="X375" s="3138"/>
      <c r="Y375" s="3138"/>
      <c r="Z375" s="3138"/>
      <c r="AA375" s="3138"/>
      <c r="AB375" s="3138"/>
      <c r="AC375" s="3138"/>
      <c r="AD375" s="3138"/>
      <c r="AE375" s="3138"/>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85" t="s">
        <v>628</v>
      </c>
      <c r="C377" s="3085"/>
      <c r="D377" s="1648"/>
      <c r="E377" s="3117" t="s">
        <v>1695</v>
      </c>
      <c r="F377" s="3117"/>
      <c r="G377" s="3117"/>
      <c r="H377" s="3117"/>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17"/>
      <c r="AD377" s="3117"/>
      <c r="AE377" s="3117"/>
      <c r="AF377" s="3117"/>
      <c r="AG377" s="3117"/>
      <c r="AH377" s="1648"/>
      <c r="AI377" s="1648"/>
      <c r="AJ377" s="1648"/>
      <c r="AK377" s="1648"/>
      <c r="AL377" s="1648"/>
      <c r="AN377" s="1002"/>
    </row>
    <row r="378" spans="1:46" s="945" customFormat="1" ht="12.75" customHeight="1">
      <c r="A378" s="1062"/>
      <c r="B378" s="1025"/>
      <c r="C378" s="1643"/>
      <c r="D378" s="1648"/>
      <c r="E378" s="3117"/>
      <c r="F378" s="3117"/>
      <c r="G378" s="3117"/>
      <c r="H378" s="3117"/>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17"/>
      <c r="AD378" s="3117"/>
      <c r="AE378" s="3117"/>
      <c r="AF378" s="3117"/>
      <c r="AG378" s="3117"/>
      <c r="AH378" s="1648"/>
      <c r="AI378" s="1648"/>
      <c r="AJ378" s="1648"/>
      <c r="AK378" s="1648"/>
      <c r="AL378" s="1648"/>
      <c r="AN378" s="1002"/>
    </row>
    <row r="379" spans="1:46" s="945" customFormat="1" ht="12.75" customHeight="1">
      <c r="A379" s="1062"/>
      <c r="B379" s="1025"/>
      <c r="C379" s="1643"/>
      <c r="D379" s="1648"/>
      <c r="E379" s="3117"/>
      <c r="F379" s="3117"/>
      <c r="G379" s="3117"/>
      <c r="H379" s="3117"/>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17"/>
      <c r="AD379" s="3117"/>
      <c r="AE379" s="3117"/>
      <c r="AF379" s="3117"/>
      <c r="AG379" s="3117"/>
      <c r="AH379" s="1648"/>
      <c r="AI379" s="1648"/>
      <c r="AJ379" s="1648"/>
      <c r="AK379" s="1648"/>
      <c r="AL379" s="1648"/>
      <c r="AN379" s="1002"/>
    </row>
    <row r="380" spans="1:46" s="945" customFormat="1" ht="12.75" customHeight="1">
      <c r="A380" s="1062"/>
      <c r="B380" s="1025"/>
      <c r="C380" s="1643"/>
      <c r="D380" s="1650"/>
      <c r="E380" s="3117"/>
      <c r="F380" s="3117"/>
      <c r="G380" s="3117"/>
      <c r="H380" s="3117"/>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17"/>
      <c r="AD380" s="3117"/>
      <c r="AE380" s="3117"/>
      <c r="AF380" s="3117"/>
      <c r="AG380" s="311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98">
        <f>VLOOKUP($H$367,$AO$347:$AP$352,2,FALSE)+VLOOKUP($I$375,$AO$374:$AP$376,2,FALSE)</f>
        <v>7</v>
      </c>
      <c r="AK382" s="310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37" t="s">
        <v>2209</v>
      </c>
      <c r="F386" s="3137"/>
      <c r="G386" s="3137"/>
      <c r="H386" s="3137"/>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37"/>
      <c r="AD386" s="3137"/>
      <c r="AE386" s="934"/>
      <c r="AF386" s="3057" t="s">
        <v>1636</v>
      </c>
      <c r="AG386" s="3057"/>
      <c r="AH386" s="3057"/>
      <c r="AI386" s="3057"/>
      <c r="AJ386" s="3057"/>
      <c r="AK386" s="3057"/>
      <c r="AL386" s="3057"/>
      <c r="AM386" s="1028"/>
      <c r="AN386" s="1127"/>
    </row>
    <row r="387" spans="1:42" s="945" customFormat="1" ht="12.75" customHeight="1">
      <c r="A387" s="1128"/>
      <c r="B387" s="1025"/>
      <c r="C387" s="1643"/>
      <c r="D387" s="1108"/>
      <c r="E387" s="3137"/>
      <c r="F387" s="3137"/>
      <c r="G387" s="3137"/>
      <c r="H387" s="3137"/>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37"/>
      <c r="AD387" s="313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7"/>
      <c r="F388" s="3137"/>
      <c r="G388" s="3137"/>
      <c r="H388" s="3137"/>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37"/>
      <c r="AD388" s="313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7"/>
      <c r="F389" s="3137"/>
      <c r="G389" s="3137"/>
      <c r="H389" s="3137"/>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37"/>
      <c r="AD389" s="313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7"/>
      <c r="F390" s="3137"/>
      <c r="G390" s="3137"/>
      <c r="H390" s="3137"/>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37"/>
      <c r="AD390" s="313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7"/>
      <c r="F391" s="3137"/>
      <c r="G391" s="3137"/>
      <c r="H391" s="3137"/>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37"/>
      <c r="AD391" s="313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7"/>
      <c r="F392" s="3137"/>
      <c r="G392" s="3137"/>
      <c r="H392" s="3137"/>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37"/>
      <c r="AD392" s="313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7"/>
      <c r="F393" s="3137"/>
      <c r="G393" s="3137"/>
      <c r="H393" s="3137"/>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37"/>
      <c r="AD393" s="313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85" t="s">
        <v>628</v>
      </c>
      <c r="Y395" s="3085"/>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57" t="s">
        <v>1700</v>
      </c>
      <c r="AG397" s="3057"/>
      <c r="AH397" s="3057"/>
      <c r="AI397" s="3057"/>
      <c r="AJ397" s="3057"/>
      <c r="AK397" s="3057"/>
      <c r="AL397" s="3057"/>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36" t="s">
        <v>727</v>
      </c>
      <c r="I399" s="313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98">
        <f>VLOOKUP($H$399,$AO$366:$AP$368,2,FALSE)</f>
        <v>3</v>
      </c>
      <c r="AK401" s="3100"/>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57" t="s">
        <v>1636</v>
      </c>
      <c r="AG405" s="3057"/>
      <c r="AH405" s="3057"/>
      <c r="AI405" s="3057"/>
      <c r="AJ405" s="3057"/>
      <c r="AK405" s="3057"/>
      <c r="AL405" s="3057"/>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57" t="s">
        <v>1700</v>
      </c>
      <c r="AG408" s="3057"/>
      <c r="AH408" s="3057"/>
      <c r="AI408" s="3057"/>
      <c r="AJ408" s="3057"/>
      <c r="AK408" s="3057"/>
      <c r="AL408" s="3057"/>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36" t="s">
        <v>628</v>
      </c>
      <c r="I411" s="313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98">
        <f>VLOOKUP(H411,AT366:AU368,2,FALSE)</f>
        <v>0</v>
      </c>
      <c r="AK413" s="3100"/>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17" t="s">
        <v>1712</v>
      </c>
      <c r="F418" s="3117"/>
      <c r="G418" s="3117"/>
      <c r="H418" s="3117"/>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17"/>
      <c r="AD418" s="929"/>
      <c r="AE418" s="929"/>
      <c r="AF418" s="3057" t="s">
        <v>1662</v>
      </c>
      <c r="AG418" s="3057"/>
      <c r="AH418" s="3057"/>
      <c r="AI418" s="3057"/>
      <c r="AJ418" s="3057"/>
      <c r="AK418" s="3057"/>
      <c r="AL418" s="3057"/>
      <c r="AN418" s="1002"/>
    </row>
    <row r="419" spans="1:42" s="945" customFormat="1" ht="12.75" customHeight="1">
      <c r="B419" s="929"/>
      <c r="C419" s="988"/>
      <c r="D419" s="929"/>
      <c r="E419" s="3117"/>
      <c r="F419" s="3117"/>
      <c r="G419" s="3117"/>
      <c r="H419" s="3117"/>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17"/>
      <c r="AD419" s="929"/>
      <c r="AE419" s="929"/>
      <c r="AF419" s="929"/>
      <c r="AG419" s="929"/>
      <c r="AH419" s="929"/>
      <c r="AI419" s="929"/>
      <c r="AJ419" s="929"/>
      <c r="AK419" s="929"/>
      <c r="AL419" s="929"/>
      <c r="AN419" s="1002"/>
    </row>
    <row r="420" spans="1:42" s="945" customFormat="1" ht="12.75" customHeight="1">
      <c r="B420" s="929"/>
      <c r="C420" s="988"/>
      <c r="D420" s="1108"/>
      <c r="E420" s="3117"/>
      <c r="F420" s="3117"/>
      <c r="G420" s="3117"/>
      <c r="H420" s="3117"/>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1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17" t="s">
        <v>1713</v>
      </c>
      <c r="F422" s="3117"/>
      <c r="G422" s="3117"/>
      <c r="H422" s="3117"/>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17"/>
      <c r="AD422" s="929"/>
      <c r="AE422" s="929"/>
      <c r="AF422" s="3057" t="s">
        <v>1691</v>
      </c>
      <c r="AG422" s="3057"/>
      <c r="AH422" s="3057"/>
      <c r="AI422" s="3057"/>
      <c r="AJ422" s="3057"/>
      <c r="AK422" s="3057"/>
      <c r="AL422" s="3057"/>
      <c r="AN422" s="1002"/>
    </row>
    <row r="423" spans="1:42" s="945" customFormat="1" ht="12.75" customHeight="1">
      <c r="B423" s="929"/>
      <c r="C423" s="988"/>
      <c r="D423" s="929"/>
      <c r="E423" s="3117"/>
      <c r="F423" s="3117"/>
      <c r="G423" s="3117"/>
      <c r="H423" s="3117"/>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17"/>
      <c r="AD423" s="929"/>
      <c r="AE423" s="929"/>
      <c r="AF423" s="929"/>
      <c r="AG423" s="929"/>
      <c r="AH423" s="929"/>
      <c r="AI423" s="929"/>
      <c r="AJ423" s="929"/>
      <c r="AK423" s="929"/>
      <c r="AL423" s="929"/>
      <c r="AN423" s="1002"/>
    </row>
    <row r="424" spans="1:42" s="945" customFormat="1" ht="15" customHeight="1">
      <c r="B424" s="929"/>
      <c r="C424" s="988"/>
      <c r="D424" s="1108"/>
      <c r="E424" s="3117"/>
      <c r="F424" s="3117"/>
      <c r="G424" s="3117"/>
      <c r="H424" s="3117"/>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1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17" t="s">
        <v>1714</v>
      </c>
      <c r="F426" s="3117"/>
      <c r="G426" s="3117"/>
      <c r="H426" s="3117"/>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17"/>
      <c r="AD426" s="929"/>
      <c r="AE426" s="929"/>
      <c r="AF426" s="3057" t="s">
        <v>1636</v>
      </c>
      <c r="AG426" s="3057"/>
      <c r="AH426" s="3057"/>
      <c r="AI426" s="3057"/>
      <c r="AJ426" s="3057"/>
      <c r="AK426" s="3057"/>
      <c r="AL426" s="3057"/>
      <c r="AN426" s="1002"/>
    </row>
    <row r="427" spans="1:42" s="945" customFormat="1" ht="12.75" customHeight="1">
      <c r="A427" s="1062"/>
      <c r="B427" s="1025"/>
      <c r="C427" s="1644"/>
      <c r="D427" s="929"/>
      <c r="E427" s="3117"/>
      <c r="F427" s="3117"/>
      <c r="G427" s="3117"/>
      <c r="H427" s="3117"/>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17"/>
      <c r="AD427" s="929"/>
      <c r="AE427" s="3057"/>
      <c r="AF427" s="3057"/>
      <c r="AG427" s="3057"/>
      <c r="AH427" s="3057"/>
      <c r="AI427" s="3057"/>
      <c r="AJ427" s="3057"/>
      <c r="AK427" s="3057"/>
      <c r="AL427" s="1598"/>
      <c r="AM427" s="1028"/>
      <c r="AN427" s="1002"/>
      <c r="AO427" s="945" t="s">
        <v>628</v>
      </c>
      <c r="AP427" s="1122">
        <v>0</v>
      </c>
    </row>
    <row r="428" spans="1:42" s="945" customFormat="1" ht="12.75" customHeight="1">
      <c r="A428" s="1128"/>
      <c r="B428" s="929"/>
      <c r="C428" s="929"/>
      <c r="D428" s="1108"/>
      <c r="E428" s="3117"/>
      <c r="F428" s="3117"/>
      <c r="G428" s="3117"/>
      <c r="H428" s="3117"/>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17"/>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117" t="s">
        <v>1715</v>
      </c>
      <c r="F430" s="3117"/>
      <c r="G430" s="3117"/>
      <c r="H430" s="3117"/>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17"/>
      <c r="AD430" s="929"/>
      <c r="AE430" s="929"/>
      <c r="AF430" s="3057" t="s">
        <v>1691</v>
      </c>
      <c r="AG430" s="3057"/>
      <c r="AH430" s="3057"/>
      <c r="AI430" s="3057"/>
      <c r="AJ430" s="3057"/>
      <c r="AK430" s="3057"/>
      <c r="AL430" s="3057"/>
      <c r="AN430" s="1002"/>
    </row>
    <row r="431" spans="1:42" s="945" customFormat="1" ht="12.75" customHeight="1">
      <c r="A431" s="1117"/>
      <c r="B431" s="1025"/>
      <c r="C431" s="1660"/>
      <c r="D431" s="1108"/>
      <c r="E431" s="3117"/>
      <c r="F431" s="3117"/>
      <c r="G431" s="3117"/>
      <c r="H431" s="3117"/>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1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17"/>
      <c r="F432" s="3117"/>
      <c r="G432" s="3117"/>
      <c r="H432" s="3117"/>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1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117" t="s">
        <v>1716</v>
      </c>
      <c r="F434" s="3117"/>
      <c r="G434" s="3117"/>
      <c r="H434" s="3117"/>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17"/>
      <c r="AD434" s="929"/>
      <c r="AE434" s="929"/>
      <c r="AF434" s="3057" t="s">
        <v>1636</v>
      </c>
      <c r="AG434" s="3057"/>
      <c r="AH434" s="3057"/>
      <c r="AI434" s="3057"/>
      <c r="AJ434" s="3057"/>
      <c r="AK434" s="3057"/>
      <c r="AL434" s="3057"/>
      <c r="AM434" s="1067"/>
      <c r="AN434" s="1002"/>
    </row>
    <row r="435" spans="1:42" s="945" customFormat="1" ht="12.75" customHeight="1">
      <c r="A435" s="1062"/>
      <c r="B435" s="1025"/>
      <c r="C435" s="1644"/>
      <c r="D435" s="1108"/>
      <c r="E435" s="3117"/>
      <c r="F435" s="3117"/>
      <c r="G435" s="3117"/>
      <c r="H435" s="3117"/>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1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17"/>
      <c r="F436" s="3117"/>
      <c r="G436" s="3117"/>
      <c r="H436" s="3117"/>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1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117" t="s">
        <v>1717</v>
      </c>
      <c r="F438" s="3117"/>
      <c r="G438" s="3117"/>
      <c r="H438" s="3117"/>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17"/>
      <c r="AD438" s="929"/>
      <c r="AE438" s="929"/>
      <c r="AF438" s="3057" t="s">
        <v>1700</v>
      </c>
      <c r="AG438" s="3057"/>
      <c r="AH438" s="3057"/>
      <c r="AI438" s="3057"/>
      <c r="AJ438" s="3057"/>
      <c r="AK438" s="3057"/>
      <c r="AL438" s="3057"/>
      <c r="AM438" s="1067"/>
      <c r="AN438" s="1002"/>
    </row>
    <row r="439" spans="1:42" s="945" customFormat="1" ht="12.75" customHeight="1">
      <c r="A439" s="1601"/>
      <c r="B439" s="1008"/>
      <c r="C439" s="1641"/>
      <c r="D439" s="1108"/>
      <c r="E439" s="3117"/>
      <c r="F439" s="3117"/>
      <c r="G439" s="3117"/>
      <c r="H439" s="3117"/>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1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17"/>
      <c r="F440" s="3117"/>
      <c r="G440" s="3117"/>
      <c r="H440" s="3117"/>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1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117" t="s">
        <v>1718</v>
      </c>
      <c r="F442" s="3117"/>
      <c r="G442" s="3117"/>
      <c r="H442" s="3117"/>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17"/>
      <c r="AD442" s="929"/>
      <c r="AE442" s="929"/>
      <c r="AF442" s="3057" t="s">
        <v>1719</v>
      </c>
      <c r="AG442" s="3057"/>
      <c r="AH442" s="3057"/>
      <c r="AI442" s="3057"/>
      <c r="AJ442" s="3057"/>
      <c r="AK442" s="3057"/>
      <c r="AL442" s="3057"/>
      <c r="AM442" s="1067"/>
      <c r="AN442" s="1002"/>
      <c r="AO442" s="1120" t="s">
        <v>727</v>
      </c>
      <c r="AP442" s="945">
        <v>3</v>
      </c>
    </row>
    <row r="443" spans="1:42" s="945" customFormat="1" ht="12.75" customHeight="1">
      <c r="A443" s="1601"/>
      <c r="B443" s="1008"/>
      <c r="C443" s="1641"/>
      <c r="D443" s="1108"/>
      <c r="E443" s="3117"/>
      <c r="F443" s="3117"/>
      <c r="G443" s="3117"/>
      <c r="H443" s="3117"/>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17"/>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117"/>
      <c r="F444" s="3117"/>
      <c r="G444" s="3117"/>
      <c r="H444" s="3117"/>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1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36" t="s">
        <v>628</v>
      </c>
      <c r="I446" s="313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98">
        <f>VLOOKUP($H$446,$AO$394:$AP$401,2,FALSE)</f>
        <v>0</v>
      </c>
      <c r="AK448" s="310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117" t="s">
        <v>2204</v>
      </c>
      <c r="F452" s="3117"/>
      <c r="G452" s="3117"/>
      <c r="H452" s="3117"/>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929"/>
      <c r="AD452" s="929"/>
      <c r="AE452" s="932"/>
      <c r="AF452" s="3057" t="s">
        <v>1636</v>
      </c>
      <c r="AG452" s="3057"/>
      <c r="AH452" s="3057"/>
      <c r="AI452" s="3057"/>
      <c r="AJ452" s="3057"/>
      <c r="AK452" s="3057"/>
      <c r="AL452" s="3057"/>
      <c r="AM452" s="1028"/>
      <c r="AN452" s="1003"/>
    </row>
    <row r="453" spans="1:42" s="1004" customFormat="1" ht="12.75" customHeight="1">
      <c r="A453" s="1062"/>
      <c r="B453" s="1025"/>
      <c r="C453" s="1653"/>
      <c r="D453" s="1108"/>
      <c r="E453" s="3117"/>
      <c r="F453" s="3117"/>
      <c r="G453" s="3117"/>
      <c r="H453" s="3117"/>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929"/>
      <c r="AD453" s="929"/>
      <c r="AE453" s="1037"/>
      <c r="AF453" s="932"/>
      <c r="AG453" s="932"/>
      <c r="AH453" s="932"/>
      <c r="AI453" s="932"/>
      <c r="AJ453" s="932"/>
      <c r="AK453" s="932"/>
      <c r="AL453" s="932"/>
      <c r="AM453" s="1028"/>
      <c r="AN453" s="1003"/>
      <c r="AO453" s="3140"/>
      <c r="AP453" s="3140"/>
    </row>
    <row r="454" spans="1:42" s="1004" customFormat="1" ht="12.75" customHeight="1">
      <c r="A454" s="1062"/>
      <c r="B454" s="1025"/>
      <c r="C454" s="1653"/>
      <c r="D454" s="1108"/>
      <c r="E454" s="3117"/>
      <c r="F454" s="3117"/>
      <c r="G454" s="3117"/>
      <c r="H454" s="3117"/>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17"/>
      <c r="F455" s="3117"/>
      <c r="G455" s="3117"/>
      <c r="H455" s="3117"/>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117" t="s">
        <v>2206</v>
      </c>
      <c r="F457" s="3117"/>
      <c r="G457" s="3117"/>
      <c r="H457" s="3117"/>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929"/>
      <c r="AD457" s="929"/>
      <c r="AE457" s="929"/>
      <c r="AF457" s="3057" t="s">
        <v>1700</v>
      </c>
      <c r="AG457" s="3057"/>
      <c r="AH457" s="3057"/>
      <c r="AI457" s="3057"/>
      <c r="AJ457" s="3057"/>
      <c r="AK457" s="3057"/>
      <c r="AL457" s="3057"/>
      <c r="AM457" s="1028"/>
      <c r="AN457" s="1002"/>
      <c r="AO457" s="1120" t="s">
        <v>544</v>
      </c>
      <c r="AP457" s="945">
        <v>1</v>
      </c>
    </row>
    <row r="458" spans="1:42" s="945" customFormat="1" ht="12" customHeight="1">
      <c r="A458" s="1028"/>
      <c r="B458" s="929"/>
      <c r="C458" s="1661"/>
      <c r="D458" s="929"/>
      <c r="E458" s="3117"/>
      <c r="F458" s="3117"/>
      <c r="G458" s="3117"/>
      <c r="H458" s="3117"/>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17"/>
      <c r="F459" s="3117"/>
      <c r="G459" s="3117"/>
      <c r="H459" s="3117"/>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17"/>
      <c r="F460" s="3117"/>
      <c r="G460" s="3117"/>
      <c r="H460" s="3117"/>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17" t="s">
        <v>2205</v>
      </c>
      <c r="F462" s="3117"/>
      <c r="G462" s="3117"/>
      <c r="H462" s="3117"/>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17"/>
      <c r="F463" s="3117"/>
      <c r="G463" s="3117"/>
      <c r="H463" s="3117"/>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17"/>
      <c r="F464" s="3117"/>
      <c r="G464" s="3117"/>
      <c r="H464" s="3117"/>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36" t="s">
        <v>727</v>
      </c>
      <c r="I466" s="313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98">
        <f>VLOOKUP($H$466,$AO$413:$AP$415,2,FALSE)</f>
        <v>3</v>
      </c>
      <c r="AK468" s="3100"/>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41" t="s">
        <v>2210</v>
      </c>
      <c r="F472" s="3141"/>
      <c r="G472" s="3141"/>
      <c r="H472" s="3141"/>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929"/>
      <c r="AD472" s="929"/>
      <c r="AE472" s="929"/>
      <c r="AF472" s="3057" t="s">
        <v>1636</v>
      </c>
      <c r="AG472" s="3057"/>
      <c r="AH472" s="3057"/>
      <c r="AI472" s="3057"/>
      <c r="AJ472" s="3057"/>
      <c r="AK472" s="3057"/>
      <c r="AL472" s="3057"/>
      <c r="AM472" s="1028"/>
      <c r="AN472" s="1135"/>
      <c r="AP472" s="1137" t="s">
        <v>1728</v>
      </c>
    </row>
    <row r="473" spans="1:43" s="1136" customFormat="1" ht="11.85" customHeight="1">
      <c r="A473" s="1062"/>
      <c r="B473" s="1025"/>
      <c r="C473" s="1643"/>
      <c r="D473" s="1108"/>
      <c r="E473" s="3141"/>
      <c r="F473" s="3141"/>
      <c r="G473" s="3141"/>
      <c r="H473" s="3141"/>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3141"/>
      <c r="F474" s="3141"/>
      <c r="G474" s="3141"/>
      <c r="H474" s="3141"/>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544</v>
      </c>
      <c r="E476" s="3142" t="s">
        <v>1731</v>
      </c>
      <c r="F476" s="3142"/>
      <c r="G476" s="3142"/>
      <c r="H476" s="3142"/>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929"/>
      <c r="AD476" s="929"/>
      <c r="AE476" s="929"/>
      <c r="AF476" s="3057" t="s">
        <v>1700</v>
      </c>
      <c r="AG476" s="3057"/>
      <c r="AH476" s="3057"/>
      <c r="AI476" s="3057"/>
      <c r="AJ476" s="3057"/>
      <c r="AK476" s="3057"/>
      <c r="AL476" s="3057"/>
      <c r="AM476" s="1028"/>
      <c r="AN476" s="1138"/>
    </row>
    <row r="477" spans="1:43" s="1136" customFormat="1" ht="12.75" customHeight="1">
      <c r="A477" s="1062"/>
      <c r="B477" s="1025"/>
      <c r="C477" s="1643"/>
      <c r="D477" s="1025"/>
      <c r="E477" s="3142"/>
      <c r="F477" s="3142"/>
      <c r="G477" s="3142"/>
      <c r="H477" s="3142"/>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42"/>
      <c r="F478" s="3142"/>
      <c r="G478" s="3142"/>
      <c r="H478" s="3142"/>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1692</v>
      </c>
      <c r="E480" s="1647"/>
      <c r="F480" s="1647"/>
      <c r="G480" s="1647"/>
      <c r="H480" s="3136" t="s">
        <v>628</v>
      </c>
      <c r="I480" s="313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98">
        <f>VLOOKUP($H$480,$AO$413:$AP$415,2,FALSE)</f>
        <v>0</v>
      </c>
      <c r="AK482" s="3100"/>
      <c r="AL482" s="1007"/>
      <c r="AM482" s="1004"/>
      <c r="AN482" s="1140"/>
      <c r="AP482" s="3098"/>
      <c r="AQ482" s="310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117" t="s">
        <v>2211</v>
      </c>
      <c r="F486" s="3117"/>
      <c r="G486" s="3117"/>
      <c r="H486" s="3117"/>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929"/>
      <c r="AD486" s="929"/>
      <c r="AE486" s="929"/>
      <c r="AF486" s="3057" t="s">
        <v>1636</v>
      </c>
      <c r="AG486" s="3057"/>
      <c r="AH486" s="3057"/>
      <c r="AI486" s="3057"/>
      <c r="AJ486" s="3057"/>
      <c r="AK486" s="3057"/>
      <c r="AL486" s="3057"/>
      <c r="AM486" s="1028"/>
      <c r="AN486" s="1135"/>
      <c r="AT486" s="51"/>
      <c r="AU486" s="51"/>
      <c r="AV486" s="51"/>
      <c r="AW486" s="51"/>
      <c r="AX486" s="51"/>
      <c r="AY486" s="51"/>
      <c r="AZ486" s="51"/>
    </row>
    <row r="487" spans="1:81" s="1136" customFormat="1">
      <c r="A487" s="1062"/>
      <c r="B487" s="1025"/>
      <c r="C487" s="1643"/>
      <c r="D487" s="1108"/>
      <c r="E487" s="3117"/>
      <c r="F487" s="3117"/>
      <c r="G487" s="3117"/>
      <c r="H487" s="3117"/>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117" t="s">
        <v>1735</v>
      </c>
      <c r="F489" s="3117"/>
      <c r="G489" s="3117"/>
      <c r="H489" s="3117"/>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929"/>
      <c r="AD489" s="929"/>
      <c r="AE489" s="929"/>
      <c r="AF489" s="3057" t="s">
        <v>1700</v>
      </c>
      <c r="AG489" s="3057"/>
      <c r="AH489" s="3057"/>
      <c r="AI489" s="3057"/>
      <c r="AJ489" s="3057"/>
      <c r="AK489" s="3057"/>
      <c r="AL489" s="3057"/>
      <c r="AM489" s="1028"/>
      <c r="AN489" s="1135"/>
      <c r="AT489" s="51"/>
      <c r="AU489" s="51"/>
      <c r="AV489" s="51"/>
      <c r="AW489" s="51"/>
      <c r="AX489" s="51"/>
      <c r="AY489" s="51"/>
      <c r="AZ489" s="51"/>
    </row>
    <row r="490" spans="1:81" s="1136" customFormat="1">
      <c r="A490" s="1062"/>
      <c r="B490" s="1025"/>
      <c r="C490" s="1643"/>
      <c r="D490" s="1025"/>
      <c r="E490" s="3117"/>
      <c r="F490" s="3117"/>
      <c r="G490" s="3117"/>
      <c r="H490" s="3117"/>
      <c r="I490" s="3117"/>
      <c r="J490" s="3117"/>
      <c r="K490" s="3117"/>
      <c r="L490" s="3117"/>
      <c r="M490" s="3117"/>
      <c r="N490" s="3117"/>
      <c r="O490" s="3117"/>
      <c r="P490" s="3117"/>
      <c r="Q490" s="3117"/>
      <c r="R490" s="3117"/>
      <c r="S490" s="3117"/>
      <c r="T490" s="3117"/>
      <c r="U490" s="3117"/>
      <c r="V490" s="3117"/>
      <c r="W490" s="3117"/>
      <c r="X490" s="3117"/>
      <c r="Y490" s="3117"/>
      <c r="Z490" s="3117"/>
      <c r="AA490" s="3117"/>
      <c r="AB490" s="311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36" t="s">
        <v>628</v>
      </c>
      <c r="I492" s="313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98">
        <f>VLOOKUP($H$492,$AO$427:$AP$429,2,FALSE)</f>
        <v>0</v>
      </c>
      <c r="AK494" s="310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117" t="s">
        <v>1738</v>
      </c>
      <c r="F498" s="3117"/>
      <c r="G498" s="3117"/>
      <c r="H498" s="3117"/>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929"/>
      <c r="AD498" s="929"/>
      <c r="AE498" s="929"/>
      <c r="AF498" s="3057" t="s">
        <v>1636</v>
      </c>
      <c r="AG498" s="3057"/>
      <c r="AH498" s="3057"/>
      <c r="AI498" s="3057"/>
      <c r="AJ498" s="3057"/>
      <c r="AK498" s="3057"/>
      <c r="AL498" s="3057"/>
      <c r="AM498" s="1028"/>
      <c r="AN498" s="1135"/>
      <c r="AT498" s="51"/>
      <c r="AU498" s="51"/>
      <c r="AV498" s="51"/>
      <c r="AW498" s="51"/>
      <c r="AX498" s="51"/>
      <c r="AY498" s="51"/>
      <c r="AZ498" s="51"/>
    </row>
    <row r="499" spans="1:81" s="1136" customFormat="1">
      <c r="A499" s="1062"/>
      <c r="B499" s="929"/>
      <c r="C499" s="1641"/>
      <c r="D499" s="1108"/>
      <c r="E499" s="3117"/>
      <c r="F499" s="3117"/>
      <c r="G499" s="3117"/>
      <c r="H499" s="3117"/>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117"/>
      <c r="F500" s="3117"/>
      <c r="G500" s="3117"/>
      <c r="H500" s="3117"/>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17"/>
      <c r="F501" s="3117"/>
      <c r="G501" s="3117"/>
      <c r="H501" s="3117"/>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117" t="s">
        <v>1739</v>
      </c>
      <c r="F503" s="3117"/>
      <c r="G503" s="3117"/>
      <c r="H503" s="3117"/>
      <c r="I503" s="3117"/>
      <c r="J503" s="3117"/>
      <c r="K503" s="3117"/>
      <c r="L503" s="3117"/>
      <c r="M503" s="3117"/>
      <c r="N503" s="3117"/>
      <c r="O503" s="3117"/>
      <c r="P503" s="3117"/>
      <c r="Q503" s="3117"/>
      <c r="R503" s="3117"/>
      <c r="S503" s="3117"/>
      <c r="T503" s="3117"/>
      <c r="U503" s="3117"/>
      <c r="V503" s="3117"/>
      <c r="W503" s="3117"/>
      <c r="X503" s="3117"/>
      <c r="Y503" s="3117"/>
      <c r="Z503" s="3117"/>
      <c r="AA503" s="3117"/>
      <c r="AB503" s="971"/>
      <c r="AC503" s="929"/>
      <c r="AD503" s="929"/>
      <c r="AE503" s="929"/>
      <c r="AF503" s="3057" t="s">
        <v>1700</v>
      </c>
      <c r="AG503" s="3057"/>
      <c r="AH503" s="3057"/>
      <c r="AI503" s="3057"/>
      <c r="AJ503" s="3057"/>
      <c r="AK503" s="3057"/>
      <c r="AL503" s="3057"/>
      <c r="AM503" s="1028"/>
      <c r="AN503" s="1135"/>
      <c r="AO503" s="126"/>
      <c r="AP503" s="51"/>
    </row>
    <row r="504" spans="1:81" s="1136" customFormat="1">
      <c r="A504" s="1062"/>
      <c r="B504" s="1008"/>
      <c r="C504" s="1641"/>
      <c r="D504" s="1108"/>
      <c r="E504" s="3117"/>
      <c r="F504" s="3117"/>
      <c r="G504" s="3117"/>
      <c r="H504" s="3117"/>
      <c r="I504" s="3117"/>
      <c r="J504" s="3117"/>
      <c r="K504" s="3117"/>
      <c r="L504" s="3117"/>
      <c r="M504" s="3117"/>
      <c r="N504" s="3117"/>
      <c r="O504" s="3117"/>
      <c r="P504" s="3117"/>
      <c r="Q504" s="3117"/>
      <c r="R504" s="3117"/>
      <c r="S504" s="3117"/>
      <c r="T504" s="3117"/>
      <c r="U504" s="3117"/>
      <c r="V504" s="3117"/>
      <c r="W504" s="3117"/>
      <c r="X504" s="3117"/>
      <c r="Y504" s="3117"/>
      <c r="Z504" s="3117"/>
      <c r="AA504" s="311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117"/>
      <c r="F505" s="3117"/>
      <c r="G505" s="3117"/>
      <c r="H505" s="3117"/>
      <c r="I505" s="3117"/>
      <c r="J505" s="3117"/>
      <c r="K505" s="3117"/>
      <c r="L505" s="3117"/>
      <c r="M505" s="3117"/>
      <c r="N505" s="3117"/>
      <c r="O505" s="3117"/>
      <c r="P505" s="3117"/>
      <c r="Q505" s="3117"/>
      <c r="R505" s="3117"/>
      <c r="S505" s="3117"/>
      <c r="T505" s="3117"/>
      <c r="U505" s="3117"/>
      <c r="V505" s="3117"/>
      <c r="W505" s="3117"/>
      <c r="X505" s="3117"/>
      <c r="Y505" s="3117"/>
      <c r="Z505" s="3117"/>
      <c r="AA505" s="311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117"/>
      <c r="F506" s="3117"/>
      <c r="G506" s="3117"/>
      <c r="H506" s="3117"/>
      <c r="I506" s="3117"/>
      <c r="J506" s="3117"/>
      <c r="K506" s="3117"/>
      <c r="L506" s="3117"/>
      <c r="M506" s="3117"/>
      <c r="N506" s="3117"/>
      <c r="O506" s="3117"/>
      <c r="P506" s="3117"/>
      <c r="Q506" s="3117"/>
      <c r="R506" s="3117"/>
      <c r="S506" s="3117"/>
      <c r="T506" s="3117"/>
      <c r="U506" s="3117"/>
      <c r="V506" s="3117"/>
      <c r="W506" s="3117"/>
      <c r="X506" s="3117"/>
      <c r="Y506" s="3117"/>
      <c r="Z506" s="3117"/>
      <c r="AA506" s="311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36" t="s">
        <v>544</v>
      </c>
      <c r="I508" s="313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98">
        <f>VLOOKUP($H$508,$AO$441:$AP$443,2,FALSE)</f>
        <v>2</v>
      </c>
      <c r="AK510" s="310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117" t="s">
        <v>1741</v>
      </c>
      <c r="F514" s="3117"/>
      <c r="G514" s="3117"/>
      <c r="H514" s="3117"/>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929"/>
      <c r="AD514" s="929"/>
      <c r="AE514" s="929"/>
      <c r="AF514" s="3057" t="s">
        <v>1700</v>
      </c>
      <c r="AG514" s="3057"/>
      <c r="AH514" s="3057"/>
      <c r="AI514" s="3057"/>
      <c r="AJ514" s="3057"/>
      <c r="AK514" s="3057"/>
      <c r="AL514" s="305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117"/>
      <c r="F515" s="3117"/>
      <c r="G515" s="3117"/>
      <c r="H515" s="3117"/>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117" t="s">
        <v>1742</v>
      </c>
      <c r="F517" s="3117"/>
      <c r="G517" s="3117"/>
      <c r="H517" s="3117"/>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929"/>
      <c r="AD517" s="929"/>
      <c r="AE517" s="929"/>
      <c r="AF517" s="3057" t="s">
        <v>1719</v>
      </c>
      <c r="AG517" s="3057"/>
      <c r="AH517" s="3057"/>
      <c r="AI517" s="3057"/>
      <c r="AJ517" s="3057"/>
      <c r="AK517" s="3057"/>
      <c r="AL517" s="305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17"/>
      <c r="F518" s="3117"/>
      <c r="G518" s="3117"/>
      <c r="H518" s="3117"/>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36" t="s">
        <v>544</v>
      </c>
      <c r="I520" s="313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98">
        <f>VLOOKUP($H$520,$AO$455:$AP$457,2,FALSE)</f>
        <v>1</v>
      </c>
      <c r="AK522" s="310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117" t="s">
        <v>2203</v>
      </c>
      <c r="F526" s="3117"/>
      <c r="G526" s="3117"/>
      <c r="H526" s="3117"/>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17"/>
      <c r="AD526" s="3117"/>
      <c r="AE526" s="929"/>
      <c r="AF526" s="3057" t="s">
        <v>1700</v>
      </c>
      <c r="AG526" s="3057"/>
      <c r="AH526" s="3057"/>
      <c r="AI526" s="3057"/>
      <c r="AJ526" s="3057"/>
      <c r="AK526" s="3057"/>
      <c r="AL526" s="3057"/>
      <c r="AM526" s="1033"/>
      <c r="AN526" s="1135"/>
    </row>
    <row r="527" spans="1:74" s="1136" customFormat="1" ht="13.7" customHeight="1">
      <c r="A527" s="1062"/>
      <c r="B527" s="1037"/>
      <c r="C527" s="1653"/>
      <c r="D527" s="1108"/>
      <c r="E527" s="3117"/>
      <c r="F527" s="3117"/>
      <c r="G527" s="3117"/>
      <c r="H527" s="3117"/>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17"/>
      <c r="AD527" s="3117"/>
      <c r="AE527" s="929"/>
      <c r="AF527" s="1598"/>
      <c r="AG527" s="1598"/>
      <c r="AH527" s="1598"/>
      <c r="AI527" s="1598"/>
      <c r="AJ527" s="1598"/>
      <c r="AK527" s="1598"/>
      <c r="AL527" s="1598"/>
      <c r="AM527" s="1033"/>
      <c r="AN527" s="1135"/>
    </row>
    <row r="528" spans="1:74" s="1136" customFormat="1">
      <c r="A528" s="1062"/>
      <c r="B528" s="1037"/>
      <c r="C528" s="1653"/>
      <c r="D528" s="1108"/>
      <c r="E528" s="3117"/>
      <c r="F528" s="3117"/>
      <c r="G528" s="3117"/>
      <c r="H528" s="3117"/>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17"/>
      <c r="AD528" s="311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117"/>
      <c r="F529" s="3117"/>
      <c r="G529" s="3117"/>
      <c r="H529" s="3117"/>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17"/>
      <c r="AD529" s="311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43" t="s">
        <v>2212</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9"/>
      <c r="AF531" s="3057" t="s">
        <v>1636</v>
      </c>
      <c r="AG531" s="3057"/>
      <c r="AH531" s="3057"/>
      <c r="AI531" s="3057"/>
      <c r="AJ531" s="3057"/>
      <c r="AK531" s="3057"/>
      <c r="AL531" s="3057"/>
      <c r="AM531" s="1033"/>
      <c r="AN531" s="1002"/>
    </row>
    <row r="532" spans="1:81" s="945" customFormat="1" ht="12.75" customHeight="1">
      <c r="A532" s="1062"/>
      <c r="B532" s="1037"/>
      <c r="C532" s="1653"/>
      <c r="D532" s="1108"/>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36" t="s">
        <v>628</v>
      </c>
      <c r="I536" s="313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98">
        <f>VLOOKUP($H$536,$AP$477:$AQ$479,2,FALSE)</f>
        <v>0</v>
      </c>
      <c r="AK538" s="310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117" t="s">
        <v>2202</v>
      </c>
      <c r="F542" s="3117"/>
      <c r="G542" s="3117"/>
      <c r="H542" s="3117"/>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17"/>
      <c r="AD542" s="3117"/>
      <c r="AE542" s="929"/>
      <c r="AF542" s="3057" t="s">
        <v>1746</v>
      </c>
      <c r="AG542" s="3057"/>
      <c r="AH542" s="3057"/>
      <c r="AI542" s="3057"/>
      <c r="AJ542" s="3057"/>
      <c r="AK542" s="3057"/>
      <c r="AL542" s="3057"/>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117"/>
      <c r="F543" s="3117"/>
      <c r="G543" s="3117"/>
      <c r="H543" s="3117"/>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17"/>
      <c r="AD543" s="311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117"/>
      <c r="F544" s="3117"/>
      <c r="G544" s="3117"/>
      <c r="H544" s="3117"/>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17"/>
      <c r="AD544" s="311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117"/>
      <c r="F545" s="3117"/>
      <c r="G545" s="3117"/>
      <c r="H545" s="3117"/>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17"/>
      <c r="AD545" s="311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36" t="s">
        <v>628</v>
      </c>
      <c r="I547" s="313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98">
        <f>VLOOKUP($H$547,$AO$541:$AP$542,2,FALSE)</f>
        <v>0</v>
      </c>
      <c r="AK549" s="310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98">
        <f>IF(($AJ$382+$AJ$401+$AJ$413+$AJ$448+$AJ$468+$AJ$482+$AJ$494+$AJ$510+$AJ$522+$AJ$538+AJ549)&gt;10,10,($AJ$382+$AJ$401+$AJ$413+$AJ$448+$AJ$468+$AJ$482+$AJ$494+$AJ$510+$AJ$522+$AJ$538+AJ549))</f>
        <v>10</v>
      </c>
      <c r="AL551" s="3099"/>
      <c r="AM551" s="310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98">
        <f>IF((AK320+AK551)&gt;20,20,(AK320+AK551))</f>
        <v>19</v>
      </c>
      <c r="AL553" s="3099"/>
      <c r="AM553" s="310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1" t="s">
        <v>1598</v>
      </c>
      <c r="AF556" s="3081"/>
      <c r="AG556" s="3081"/>
      <c r="AH556" s="3081"/>
      <c r="AI556" s="3081"/>
      <c r="AJ556" s="3081"/>
      <c r="AK556" s="308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47" t="s">
        <v>1751</v>
      </c>
      <c r="D558" s="3147"/>
      <c r="E558" s="3147"/>
      <c r="F558" s="3147"/>
      <c r="G558" s="3147"/>
      <c r="H558" s="3147"/>
      <c r="I558" s="3147"/>
      <c r="J558" s="3147"/>
      <c r="K558" s="3147"/>
      <c r="L558" s="3147"/>
      <c r="M558" s="3147"/>
      <c r="N558" s="3147"/>
      <c r="O558" s="3147"/>
      <c r="P558" s="3147"/>
      <c r="Q558" s="3147"/>
      <c r="R558" s="3147"/>
      <c r="S558" s="3147"/>
      <c r="T558" s="3147"/>
      <c r="U558" s="3147"/>
      <c r="V558" s="3147"/>
      <c r="W558" s="3147"/>
      <c r="X558" s="3147"/>
      <c r="Y558" s="3147"/>
      <c r="Z558" s="3147"/>
      <c r="AA558" s="3147"/>
      <c r="AB558" s="3147"/>
      <c r="AC558" s="3147"/>
      <c r="AD558" s="3147"/>
      <c r="AE558" s="3147"/>
      <c r="AF558" s="3147"/>
      <c r="AG558" s="3147"/>
      <c r="AH558" s="3147"/>
      <c r="AI558" s="3147"/>
      <c r="AJ558" s="3147"/>
      <c r="AK558" s="1029"/>
      <c r="AL558" s="1029"/>
      <c r="AM558" s="1029"/>
      <c r="AN558" s="1002"/>
    </row>
    <row r="559" spans="1:81" s="945" customFormat="1" ht="12.75" customHeight="1">
      <c r="A559" s="1029"/>
      <c r="B559" s="1030"/>
      <c r="C559" s="3147"/>
      <c r="D559" s="3147"/>
      <c r="E559" s="3147"/>
      <c r="F559" s="3147"/>
      <c r="G559" s="3147"/>
      <c r="H559" s="3147"/>
      <c r="I559" s="3147"/>
      <c r="J559" s="3147"/>
      <c r="K559" s="3147"/>
      <c r="L559" s="3147"/>
      <c r="M559" s="3147"/>
      <c r="N559" s="3147"/>
      <c r="O559" s="3147"/>
      <c r="P559" s="3147"/>
      <c r="Q559" s="3147"/>
      <c r="R559" s="3147"/>
      <c r="S559" s="3147"/>
      <c r="T559" s="3147"/>
      <c r="U559" s="3147"/>
      <c r="V559" s="3147"/>
      <c r="W559" s="3147"/>
      <c r="X559" s="3147"/>
      <c r="Y559" s="3147"/>
      <c r="Z559" s="3147"/>
      <c r="AA559" s="3147"/>
      <c r="AB559" s="3147"/>
      <c r="AC559" s="3147"/>
      <c r="AD559" s="3147"/>
      <c r="AE559" s="3147"/>
      <c r="AF559" s="3147"/>
      <c r="AG559" s="3147"/>
      <c r="AH559" s="3147"/>
      <c r="AI559" s="3147"/>
      <c r="AJ559" s="3147"/>
      <c r="AK559" s="1029"/>
      <c r="AL559" s="1029"/>
      <c r="AM559" s="1029"/>
      <c r="AN559" s="1002"/>
    </row>
    <row r="560" spans="1:81" s="945" customFormat="1" ht="12.75" customHeight="1">
      <c r="A560" s="1029"/>
      <c r="B560" s="1030"/>
      <c r="C560" s="3147"/>
      <c r="D560" s="3147"/>
      <c r="E560" s="3147"/>
      <c r="F560" s="3147"/>
      <c r="G560" s="3147"/>
      <c r="H560" s="3147"/>
      <c r="I560" s="3147"/>
      <c r="J560" s="3147"/>
      <c r="K560" s="3147"/>
      <c r="L560" s="3147"/>
      <c r="M560" s="3147"/>
      <c r="N560" s="3147"/>
      <c r="O560" s="3147"/>
      <c r="P560" s="3147"/>
      <c r="Q560" s="3147"/>
      <c r="R560" s="3147"/>
      <c r="S560" s="3147"/>
      <c r="T560" s="3147"/>
      <c r="U560" s="3147"/>
      <c r="V560" s="3147"/>
      <c r="W560" s="3147"/>
      <c r="X560" s="3147"/>
      <c r="Y560" s="3147"/>
      <c r="Z560" s="3147"/>
      <c r="AA560" s="3147"/>
      <c r="AB560" s="3147"/>
      <c r="AC560" s="3147"/>
      <c r="AD560" s="3147"/>
      <c r="AE560" s="3147"/>
      <c r="AF560" s="3147"/>
      <c r="AG560" s="3147"/>
      <c r="AH560" s="3147"/>
      <c r="AI560" s="3147"/>
      <c r="AJ560" s="3147"/>
      <c r="AK560" s="1029"/>
      <c r="AL560" s="1029"/>
      <c r="AM560" s="1029"/>
      <c r="AN560" s="1002"/>
      <c r="AQ560" s="1137"/>
      <c r="AR560" s="1004"/>
    </row>
    <row r="561" spans="1:46" s="945" customFormat="1" ht="12.75" customHeight="1">
      <c r="A561" s="1029"/>
      <c r="B561" s="1120"/>
      <c r="C561" s="3147"/>
      <c r="D561" s="3147"/>
      <c r="E561" s="3147"/>
      <c r="F561" s="3147"/>
      <c r="G561" s="3147"/>
      <c r="H561" s="3147"/>
      <c r="I561" s="3147"/>
      <c r="J561" s="3147"/>
      <c r="K561" s="3147"/>
      <c r="L561" s="3147"/>
      <c r="M561" s="3147"/>
      <c r="N561" s="3147"/>
      <c r="O561" s="3147"/>
      <c r="P561" s="3147"/>
      <c r="Q561" s="3147"/>
      <c r="R561" s="3147"/>
      <c r="S561" s="3147"/>
      <c r="T561" s="3147"/>
      <c r="U561" s="3147"/>
      <c r="V561" s="3147"/>
      <c r="W561" s="3147"/>
      <c r="X561" s="3147"/>
      <c r="Y561" s="3147"/>
      <c r="Z561" s="3147"/>
      <c r="AA561" s="3147"/>
      <c r="AB561" s="3147"/>
      <c r="AC561" s="3147"/>
      <c r="AD561" s="3147"/>
      <c r="AE561" s="3147"/>
      <c r="AF561" s="3147"/>
      <c r="AG561" s="3147"/>
      <c r="AH561" s="3147"/>
      <c r="AI561" s="3147"/>
      <c r="AJ561" s="3147"/>
      <c r="AK561" s="1029"/>
      <c r="AL561" s="1029"/>
      <c r="AM561" s="1029"/>
      <c r="AN561" s="1002"/>
      <c r="AQ561" s="1137"/>
      <c r="AR561" s="1004"/>
    </row>
    <row r="562" spans="1:46" s="945" customFormat="1" ht="12.4" customHeight="1">
      <c r="A562" s="1029"/>
      <c r="B562" s="1120"/>
      <c r="C562" s="3147"/>
      <c r="D562" s="3147"/>
      <c r="E562" s="3147"/>
      <c r="F562" s="3147"/>
      <c r="G562" s="3147"/>
      <c r="H562" s="3147"/>
      <c r="I562" s="3147"/>
      <c r="J562" s="3147"/>
      <c r="K562" s="3147"/>
      <c r="L562" s="3147"/>
      <c r="M562" s="3147"/>
      <c r="N562" s="3147"/>
      <c r="O562" s="3147"/>
      <c r="P562" s="3147"/>
      <c r="Q562" s="3147"/>
      <c r="R562" s="3147"/>
      <c r="S562" s="3147"/>
      <c r="T562" s="3147"/>
      <c r="U562" s="3147"/>
      <c r="V562" s="3147"/>
      <c r="W562" s="3147"/>
      <c r="X562" s="3147"/>
      <c r="Y562" s="3147"/>
      <c r="Z562" s="3147"/>
      <c r="AA562" s="3147"/>
      <c r="AB562" s="3147"/>
      <c r="AC562" s="3147"/>
      <c r="AD562" s="3147"/>
      <c r="AE562" s="3147"/>
      <c r="AF562" s="3147"/>
      <c r="AG562" s="3147"/>
      <c r="AH562" s="3147"/>
      <c r="AI562" s="3147"/>
      <c r="AJ562" s="3147"/>
      <c r="AK562" s="1029"/>
      <c r="AL562" s="1029"/>
      <c r="AM562" s="1029"/>
      <c r="AN562" s="1002"/>
      <c r="AQ562" s="1137"/>
      <c r="AR562" s="1137"/>
    </row>
    <row r="563" spans="1:46" s="945" customFormat="1" ht="24.95" customHeight="1">
      <c r="A563" s="1029"/>
      <c r="B563" s="1120"/>
      <c r="C563" s="3147" t="s">
        <v>1752</v>
      </c>
      <c r="D563" s="3147"/>
      <c r="E563" s="3147"/>
      <c r="F563" s="3147"/>
      <c r="G563" s="3147"/>
      <c r="H563" s="3147"/>
      <c r="I563" s="3147"/>
      <c r="J563" s="3147"/>
      <c r="K563" s="3147"/>
      <c r="L563" s="3147"/>
      <c r="M563" s="3147"/>
      <c r="N563" s="3147"/>
      <c r="O563" s="3147"/>
      <c r="P563" s="3147"/>
      <c r="Q563" s="3147"/>
      <c r="R563" s="3147"/>
      <c r="S563" s="3147"/>
      <c r="T563" s="3147"/>
      <c r="U563" s="3147"/>
      <c r="V563" s="3147"/>
      <c r="W563" s="3147"/>
      <c r="X563" s="3147"/>
      <c r="Y563" s="3147"/>
      <c r="Z563" s="3147"/>
      <c r="AA563" s="3147"/>
      <c r="AB563" s="3147"/>
      <c r="AC563" s="3147"/>
      <c r="AD563" s="3147"/>
      <c r="AE563" s="3147"/>
      <c r="AF563" s="3147"/>
      <c r="AG563" s="3147"/>
      <c r="AH563" s="3147"/>
      <c r="AI563" s="3147"/>
      <c r="AJ563" s="3147"/>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47" t="s">
        <v>2459</v>
      </c>
      <c r="D565" s="3147"/>
      <c r="E565" s="3147"/>
      <c r="F565" s="3147"/>
      <c r="G565" s="3147"/>
      <c r="H565" s="3147"/>
      <c r="I565" s="3147"/>
      <c r="J565" s="3147"/>
      <c r="K565" s="3147"/>
      <c r="L565" s="3147"/>
      <c r="M565" s="3147"/>
      <c r="N565" s="3147"/>
      <c r="O565" s="3147"/>
      <c r="P565" s="3147"/>
      <c r="Q565" s="3147"/>
      <c r="R565" s="3147"/>
      <c r="S565" s="3147"/>
      <c r="T565" s="3147"/>
      <c r="U565" s="3147"/>
      <c r="V565" s="3147"/>
      <c r="W565" s="3147"/>
      <c r="X565" s="3147"/>
      <c r="Y565" s="3147"/>
      <c r="Z565" s="3147"/>
      <c r="AA565" s="3147"/>
      <c r="AB565" s="3147"/>
      <c r="AC565" s="3147"/>
      <c r="AD565" s="3147"/>
      <c r="AE565" s="3147"/>
      <c r="AF565" s="3147"/>
      <c r="AG565" s="3147"/>
      <c r="AH565" s="3147"/>
      <c r="AI565" s="3147"/>
      <c r="AJ565" s="3147"/>
      <c r="AK565" s="1029"/>
      <c r="AL565" s="1029"/>
      <c r="AM565" s="1029"/>
      <c r="AN565" s="1002"/>
      <c r="AQ565" s="1137"/>
      <c r="AR565" s="1137"/>
    </row>
    <row r="566" spans="1:46" s="945" customFormat="1" ht="30" customHeight="1">
      <c r="A566" s="1029"/>
      <c r="B566" s="1120"/>
      <c r="C566" s="3147"/>
      <c r="D566" s="3147"/>
      <c r="E566" s="3147"/>
      <c r="F566" s="3147"/>
      <c r="G566" s="3147"/>
      <c r="H566" s="3147"/>
      <c r="I566" s="3147"/>
      <c r="J566" s="3147"/>
      <c r="K566" s="3147"/>
      <c r="L566" s="3147"/>
      <c r="M566" s="3147"/>
      <c r="N566" s="3147"/>
      <c r="O566" s="3147"/>
      <c r="P566" s="3147"/>
      <c r="Q566" s="3147"/>
      <c r="R566" s="3147"/>
      <c r="S566" s="3147"/>
      <c r="T566" s="3147"/>
      <c r="U566" s="3147"/>
      <c r="V566" s="3147"/>
      <c r="W566" s="3147"/>
      <c r="X566" s="3147"/>
      <c r="Y566" s="3147"/>
      <c r="Z566" s="3147"/>
      <c r="AA566" s="3147"/>
      <c r="AB566" s="3147"/>
      <c r="AC566" s="3147"/>
      <c r="AD566" s="3147"/>
      <c r="AE566" s="3147"/>
      <c r="AF566" s="3147"/>
      <c r="AG566" s="3147"/>
      <c r="AH566" s="3147"/>
      <c r="AI566" s="3147"/>
      <c r="AJ566" s="3147"/>
      <c r="AK566" s="1029"/>
      <c r="AL566" s="1029"/>
      <c r="AM566" s="1029"/>
      <c r="AN566" s="1002"/>
      <c r="AQ566" s="1004"/>
      <c r="AR566" s="1137"/>
    </row>
    <row r="567" spans="1:46" s="945" customFormat="1" ht="12.75" customHeight="1">
      <c r="A567" s="1029"/>
      <c r="B567" s="1120"/>
      <c r="C567" s="3147"/>
      <c r="D567" s="3147"/>
      <c r="E567" s="3147"/>
      <c r="F567" s="3147"/>
      <c r="G567" s="3147"/>
      <c r="H567" s="3147"/>
      <c r="I567" s="3147"/>
      <c r="J567" s="3147"/>
      <c r="K567" s="3147"/>
      <c r="L567" s="3147"/>
      <c r="M567" s="3147"/>
      <c r="N567" s="3147"/>
      <c r="O567" s="3147"/>
      <c r="P567" s="3147"/>
      <c r="Q567" s="3147"/>
      <c r="R567" s="3147"/>
      <c r="S567" s="3147"/>
      <c r="T567" s="3147"/>
      <c r="U567" s="3147"/>
      <c r="V567" s="3147"/>
      <c r="W567" s="3147"/>
      <c r="X567" s="3147"/>
      <c r="Y567" s="3147"/>
      <c r="Z567" s="3147"/>
      <c r="AA567" s="3147"/>
      <c r="AB567" s="3147"/>
      <c r="AC567" s="3147"/>
      <c r="AD567" s="3147"/>
      <c r="AE567" s="3147"/>
      <c r="AF567" s="3147"/>
      <c r="AG567" s="3147"/>
      <c r="AH567" s="3147"/>
      <c r="AI567" s="3147"/>
      <c r="AJ567" s="3147"/>
      <c r="AK567" s="1029"/>
      <c r="AL567" s="1029"/>
      <c r="AM567" s="1029"/>
      <c r="AN567" s="1002"/>
      <c r="AQ567" s="1004"/>
      <c r="AR567" s="1137"/>
    </row>
    <row r="568" spans="1:46" s="945" customFormat="1" ht="12.75" customHeight="1">
      <c r="A568" s="1029"/>
      <c r="B568" s="1120"/>
      <c r="C568" s="3147" t="s">
        <v>1753</v>
      </c>
      <c r="D568" s="3147"/>
      <c r="E568" s="3147"/>
      <c r="F568" s="3147"/>
      <c r="G568" s="3147"/>
      <c r="H568" s="3147"/>
      <c r="I568" s="3147"/>
      <c r="J568" s="3147"/>
      <c r="K568" s="3147"/>
      <c r="L568" s="3147"/>
      <c r="M568" s="3147"/>
      <c r="N568" s="3147"/>
      <c r="O568" s="3147"/>
      <c r="P568" s="3147"/>
      <c r="Q568" s="3147"/>
      <c r="R568" s="3147"/>
      <c r="S568" s="3147"/>
      <c r="T568" s="3147"/>
      <c r="U568" s="3147"/>
      <c r="V568" s="3147"/>
      <c r="W568" s="3147"/>
      <c r="X568" s="3147"/>
      <c r="Y568" s="3147"/>
      <c r="Z568" s="3147"/>
      <c r="AA568" s="3147"/>
      <c r="AB568" s="3147"/>
      <c r="AC568" s="3147"/>
      <c r="AD568" s="3147"/>
      <c r="AE568" s="3147"/>
      <c r="AF568" s="3147"/>
      <c r="AG568" s="3147"/>
      <c r="AH568" s="3147"/>
      <c r="AI568" s="3147"/>
      <c r="AJ568" s="3147"/>
      <c r="AK568" s="1029"/>
      <c r="AL568" s="1029"/>
      <c r="AM568" s="1029"/>
      <c r="AN568" s="1002"/>
      <c r="AQ568" s="1137"/>
      <c r="AR568" s="1137"/>
    </row>
    <row r="569" spans="1:46" s="945" customFormat="1" ht="12.75" customHeight="1">
      <c r="A569" s="1029"/>
      <c r="B569" s="1120"/>
      <c r="C569" s="3147"/>
      <c r="D569" s="3147"/>
      <c r="E569" s="3147"/>
      <c r="F569" s="3147"/>
      <c r="G569" s="3147"/>
      <c r="H569" s="3147"/>
      <c r="I569" s="3147"/>
      <c r="J569" s="3147"/>
      <c r="K569" s="3147"/>
      <c r="L569" s="3147"/>
      <c r="M569" s="3147"/>
      <c r="N569" s="3147"/>
      <c r="O569" s="3147"/>
      <c r="P569" s="3147"/>
      <c r="Q569" s="3147"/>
      <c r="R569" s="3147"/>
      <c r="S569" s="3147"/>
      <c r="T569" s="3147"/>
      <c r="U569" s="3147"/>
      <c r="V569" s="3147"/>
      <c r="W569" s="3147"/>
      <c r="X569" s="3147"/>
      <c r="Y569" s="3147"/>
      <c r="Z569" s="3147"/>
      <c r="AA569" s="3147"/>
      <c r="AB569" s="3147"/>
      <c r="AC569" s="3147"/>
      <c r="AD569" s="3147"/>
      <c r="AE569" s="3147"/>
      <c r="AF569" s="3147"/>
      <c r="AG569" s="3147"/>
      <c r="AH569" s="3147"/>
      <c r="AI569" s="3147"/>
      <c r="AJ569" s="3147"/>
      <c r="AK569" s="1029"/>
      <c r="AL569" s="1029"/>
      <c r="AM569" s="1029"/>
      <c r="AN569" s="1002"/>
      <c r="AQ569" s="1137"/>
      <c r="AR569" s="1137"/>
    </row>
    <row r="570" spans="1:46" s="945" customFormat="1" ht="13.15" customHeight="1">
      <c r="A570" s="1029"/>
      <c r="B570" s="1120"/>
      <c r="C570" s="3147"/>
      <c r="D570" s="3147"/>
      <c r="E570" s="3147"/>
      <c r="F570" s="3147"/>
      <c r="G570" s="3147"/>
      <c r="H570" s="3147"/>
      <c r="I570" s="3147"/>
      <c r="J570" s="3147"/>
      <c r="K570" s="3147"/>
      <c r="L570" s="3147"/>
      <c r="M570" s="3147"/>
      <c r="N570" s="3147"/>
      <c r="O570" s="3147"/>
      <c r="P570" s="3147"/>
      <c r="Q570" s="3147"/>
      <c r="R570" s="3147"/>
      <c r="S570" s="3147"/>
      <c r="T570" s="3147"/>
      <c r="U570" s="3147"/>
      <c r="V570" s="3147"/>
      <c r="W570" s="3147"/>
      <c r="X570" s="3147"/>
      <c r="Y570" s="3147"/>
      <c r="Z570" s="3147"/>
      <c r="AA570" s="3147"/>
      <c r="AB570" s="3147"/>
      <c r="AC570" s="3147"/>
      <c r="AD570" s="3147"/>
      <c r="AE570" s="3147"/>
      <c r="AF570" s="3147"/>
      <c r="AG570" s="3147"/>
      <c r="AH570" s="3147"/>
      <c r="AI570" s="3147"/>
      <c r="AJ570" s="3147"/>
      <c r="AK570" s="1029"/>
      <c r="AL570" s="1029"/>
      <c r="AM570" s="1029"/>
      <c r="AN570" s="1002"/>
      <c r="AQ570" s="1137"/>
      <c r="AR570" s="1137"/>
    </row>
    <row r="571" spans="1:46" s="945" customFormat="1" ht="12.75" customHeight="1">
      <c r="A571" s="1029"/>
      <c r="B571" s="1120"/>
      <c r="C571" s="3147"/>
      <c r="D571" s="3147"/>
      <c r="E571" s="3147"/>
      <c r="F571" s="3147"/>
      <c r="G571" s="3147"/>
      <c r="H571" s="3147"/>
      <c r="I571" s="3147"/>
      <c r="J571" s="3147"/>
      <c r="K571" s="3147"/>
      <c r="L571" s="3147"/>
      <c r="M571" s="3147"/>
      <c r="N571" s="3147"/>
      <c r="O571" s="3147"/>
      <c r="P571" s="3147"/>
      <c r="Q571" s="3147"/>
      <c r="R571" s="3147"/>
      <c r="S571" s="3147"/>
      <c r="T571" s="3147"/>
      <c r="U571" s="3147"/>
      <c r="V571" s="3147"/>
      <c r="W571" s="3147"/>
      <c r="X571" s="3147"/>
      <c r="Y571" s="3147"/>
      <c r="Z571" s="3147"/>
      <c r="AA571" s="3147"/>
      <c r="AB571" s="3147"/>
      <c r="AC571" s="3147"/>
      <c r="AD571" s="3147"/>
      <c r="AE571" s="3147"/>
      <c r="AF571" s="3147"/>
      <c r="AG571" s="3147"/>
      <c r="AH571" s="3147"/>
      <c r="AI571" s="3147"/>
      <c r="AJ571" s="3147"/>
      <c r="AK571" s="1029"/>
      <c r="AL571" s="1029"/>
      <c r="AM571" s="1029"/>
      <c r="AN571" s="1002"/>
      <c r="AO571" s="1152"/>
      <c r="AP571" s="1152"/>
      <c r="AQ571" s="1137"/>
      <c r="AR571" s="1004"/>
    </row>
    <row r="572" spans="1:46" s="945" customFormat="1" ht="11.85" customHeight="1">
      <c r="A572" s="1029"/>
      <c r="B572" s="1120"/>
      <c r="C572" s="3147"/>
      <c r="D572" s="3147"/>
      <c r="E572" s="3147"/>
      <c r="F572" s="3147"/>
      <c r="G572" s="3147"/>
      <c r="H572" s="3147"/>
      <c r="I572" s="3147"/>
      <c r="J572" s="3147"/>
      <c r="K572" s="3147"/>
      <c r="L572" s="3147"/>
      <c r="M572" s="3147"/>
      <c r="N572" s="3147"/>
      <c r="O572" s="3147"/>
      <c r="P572" s="3147"/>
      <c r="Q572" s="3147"/>
      <c r="R572" s="3147"/>
      <c r="S572" s="3147"/>
      <c r="T572" s="3147"/>
      <c r="U572" s="3147"/>
      <c r="V572" s="3147"/>
      <c r="W572" s="3147"/>
      <c r="X572" s="3147"/>
      <c r="Y572" s="3147"/>
      <c r="Z572" s="3147"/>
      <c r="AA572" s="3147"/>
      <c r="AB572" s="3147"/>
      <c r="AC572" s="3147"/>
      <c r="AD572" s="3147"/>
      <c r="AE572" s="3147"/>
      <c r="AF572" s="3147"/>
      <c r="AG572" s="3147"/>
      <c r="AH572" s="3147"/>
      <c r="AI572" s="3147"/>
      <c r="AJ572" s="3147"/>
      <c r="AK572" s="1029"/>
      <c r="AL572" s="1029"/>
      <c r="AM572" s="1029"/>
      <c r="AN572" s="1002"/>
      <c r="AO572" s="1153" t="s">
        <v>117</v>
      </c>
      <c r="AP572" s="1154">
        <f>IF(C596="Yes",5,0)</f>
        <v>0</v>
      </c>
      <c r="AQ572" s="1004"/>
      <c r="AR572" s="1004"/>
      <c r="AS572" s="934" t="s">
        <v>1754</v>
      </c>
    </row>
    <row r="573" spans="1:46" s="945" customFormat="1" ht="12.75" customHeight="1">
      <c r="A573" s="1029"/>
      <c r="B573" s="1120"/>
      <c r="C573" s="3147"/>
      <c r="D573" s="3147"/>
      <c r="E573" s="3147"/>
      <c r="F573" s="3147"/>
      <c r="G573" s="3147"/>
      <c r="H573" s="3147"/>
      <c r="I573" s="3147"/>
      <c r="J573" s="3147"/>
      <c r="K573" s="3147"/>
      <c r="L573" s="3147"/>
      <c r="M573" s="3147"/>
      <c r="N573" s="3147"/>
      <c r="O573" s="3147"/>
      <c r="P573" s="3147"/>
      <c r="Q573" s="3147"/>
      <c r="R573" s="3147"/>
      <c r="S573" s="3147"/>
      <c r="T573" s="3147"/>
      <c r="U573" s="3147"/>
      <c r="V573" s="3147"/>
      <c r="W573" s="3147"/>
      <c r="X573" s="3147"/>
      <c r="Y573" s="3147"/>
      <c r="Z573" s="3147"/>
      <c r="AA573" s="3147"/>
      <c r="AB573" s="3147"/>
      <c r="AC573" s="3147"/>
      <c r="AD573" s="3147"/>
      <c r="AE573" s="3147"/>
      <c r="AF573" s="3147"/>
      <c r="AG573" s="3147"/>
      <c r="AH573" s="3147"/>
      <c r="AI573" s="3147"/>
      <c r="AJ573" s="3147"/>
      <c r="AK573" s="1029"/>
      <c r="AL573" s="1029"/>
      <c r="AM573" s="1029"/>
      <c r="AN573" s="1002"/>
      <c r="AO573" s="1153" t="s">
        <v>118</v>
      </c>
      <c r="AP573" s="1154">
        <f>IF(C604="Yes",5,0)</f>
        <v>0</v>
      </c>
      <c r="AQ573" s="1004"/>
      <c r="AR573" s="1004"/>
      <c r="AS573" s="3144">
        <f>IF(AQ581=0,AQ590,AQ581)</f>
        <v>10</v>
      </c>
      <c r="AT573" s="3144"/>
    </row>
    <row r="574" spans="1:46" s="945" customFormat="1" ht="12.75" customHeight="1">
      <c r="A574" s="1029"/>
      <c r="B574" s="1120"/>
      <c r="C574" s="3147"/>
      <c r="D574" s="3147"/>
      <c r="E574" s="3147"/>
      <c r="F574" s="3147"/>
      <c r="G574" s="3147"/>
      <c r="H574" s="3147"/>
      <c r="I574" s="3147"/>
      <c r="J574" s="3147"/>
      <c r="K574" s="3147"/>
      <c r="L574" s="3147"/>
      <c r="M574" s="3147"/>
      <c r="N574" s="3147"/>
      <c r="O574" s="3147"/>
      <c r="P574" s="3147"/>
      <c r="Q574" s="3147"/>
      <c r="R574" s="3147"/>
      <c r="S574" s="3147"/>
      <c r="T574" s="3147"/>
      <c r="U574" s="3147"/>
      <c r="V574" s="3147"/>
      <c r="W574" s="3147"/>
      <c r="X574" s="3147"/>
      <c r="Y574" s="3147"/>
      <c r="Z574" s="3147"/>
      <c r="AA574" s="3147"/>
      <c r="AB574" s="3147"/>
      <c r="AC574" s="3147"/>
      <c r="AD574" s="3147"/>
      <c r="AE574" s="3147"/>
      <c r="AF574" s="3147"/>
      <c r="AG574" s="3147"/>
      <c r="AH574" s="3147"/>
      <c r="AI574" s="3147"/>
      <c r="AJ574" s="3147"/>
      <c r="AK574" s="1029"/>
      <c r="AL574" s="1029"/>
      <c r="AM574" s="1029"/>
      <c r="AN574" s="1002"/>
      <c r="AO574" s="1153" t="s">
        <v>124</v>
      </c>
      <c r="AP574" s="1154">
        <f>IF(C612="Yes",7,0)</f>
        <v>0</v>
      </c>
      <c r="AS574" s="934" t="s">
        <v>1755</v>
      </c>
    </row>
    <row r="575" spans="1:46" s="945" customFormat="1" ht="12.75" customHeight="1">
      <c r="A575" s="1029"/>
      <c r="B575" s="1120"/>
      <c r="C575" s="3147"/>
      <c r="D575" s="3147"/>
      <c r="E575" s="3147"/>
      <c r="F575" s="3147"/>
      <c r="G575" s="3147"/>
      <c r="H575" s="3147"/>
      <c r="I575" s="3147"/>
      <c r="J575" s="3147"/>
      <c r="K575" s="3147"/>
      <c r="L575" s="3147"/>
      <c r="M575" s="3147"/>
      <c r="N575" s="3147"/>
      <c r="O575" s="3147"/>
      <c r="P575" s="3147"/>
      <c r="Q575" s="3147"/>
      <c r="R575" s="3147"/>
      <c r="S575" s="3147"/>
      <c r="T575" s="3147"/>
      <c r="U575" s="3147"/>
      <c r="V575" s="3147"/>
      <c r="W575" s="3147"/>
      <c r="X575" s="3147"/>
      <c r="Y575" s="3147"/>
      <c r="Z575" s="3147"/>
      <c r="AA575" s="3147"/>
      <c r="AB575" s="3147"/>
      <c r="AC575" s="3147"/>
      <c r="AD575" s="3147"/>
      <c r="AE575" s="3147"/>
      <c r="AF575" s="3147"/>
      <c r="AG575" s="3147"/>
      <c r="AH575" s="3147"/>
      <c r="AI575" s="3147"/>
      <c r="AJ575" s="3147"/>
      <c r="AK575" s="1029"/>
      <c r="AL575" s="1029"/>
      <c r="AM575" s="1029"/>
      <c r="AN575" s="1002"/>
      <c r="AO575" s="1002"/>
      <c r="AP575" s="1154">
        <f>IF(C614="Yes",5,0)</f>
        <v>5</v>
      </c>
      <c r="AS575" s="3144">
        <f>IF(AND(AQ581&gt;0,AQ590&gt;0),(AQ581+AQ590)/2,0)</f>
        <v>0</v>
      </c>
      <c r="AT575" s="3144"/>
    </row>
    <row r="576" spans="1:46" s="945" customFormat="1" ht="12.75" customHeight="1">
      <c r="A576" s="1029"/>
      <c r="B576" s="1120"/>
      <c r="C576" s="3147"/>
      <c r="D576" s="3147"/>
      <c r="E576" s="3147"/>
      <c r="F576" s="3147"/>
      <c r="G576" s="3147"/>
      <c r="H576" s="3147"/>
      <c r="I576" s="3147"/>
      <c r="J576" s="3147"/>
      <c r="K576" s="3147"/>
      <c r="L576" s="3147"/>
      <c r="M576" s="3147"/>
      <c r="N576" s="3147"/>
      <c r="O576" s="3147"/>
      <c r="P576" s="3147"/>
      <c r="Q576" s="3147"/>
      <c r="R576" s="3147"/>
      <c r="S576" s="3147"/>
      <c r="T576" s="3147"/>
      <c r="U576" s="3147"/>
      <c r="V576" s="3147"/>
      <c r="W576" s="3147"/>
      <c r="X576" s="3147"/>
      <c r="Y576" s="3147"/>
      <c r="Z576" s="3147"/>
      <c r="AA576" s="3147"/>
      <c r="AB576" s="3147"/>
      <c r="AC576" s="3147"/>
      <c r="AD576" s="3147"/>
      <c r="AE576" s="3147"/>
      <c r="AF576" s="3147"/>
      <c r="AG576" s="3147"/>
      <c r="AH576" s="3147"/>
      <c r="AI576" s="3147"/>
      <c r="AJ576" s="3147"/>
      <c r="AK576" s="1029"/>
      <c r="AL576" s="1029"/>
      <c r="AM576" s="1029"/>
      <c r="AN576" s="1002"/>
      <c r="AO576" s="1153" t="s">
        <v>618</v>
      </c>
      <c r="AP576" s="1154">
        <f>IF(C622="Yes",5,0)</f>
        <v>0</v>
      </c>
      <c r="AQ576" s="1004"/>
      <c r="AR576" s="1004"/>
    </row>
    <row r="577" spans="1:81" s="945" customFormat="1" ht="12.75" customHeight="1">
      <c r="A577" s="1029"/>
      <c r="B577" s="1120"/>
      <c r="C577" s="3145" t="s">
        <v>1756</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9"/>
      <c r="AL577" s="1029"/>
      <c r="AM577" s="1029"/>
      <c r="AN577" s="1002"/>
      <c r="AO577" s="1002"/>
      <c r="AP577" s="1154">
        <f>IF(C624="Yes",3,0)</f>
        <v>0</v>
      </c>
    </row>
    <row r="578" spans="1:81" s="945" customFormat="1" ht="12.75" customHeight="1">
      <c r="A578" s="1029"/>
      <c r="B578" s="1120"/>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9"/>
      <c r="AL578" s="1029"/>
      <c r="AM578" s="1029"/>
      <c r="AN578" s="1002"/>
      <c r="AO578" s="1153" t="s">
        <v>825</v>
      </c>
      <c r="AP578" s="1154">
        <f>IF(C627="Yes",5,0)</f>
        <v>0</v>
      </c>
    </row>
    <row r="579" spans="1:81" s="945" customFormat="1" ht="12.75" customHeight="1">
      <c r="A579" s="1029"/>
      <c r="B579" s="1120"/>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9"/>
      <c r="AL579" s="1029"/>
      <c r="AM579" s="1029"/>
      <c r="AN579" s="1002"/>
      <c r="AO579" s="1153" t="s">
        <v>621</v>
      </c>
      <c r="AP579" s="1154">
        <f>IF(C636="Yes",5,0)</f>
        <v>5</v>
      </c>
    </row>
    <row r="580" spans="1:81" s="945" customFormat="1" ht="11.85" customHeight="1">
      <c r="A580" s="1029"/>
      <c r="B580" s="1120"/>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9"/>
      <c r="AL580" s="1029"/>
      <c r="AM580" s="1029"/>
      <c r="AN580" s="1002"/>
      <c r="AO580" s="1155"/>
      <c r="AP580" s="1156">
        <f>IF(C638="Yes",3,0)</f>
        <v>0</v>
      </c>
    </row>
    <row r="581" spans="1:81" s="945" customFormat="1" ht="12.4" customHeight="1">
      <c r="A581" s="1029"/>
      <c r="B581" s="1120"/>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9"/>
      <c r="AL581" s="1029"/>
      <c r="AM581" s="1029"/>
      <c r="AN581" s="1002"/>
      <c r="AO581" s="1157" t="s">
        <v>234</v>
      </c>
      <c r="AP581" s="1158">
        <f>SUM(AP572:AP580)</f>
        <v>10</v>
      </c>
      <c r="AQ581" s="3146">
        <f>IF(AP581&gt;0,AP581,0)</f>
        <v>10</v>
      </c>
      <c r="AR581" s="3146"/>
    </row>
    <row r="582" spans="1:81" s="945" customFormat="1" ht="12.75" customHeight="1">
      <c r="A582" s="1029"/>
      <c r="B582" s="1120"/>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47" t="s">
        <v>1757</v>
      </c>
      <c r="D584" s="3147"/>
      <c r="E584" s="3147"/>
      <c r="F584" s="3147"/>
      <c r="G584" s="3147"/>
      <c r="H584" s="3147"/>
      <c r="I584" s="3147"/>
      <c r="J584" s="3147"/>
      <c r="K584" s="3147"/>
      <c r="L584" s="3147"/>
      <c r="M584" s="3147"/>
      <c r="N584" s="3147"/>
      <c r="O584" s="3147"/>
      <c r="P584" s="3147"/>
      <c r="Q584" s="3147"/>
      <c r="R584" s="3147"/>
      <c r="S584" s="3147"/>
      <c r="T584" s="3147"/>
      <c r="U584" s="3147"/>
      <c r="V584" s="3147"/>
      <c r="W584" s="3147"/>
      <c r="X584" s="3147"/>
      <c r="Y584" s="3147"/>
      <c r="Z584" s="3147"/>
      <c r="AA584" s="3147"/>
      <c r="AB584" s="3147"/>
      <c r="AC584" s="3147"/>
      <c r="AD584" s="3147"/>
      <c r="AE584" s="3147"/>
      <c r="AF584" s="3147"/>
      <c r="AG584" s="3147"/>
      <c r="AH584" s="3147"/>
      <c r="AI584" s="3147"/>
      <c r="AJ584" s="3147"/>
      <c r="AK584" s="1029"/>
      <c r="AL584" s="1029"/>
      <c r="AM584" s="1029"/>
      <c r="AN584" s="1002"/>
      <c r="AO584" s="1153" t="s">
        <v>490</v>
      </c>
      <c r="AP584" s="1154">
        <f>IF(C657="Yes",5,0)</f>
        <v>0</v>
      </c>
    </row>
    <row r="585" spans="1:81" s="945" customFormat="1" ht="12.75" customHeight="1">
      <c r="A585" s="1029"/>
      <c r="B585" s="1120"/>
      <c r="C585" s="3147"/>
      <c r="D585" s="3147"/>
      <c r="E585" s="3147"/>
      <c r="F585" s="3147"/>
      <c r="G585" s="3147"/>
      <c r="H585" s="3147"/>
      <c r="I585" s="3147"/>
      <c r="J585" s="3147"/>
      <c r="K585" s="3147"/>
      <c r="L585" s="3147"/>
      <c r="M585" s="3147"/>
      <c r="N585" s="3147"/>
      <c r="O585" s="3147"/>
      <c r="P585" s="3147"/>
      <c r="Q585" s="3147"/>
      <c r="R585" s="3147"/>
      <c r="S585" s="3147"/>
      <c r="T585" s="3147"/>
      <c r="U585" s="3147"/>
      <c r="V585" s="3147"/>
      <c r="W585" s="3147"/>
      <c r="X585" s="3147"/>
      <c r="Y585" s="3147"/>
      <c r="Z585" s="3147"/>
      <c r="AA585" s="3147"/>
      <c r="AB585" s="3147"/>
      <c r="AC585" s="3147"/>
      <c r="AD585" s="3147"/>
      <c r="AE585" s="3147"/>
      <c r="AF585" s="3147"/>
      <c r="AG585" s="3147"/>
      <c r="AH585" s="3147"/>
      <c r="AI585" s="3147"/>
      <c r="AJ585" s="3147"/>
      <c r="AK585" s="1029"/>
      <c r="AL585" s="1029"/>
      <c r="AM585" s="1029"/>
      <c r="AN585" s="1002"/>
      <c r="AO585" s="1153" t="s">
        <v>496</v>
      </c>
      <c r="AP585" s="1154">
        <f>IF(C664="Yes",5,0)</f>
        <v>0</v>
      </c>
    </row>
    <row r="586" spans="1:81" s="945" customFormat="1" ht="68.099999999999994" customHeight="1">
      <c r="A586" s="1029"/>
      <c r="B586" s="1120"/>
      <c r="C586" s="3147"/>
      <c r="D586" s="3147"/>
      <c r="E586" s="3147"/>
      <c r="F586" s="3147"/>
      <c r="G586" s="3147"/>
      <c r="H586" s="3147"/>
      <c r="I586" s="3147"/>
      <c r="J586" s="3147"/>
      <c r="K586" s="3147"/>
      <c r="L586" s="3147"/>
      <c r="M586" s="3147"/>
      <c r="N586" s="3147"/>
      <c r="O586" s="3147"/>
      <c r="P586" s="3147"/>
      <c r="Q586" s="3147"/>
      <c r="R586" s="3147"/>
      <c r="S586" s="3147"/>
      <c r="T586" s="3147"/>
      <c r="U586" s="3147"/>
      <c r="V586" s="3147"/>
      <c r="W586" s="3147"/>
      <c r="X586" s="3147"/>
      <c r="Y586" s="3147"/>
      <c r="Z586" s="3147"/>
      <c r="AA586" s="3147"/>
      <c r="AB586" s="3147"/>
      <c r="AC586" s="3147"/>
      <c r="AD586" s="3147"/>
      <c r="AE586" s="3147"/>
      <c r="AF586" s="3147"/>
      <c r="AG586" s="3147"/>
      <c r="AH586" s="3147"/>
      <c r="AI586" s="3147"/>
      <c r="AJ586" s="3147"/>
      <c r="AK586" s="1029"/>
      <c r="AL586" s="1029"/>
      <c r="AM586" s="1029"/>
      <c r="AN586" s="1002"/>
      <c r="AO586" s="1153" t="s">
        <v>683</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58">
        <f>'Service Amenities Budget'!J10</f>
        <v>427</v>
      </c>
      <c r="V588" s="3258"/>
      <c r="W588" s="3258"/>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59">
        <f>'Service Amenities Budget'!J9</f>
        <v>0</v>
      </c>
      <c r="V589" s="3259"/>
      <c r="W589" s="325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46">
        <f>IF(AP590&gt;0,AP590,0)</f>
        <v>0</v>
      </c>
      <c r="AR590" s="3146"/>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51" t="s">
        <v>1762</v>
      </c>
      <c r="G592" s="3151"/>
      <c r="H592" s="3151"/>
      <c r="I592" s="3151"/>
      <c r="J592" s="3151"/>
      <c r="K592" s="3151"/>
      <c r="L592" s="3151"/>
      <c r="M592" s="3151"/>
      <c r="N592" s="3151"/>
      <c r="O592" s="3151"/>
      <c r="P592" s="3151"/>
      <c r="Q592" s="3151"/>
      <c r="R592" s="3151"/>
      <c r="S592" s="3151"/>
      <c r="T592" s="3151"/>
      <c r="U592" s="3151"/>
      <c r="V592" s="3151"/>
      <c r="W592" s="3151"/>
      <c r="X592" s="3151"/>
      <c r="Y592" s="3151"/>
      <c r="Z592" s="3151"/>
      <c r="AA592" s="3151"/>
      <c r="AB592" s="3151"/>
      <c r="AC592" s="3151"/>
      <c r="AD592" s="3151"/>
      <c r="AE592" s="3151"/>
      <c r="AF592" s="315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52"/>
      <c r="G593" s="3152"/>
      <c r="H593" s="3152"/>
      <c r="I593" s="3152"/>
      <c r="J593" s="3152"/>
      <c r="K593" s="3152"/>
      <c r="L593" s="3152"/>
      <c r="M593" s="3152"/>
      <c r="N593" s="3152"/>
      <c r="O593" s="3152"/>
      <c r="P593" s="3152"/>
      <c r="Q593" s="3152"/>
      <c r="R593" s="3152"/>
      <c r="S593" s="3152"/>
      <c r="T593" s="3152"/>
      <c r="U593" s="3152"/>
      <c r="V593" s="3152"/>
      <c r="W593" s="3152"/>
      <c r="X593" s="3152"/>
      <c r="Y593" s="3152"/>
      <c r="Z593" s="3152"/>
      <c r="AA593" s="3152"/>
      <c r="AB593" s="3152"/>
      <c r="AC593" s="3152"/>
      <c r="AD593" s="3152"/>
      <c r="AE593" s="3152"/>
      <c r="AF593" s="3152"/>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52"/>
      <c r="G594" s="3152"/>
      <c r="H594" s="3152"/>
      <c r="I594" s="3152"/>
      <c r="J594" s="3152"/>
      <c r="K594" s="3152"/>
      <c r="L594" s="3152"/>
      <c r="M594" s="3152"/>
      <c r="N594" s="3152"/>
      <c r="O594" s="3152"/>
      <c r="P594" s="3152"/>
      <c r="Q594" s="3152"/>
      <c r="R594" s="3152"/>
      <c r="S594" s="3152"/>
      <c r="T594" s="3152"/>
      <c r="U594" s="3152"/>
      <c r="V594" s="3152"/>
      <c r="W594" s="3152"/>
      <c r="X594" s="3152"/>
      <c r="Y594" s="3152"/>
      <c r="Z594" s="3152"/>
      <c r="AA594" s="3152"/>
      <c r="AB594" s="3152"/>
      <c r="AC594" s="3152"/>
      <c r="AD594" s="3152"/>
      <c r="AE594" s="3152"/>
      <c r="AF594" s="3152"/>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52"/>
      <c r="G595" s="3152"/>
      <c r="H595" s="3152"/>
      <c r="I595" s="3152"/>
      <c r="J595" s="3152"/>
      <c r="K595" s="3152"/>
      <c r="L595" s="3152"/>
      <c r="M595" s="3152"/>
      <c r="N595" s="3152"/>
      <c r="O595" s="3152"/>
      <c r="P595" s="3152"/>
      <c r="Q595" s="3152"/>
      <c r="R595" s="3152"/>
      <c r="S595" s="3152"/>
      <c r="T595" s="3152"/>
      <c r="U595" s="3152"/>
      <c r="V595" s="3152"/>
      <c r="W595" s="3152"/>
      <c r="X595" s="3152"/>
      <c r="Y595" s="3152"/>
      <c r="Z595" s="3152"/>
      <c r="AA595" s="3152"/>
      <c r="AB595" s="3152"/>
      <c r="AC595" s="3152"/>
      <c r="AD595" s="3152"/>
      <c r="AE595" s="3152"/>
      <c r="AF595" s="3152"/>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48" t="s">
        <v>628</v>
      </c>
      <c r="D596" s="3090"/>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49" t="s">
        <v>1764</v>
      </c>
      <c r="AG596" s="3149"/>
      <c r="AH596" s="3149"/>
      <c r="AI596" s="3149"/>
      <c r="AJ596" s="3149"/>
      <c r="AK596" s="3149"/>
      <c r="AL596" s="315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51" t="s">
        <v>1765</v>
      </c>
      <c r="G599" s="3151"/>
      <c r="H599" s="3151"/>
      <c r="I599" s="3151"/>
      <c r="J599" s="3151"/>
      <c r="K599" s="3151"/>
      <c r="L599" s="3151"/>
      <c r="M599" s="3151"/>
      <c r="N599" s="3151"/>
      <c r="O599" s="3151"/>
      <c r="P599" s="3151"/>
      <c r="Q599" s="3151"/>
      <c r="R599" s="3151"/>
      <c r="S599" s="3151"/>
      <c r="T599" s="3151"/>
      <c r="U599" s="3151"/>
      <c r="V599" s="3151"/>
      <c r="W599" s="3151"/>
      <c r="X599" s="3151"/>
      <c r="Y599" s="3151"/>
      <c r="Z599" s="3151"/>
      <c r="AA599" s="3151"/>
      <c r="AB599" s="3151"/>
      <c r="AC599" s="3151"/>
      <c r="AD599" s="3151"/>
      <c r="AE599" s="3151"/>
      <c r="AF599" s="315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52"/>
      <c r="G600" s="3152"/>
      <c r="H600" s="3152"/>
      <c r="I600" s="3152"/>
      <c r="J600" s="3152"/>
      <c r="K600" s="3152"/>
      <c r="L600" s="3152"/>
      <c r="M600" s="3152"/>
      <c r="N600" s="3152"/>
      <c r="O600" s="3152"/>
      <c r="P600" s="3152"/>
      <c r="Q600" s="3152"/>
      <c r="R600" s="3152"/>
      <c r="S600" s="3152"/>
      <c r="T600" s="3152"/>
      <c r="U600" s="3152"/>
      <c r="V600" s="3152"/>
      <c r="W600" s="3152"/>
      <c r="X600" s="3152"/>
      <c r="Y600" s="3152"/>
      <c r="Z600" s="3152"/>
      <c r="AA600" s="3152"/>
      <c r="AB600" s="3152"/>
      <c r="AC600" s="3152"/>
      <c r="AD600" s="3152"/>
      <c r="AE600" s="3152"/>
      <c r="AF600" s="3152"/>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52"/>
      <c r="G601" s="3152"/>
      <c r="H601" s="3152"/>
      <c r="I601" s="3152"/>
      <c r="J601" s="3152"/>
      <c r="K601" s="3152"/>
      <c r="L601" s="3152"/>
      <c r="M601" s="3152"/>
      <c r="N601" s="3152"/>
      <c r="O601" s="3152"/>
      <c r="P601" s="3152"/>
      <c r="Q601" s="3152"/>
      <c r="R601" s="3152"/>
      <c r="S601" s="3152"/>
      <c r="T601" s="3152"/>
      <c r="U601" s="3152"/>
      <c r="V601" s="3152"/>
      <c r="W601" s="3152"/>
      <c r="X601" s="3152"/>
      <c r="Y601" s="3152"/>
      <c r="Z601" s="3152"/>
      <c r="AA601" s="3152"/>
      <c r="AB601" s="3152"/>
      <c r="AC601" s="3152"/>
      <c r="AD601" s="3152"/>
      <c r="AE601" s="3152"/>
      <c r="AF601" s="3152"/>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52"/>
      <c r="G602" s="3152"/>
      <c r="H602" s="3152"/>
      <c r="I602" s="3152"/>
      <c r="J602" s="3152"/>
      <c r="K602" s="3152"/>
      <c r="L602" s="3152"/>
      <c r="M602" s="3152"/>
      <c r="N602" s="3152"/>
      <c r="O602" s="3152"/>
      <c r="P602" s="3152"/>
      <c r="Q602" s="3152"/>
      <c r="R602" s="3152"/>
      <c r="S602" s="3152"/>
      <c r="T602" s="3152"/>
      <c r="U602" s="3152"/>
      <c r="V602" s="3152"/>
      <c r="W602" s="3152"/>
      <c r="X602" s="3152"/>
      <c r="Y602" s="3152"/>
      <c r="Z602" s="3152"/>
      <c r="AA602" s="3152"/>
      <c r="AB602" s="3152"/>
      <c r="AC602" s="3152"/>
      <c r="AD602" s="3152"/>
      <c r="AE602" s="3152"/>
      <c r="AF602" s="3152"/>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52"/>
      <c r="G603" s="3152"/>
      <c r="H603" s="3152"/>
      <c r="I603" s="3152"/>
      <c r="J603" s="3152"/>
      <c r="K603" s="3152"/>
      <c r="L603" s="3152"/>
      <c r="M603" s="3152"/>
      <c r="N603" s="3152"/>
      <c r="O603" s="3152"/>
      <c r="P603" s="3152"/>
      <c r="Q603" s="3152"/>
      <c r="R603" s="3152"/>
      <c r="S603" s="3152"/>
      <c r="T603" s="3152"/>
      <c r="U603" s="3152"/>
      <c r="V603" s="3152"/>
      <c r="W603" s="3152"/>
      <c r="X603" s="3152"/>
      <c r="Y603" s="3152"/>
      <c r="Z603" s="3152"/>
      <c r="AA603" s="3152"/>
      <c r="AB603" s="3152"/>
      <c r="AC603" s="3152"/>
      <c r="AD603" s="3152"/>
      <c r="AE603" s="3152"/>
      <c r="AF603" s="315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48" t="s">
        <v>628</v>
      </c>
      <c r="D604" s="3090"/>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49" t="s">
        <v>1764</v>
      </c>
      <c r="AG604" s="3149"/>
      <c r="AH604" s="3149"/>
      <c r="AI604" s="3149"/>
      <c r="AJ604" s="3149"/>
      <c r="AK604" s="3149"/>
      <c r="AL604" s="315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51" t="s">
        <v>1767</v>
      </c>
      <c r="G607" s="3151"/>
      <c r="H607" s="3151"/>
      <c r="I607" s="3151"/>
      <c r="J607" s="3151"/>
      <c r="K607" s="3151"/>
      <c r="L607" s="3151"/>
      <c r="M607" s="3151"/>
      <c r="N607" s="3151"/>
      <c r="O607" s="3151"/>
      <c r="P607" s="3151"/>
      <c r="Q607" s="3151"/>
      <c r="R607" s="3151"/>
      <c r="S607" s="3151"/>
      <c r="T607" s="3151"/>
      <c r="U607" s="3151"/>
      <c r="V607" s="3151"/>
      <c r="W607" s="3151"/>
      <c r="X607" s="3151"/>
      <c r="Y607" s="3151"/>
      <c r="Z607" s="3151"/>
      <c r="AA607" s="3151"/>
      <c r="AB607" s="3151"/>
      <c r="AC607" s="3151"/>
      <c r="AD607" s="3151"/>
      <c r="AE607" s="3151"/>
      <c r="AF607" s="315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52"/>
      <c r="G608" s="3152"/>
      <c r="H608" s="3152"/>
      <c r="I608" s="3152"/>
      <c r="J608" s="3152"/>
      <c r="K608" s="3152"/>
      <c r="L608" s="3152"/>
      <c r="M608" s="3152"/>
      <c r="N608" s="3152"/>
      <c r="O608" s="3152"/>
      <c r="P608" s="3152"/>
      <c r="Q608" s="3152"/>
      <c r="R608" s="3152"/>
      <c r="S608" s="3152"/>
      <c r="T608" s="3152"/>
      <c r="U608" s="3152"/>
      <c r="V608" s="3152"/>
      <c r="W608" s="3152"/>
      <c r="X608" s="3152"/>
      <c r="Y608" s="3152"/>
      <c r="Z608" s="3152"/>
      <c r="AA608" s="3152"/>
      <c r="AB608" s="3152"/>
      <c r="AC608" s="3152"/>
      <c r="AD608" s="3152"/>
      <c r="AE608" s="3152"/>
      <c r="AF608" s="315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52"/>
      <c r="G609" s="3152"/>
      <c r="H609" s="3152"/>
      <c r="I609" s="3152"/>
      <c r="J609" s="3152"/>
      <c r="K609" s="3152"/>
      <c r="L609" s="3152"/>
      <c r="M609" s="3152"/>
      <c r="N609" s="3152"/>
      <c r="O609" s="3152"/>
      <c r="P609" s="3152"/>
      <c r="Q609" s="3152"/>
      <c r="R609" s="3152"/>
      <c r="S609" s="3152"/>
      <c r="T609" s="3152"/>
      <c r="U609" s="3152"/>
      <c r="V609" s="3152"/>
      <c r="W609" s="3152"/>
      <c r="X609" s="3152"/>
      <c r="Y609" s="3152"/>
      <c r="Z609" s="3152"/>
      <c r="AA609" s="3152"/>
      <c r="AB609" s="3152"/>
      <c r="AC609" s="3152"/>
      <c r="AD609" s="3152"/>
      <c r="AE609" s="3152"/>
      <c r="AF609" s="315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52"/>
      <c r="G610" s="3152"/>
      <c r="H610" s="3152"/>
      <c r="I610" s="3152"/>
      <c r="J610" s="3152"/>
      <c r="K610" s="3152"/>
      <c r="L610" s="3152"/>
      <c r="M610" s="3152"/>
      <c r="N610" s="3152"/>
      <c r="O610" s="3152"/>
      <c r="P610" s="3152"/>
      <c r="Q610" s="3152"/>
      <c r="R610" s="3152"/>
      <c r="S610" s="3152"/>
      <c r="T610" s="3152"/>
      <c r="U610" s="3152"/>
      <c r="V610" s="3152"/>
      <c r="W610" s="3152"/>
      <c r="X610" s="3152"/>
      <c r="Y610" s="3152"/>
      <c r="Z610" s="3152"/>
      <c r="AA610" s="3152"/>
      <c r="AB610" s="3152"/>
      <c r="AC610" s="3152"/>
      <c r="AD610" s="3152"/>
      <c r="AE610" s="3152"/>
      <c r="AF610" s="315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52"/>
      <c r="G611" s="3152"/>
      <c r="H611" s="3152"/>
      <c r="I611" s="3152"/>
      <c r="J611" s="3152"/>
      <c r="K611" s="3152"/>
      <c r="L611" s="3152"/>
      <c r="M611" s="3152"/>
      <c r="N611" s="3152"/>
      <c r="O611" s="3152"/>
      <c r="P611" s="3152"/>
      <c r="Q611" s="3152"/>
      <c r="R611" s="3152"/>
      <c r="S611" s="3152"/>
      <c r="T611" s="3152"/>
      <c r="U611" s="3152"/>
      <c r="V611" s="3152"/>
      <c r="W611" s="3152"/>
      <c r="X611" s="3152"/>
      <c r="Y611" s="3152"/>
      <c r="Z611" s="3152"/>
      <c r="AA611" s="3152"/>
      <c r="AB611" s="3152"/>
      <c r="AC611" s="3152"/>
      <c r="AD611" s="3152"/>
      <c r="AE611" s="3152"/>
      <c r="AF611" s="315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48" t="s">
        <v>628</v>
      </c>
      <c r="D612" s="3090"/>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49" t="s">
        <v>1769</v>
      </c>
      <c r="AG612" s="3149"/>
      <c r="AH612" s="3149"/>
      <c r="AI612" s="3149"/>
      <c r="AJ612" s="3149"/>
      <c r="AK612" s="3149"/>
      <c r="AL612" s="315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48" t="s">
        <v>580</v>
      </c>
      <c r="D614" s="3090"/>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49" t="s">
        <v>1764</v>
      </c>
      <c r="AG614" s="3149"/>
      <c r="AH614" s="3149"/>
      <c r="AI614" s="3149"/>
      <c r="AJ614" s="3149"/>
      <c r="AK614" s="3149"/>
      <c r="AL614" s="315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51" t="s">
        <v>1773</v>
      </c>
      <c r="G618" s="3151"/>
      <c r="H618" s="3151"/>
      <c r="I618" s="3151"/>
      <c r="J618" s="3151"/>
      <c r="K618" s="3151"/>
      <c r="L618" s="3151"/>
      <c r="M618" s="3151"/>
      <c r="N618" s="3151"/>
      <c r="O618" s="3151"/>
      <c r="P618" s="3151"/>
      <c r="Q618" s="3151"/>
      <c r="R618" s="3151"/>
      <c r="S618" s="3151"/>
      <c r="T618" s="3151"/>
      <c r="U618" s="3151"/>
      <c r="V618" s="3151"/>
      <c r="W618" s="3151"/>
      <c r="X618" s="3151"/>
      <c r="Y618" s="3151"/>
      <c r="Z618" s="3151"/>
      <c r="AA618" s="3151"/>
      <c r="AB618" s="3151"/>
      <c r="AC618" s="3151"/>
      <c r="AD618" s="3151"/>
      <c r="AE618" s="3151"/>
      <c r="AF618" s="315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52"/>
      <c r="G619" s="3152"/>
      <c r="H619" s="3152"/>
      <c r="I619" s="3152"/>
      <c r="J619" s="3152"/>
      <c r="K619" s="3152"/>
      <c r="L619" s="3152"/>
      <c r="M619" s="3152"/>
      <c r="N619" s="3152"/>
      <c r="O619" s="3152"/>
      <c r="P619" s="3152"/>
      <c r="Q619" s="3152"/>
      <c r="R619" s="3152"/>
      <c r="S619" s="3152"/>
      <c r="T619" s="3152"/>
      <c r="U619" s="3152"/>
      <c r="V619" s="3152"/>
      <c r="W619" s="3152"/>
      <c r="X619" s="3152"/>
      <c r="Y619" s="3152"/>
      <c r="Z619" s="3152"/>
      <c r="AA619" s="3152"/>
      <c r="AB619" s="3152"/>
      <c r="AC619" s="3152"/>
      <c r="AD619" s="3152"/>
      <c r="AE619" s="3152"/>
      <c r="AF619" s="315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52"/>
      <c r="G620" s="3152"/>
      <c r="H620" s="3152"/>
      <c r="I620" s="3152"/>
      <c r="J620" s="3152"/>
      <c r="K620" s="3152"/>
      <c r="L620" s="3152"/>
      <c r="M620" s="3152"/>
      <c r="N620" s="3152"/>
      <c r="O620" s="3152"/>
      <c r="P620" s="3152"/>
      <c r="Q620" s="3152"/>
      <c r="R620" s="3152"/>
      <c r="S620" s="3152"/>
      <c r="T620" s="3152"/>
      <c r="U620" s="3152"/>
      <c r="V620" s="3152"/>
      <c r="W620" s="3152"/>
      <c r="X620" s="3152"/>
      <c r="Y620" s="3152"/>
      <c r="Z620" s="3152"/>
      <c r="AA620" s="3152"/>
      <c r="AB620" s="3152"/>
      <c r="AC620" s="3152"/>
      <c r="AD620" s="3152"/>
      <c r="AE620" s="3152"/>
      <c r="AF620" s="315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52"/>
      <c r="G621" s="3152"/>
      <c r="H621" s="3152"/>
      <c r="I621" s="3152"/>
      <c r="J621" s="3152"/>
      <c r="K621" s="3152"/>
      <c r="L621" s="3152"/>
      <c r="M621" s="3152"/>
      <c r="N621" s="3152"/>
      <c r="O621" s="3152"/>
      <c r="P621" s="3152"/>
      <c r="Q621" s="3152"/>
      <c r="R621" s="3152"/>
      <c r="S621" s="3152"/>
      <c r="T621" s="3152"/>
      <c r="U621" s="3152"/>
      <c r="V621" s="3152"/>
      <c r="W621" s="3152"/>
      <c r="X621" s="3152"/>
      <c r="Y621" s="3152"/>
      <c r="Z621" s="3152"/>
      <c r="AA621" s="3152"/>
      <c r="AB621" s="3152"/>
      <c r="AC621" s="3152"/>
      <c r="AD621" s="3152"/>
      <c r="AE621" s="3152"/>
      <c r="AF621" s="315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48" t="s">
        <v>628</v>
      </c>
      <c r="D622" s="3090"/>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49" t="s">
        <v>1764</v>
      </c>
      <c r="AG622" s="3149"/>
      <c r="AH622" s="3149"/>
      <c r="AI622" s="3149"/>
      <c r="AJ622" s="3149"/>
      <c r="AK622" s="3149"/>
      <c r="AL622" s="315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48" t="s">
        <v>628</v>
      </c>
      <c r="D624" s="3090"/>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49" t="s">
        <v>1776</v>
      </c>
      <c r="AG624" s="3149"/>
      <c r="AH624" s="3149"/>
      <c r="AI624" s="3149"/>
      <c r="AJ624" s="3149"/>
      <c r="AK624" s="3149"/>
      <c r="AL624" s="315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48" t="s">
        <v>628</v>
      </c>
      <c r="D627" s="3090"/>
      <c r="E627" s="1176" t="s">
        <v>1777</v>
      </c>
      <c r="F627" s="3151" t="s">
        <v>1778</v>
      </c>
      <c r="G627" s="3151"/>
      <c r="H627" s="3151"/>
      <c r="I627" s="3151"/>
      <c r="J627" s="3151"/>
      <c r="K627" s="3151"/>
      <c r="L627" s="3151"/>
      <c r="M627" s="3151"/>
      <c r="N627" s="3151"/>
      <c r="O627" s="3151"/>
      <c r="P627" s="3151"/>
      <c r="Q627" s="3151"/>
      <c r="R627" s="3151"/>
      <c r="S627" s="3151"/>
      <c r="T627" s="3151"/>
      <c r="U627" s="3151"/>
      <c r="V627" s="3151"/>
      <c r="W627" s="3151"/>
      <c r="X627" s="3151"/>
      <c r="Y627" s="3151"/>
      <c r="Z627" s="3151"/>
      <c r="AA627" s="3151"/>
      <c r="AB627" s="3151"/>
      <c r="AC627" s="3151"/>
      <c r="AD627" s="3151"/>
      <c r="AE627" s="315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52"/>
      <c r="G628" s="3152"/>
      <c r="H628" s="3152"/>
      <c r="I628" s="3152"/>
      <c r="J628" s="3152"/>
      <c r="K628" s="3152"/>
      <c r="L628" s="3152"/>
      <c r="M628" s="3152"/>
      <c r="N628" s="3152"/>
      <c r="O628" s="3152"/>
      <c r="P628" s="3152"/>
      <c r="Q628" s="3152"/>
      <c r="R628" s="3152"/>
      <c r="S628" s="3152"/>
      <c r="T628" s="3152"/>
      <c r="U628" s="3152"/>
      <c r="V628" s="3152"/>
      <c r="W628" s="3152"/>
      <c r="X628" s="3152"/>
      <c r="Y628" s="3152"/>
      <c r="Z628" s="3152"/>
      <c r="AA628" s="3152"/>
      <c r="AB628" s="3152"/>
      <c r="AC628" s="3152"/>
      <c r="AD628" s="3152"/>
      <c r="AE628" s="3152"/>
      <c r="AF628" s="3153" t="s">
        <v>1764</v>
      </c>
      <c r="AG628" s="3153"/>
      <c r="AH628" s="3153"/>
      <c r="AI628" s="3153"/>
      <c r="AJ628" s="3153"/>
      <c r="AK628" s="3153"/>
      <c r="AL628" s="3154"/>
      <c r="AM628" s="1136"/>
      <c r="AN628" s="1002"/>
      <c r="BS628" s="1136"/>
      <c r="BT628" s="1136"/>
      <c r="BY628" s="1136"/>
      <c r="BZ628" s="1136"/>
      <c r="CA628" s="1136"/>
      <c r="CB628" s="1136"/>
      <c r="CC628" s="1136"/>
    </row>
    <row r="629" spans="1:81" s="945" customFormat="1" ht="12.75" customHeight="1">
      <c r="A629" s="929"/>
      <c r="B629" s="51"/>
      <c r="C629" s="1194"/>
      <c r="D629" s="112"/>
      <c r="E629" s="1148"/>
      <c r="F629" s="3152"/>
      <c r="G629" s="3152"/>
      <c r="H629" s="3152"/>
      <c r="I629" s="3152"/>
      <c r="J629" s="3152"/>
      <c r="K629" s="3152"/>
      <c r="L629" s="3152"/>
      <c r="M629" s="3152"/>
      <c r="N629" s="3152"/>
      <c r="O629" s="3152"/>
      <c r="P629" s="3152"/>
      <c r="Q629" s="3152"/>
      <c r="R629" s="3152"/>
      <c r="S629" s="3152"/>
      <c r="T629" s="3152"/>
      <c r="U629" s="3152"/>
      <c r="V629" s="3152"/>
      <c r="W629" s="3152"/>
      <c r="X629" s="3152"/>
      <c r="Y629" s="3152"/>
      <c r="Z629" s="3152"/>
      <c r="AA629" s="3152"/>
      <c r="AB629" s="3152"/>
      <c r="AC629" s="3152"/>
      <c r="AD629" s="3152"/>
      <c r="AE629" s="315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55"/>
      <c r="G630" s="3155"/>
      <c r="H630" s="3155"/>
      <c r="I630" s="3155"/>
      <c r="J630" s="3155"/>
      <c r="K630" s="3155"/>
      <c r="L630" s="3155"/>
      <c r="M630" s="3155"/>
      <c r="N630" s="3155"/>
      <c r="O630" s="3155"/>
      <c r="P630" s="3155"/>
      <c r="Q630" s="3155"/>
      <c r="R630" s="3155"/>
      <c r="S630" s="3155"/>
      <c r="T630" s="3155"/>
      <c r="U630" s="3155"/>
      <c r="V630" s="3155"/>
      <c r="W630" s="3155"/>
      <c r="X630" s="3155"/>
      <c r="Y630" s="3155"/>
      <c r="Z630" s="3155"/>
      <c r="AA630" s="3155"/>
      <c r="AB630" s="3155"/>
      <c r="AC630" s="3155"/>
      <c r="AD630" s="3155"/>
      <c r="AE630" s="315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56" t="s">
        <v>1780</v>
      </c>
      <c r="G632" s="3156"/>
      <c r="H632" s="3156"/>
      <c r="I632" s="3156"/>
      <c r="J632" s="3156"/>
      <c r="K632" s="3156"/>
      <c r="L632" s="3156"/>
      <c r="M632" s="3156"/>
      <c r="N632" s="3156"/>
      <c r="O632" s="3156"/>
      <c r="P632" s="3156"/>
      <c r="Q632" s="3156"/>
      <c r="R632" s="3156"/>
      <c r="S632" s="3156"/>
      <c r="T632" s="3156"/>
      <c r="U632" s="3156"/>
      <c r="V632" s="3156"/>
      <c r="W632" s="3156"/>
      <c r="X632" s="3156"/>
      <c r="Y632" s="3156"/>
      <c r="Z632" s="3156"/>
      <c r="AA632" s="3156"/>
      <c r="AB632" s="3156"/>
      <c r="AC632" s="3156"/>
      <c r="AD632" s="3156"/>
      <c r="AE632" s="3156"/>
      <c r="AF632" s="1213"/>
      <c r="AG632" s="1213"/>
      <c r="AH632" s="1213"/>
      <c r="AI632" s="1213"/>
      <c r="AJ632" s="1213"/>
      <c r="AK632" s="1213"/>
      <c r="AL632" s="1214"/>
      <c r="AM632" s="1136"/>
    </row>
    <row r="633" spans="1:81">
      <c r="A633" s="929"/>
      <c r="C633" s="1194"/>
      <c r="D633" s="112"/>
      <c r="E633" s="1148"/>
      <c r="F633" s="3157"/>
      <c r="G633" s="3157"/>
      <c r="H633" s="3157"/>
      <c r="I633" s="3157"/>
      <c r="J633" s="3157"/>
      <c r="K633" s="3157"/>
      <c r="L633" s="3157"/>
      <c r="M633" s="3157"/>
      <c r="N633" s="3157"/>
      <c r="O633" s="3157"/>
      <c r="P633" s="3157"/>
      <c r="Q633" s="3157"/>
      <c r="R633" s="3157"/>
      <c r="S633" s="3157"/>
      <c r="T633" s="3157"/>
      <c r="U633" s="3157"/>
      <c r="V633" s="3157"/>
      <c r="W633" s="3157"/>
      <c r="X633" s="3157"/>
      <c r="Y633" s="3157"/>
      <c r="Z633" s="3157"/>
      <c r="AA633" s="3157"/>
      <c r="AB633" s="3157"/>
      <c r="AC633" s="3157"/>
      <c r="AD633" s="3157"/>
      <c r="AE633" s="3157"/>
      <c r="AF633" s="1215"/>
      <c r="AG633" s="993"/>
      <c r="AH633" s="1027"/>
      <c r="AI633" s="1027"/>
      <c r="AJ633" s="1027"/>
      <c r="AK633" s="1027"/>
      <c r="AL633" s="1195"/>
      <c r="AM633" s="1136"/>
    </row>
    <row r="634" spans="1:81" s="945" customFormat="1" ht="12.75" customHeight="1">
      <c r="A634" s="929"/>
      <c r="B634" s="51"/>
      <c r="C634" s="1194"/>
      <c r="D634" s="112"/>
      <c r="E634" s="1148"/>
      <c r="F634" s="3157"/>
      <c r="G634" s="3157"/>
      <c r="H634" s="3157"/>
      <c r="I634" s="3157"/>
      <c r="J634" s="3157"/>
      <c r="K634" s="3157"/>
      <c r="L634" s="3157"/>
      <c r="M634" s="3157"/>
      <c r="N634" s="3157"/>
      <c r="O634" s="3157"/>
      <c r="P634" s="3157"/>
      <c r="Q634" s="3157"/>
      <c r="R634" s="3157"/>
      <c r="S634" s="3157"/>
      <c r="T634" s="3157"/>
      <c r="U634" s="3157"/>
      <c r="V634" s="3157"/>
      <c r="W634" s="3157"/>
      <c r="X634" s="3157"/>
      <c r="Y634" s="3157"/>
      <c r="Z634" s="3157"/>
      <c r="AA634" s="3157"/>
      <c r="AB634" s="3157"/>
      <c r="AC634" s="3157"/>
      <c r="AD634" s="3157"/>
      <c r="AE634" s="3157"/>
      <c r="AF634" s="1027"/>
      <c r="AG634" s="1027"/>
      <c r="AH634" s="1027"/>
      <c r="AI634" s="1027"/>
      <c r="AJ634" s="1027"/>
      <c r="AK634" s="1027"/>
      <c r="AL634" s="1195"/>
      <c r="AM634" s="1136"/>
      <c r="AN634" s="1002"/>
    </row>
    <row r="635" spans="1:81" s="945" customFormat="1" ht="12.75" customHeight="1">
      <c r="A635" s="929"/>
      <c r="B635" s="51"/>
      <c r="C635" s="1203"/>
      <c r="D635" s="1027"/>
      <c r="E635" s="1027"/>
      <c r="F635" s="3157"/>
      <c r="G635" s="3157"/>
      <c r="H635" s="3157"/>
      <c r="I635" s="3157"/>
      <c r="J635" s="3157"/>
      <c r="K635" s="3157"/>
      <c r="L635" s="3157"/>
      <c r="M635" s="3157"/>
      <c r="N635" s="3157"/>
      <c r="O635" s="3157"/>
      <c r="P635" s="3157"/>
      <c r="Q635" s="3157"/>
      <c r="R635" s="3157"/>
      <c r="S635" s="3157"/>
      <c r="T635" s="3157"/>
      <c r="U635" s="3157"/>
      <c r="V635" s="3157"/>
      <c r="W635" s="3157"/>
      <c r="X635" s="3157"/>
      <c r="Y635" s="3157"/>
      <c r="Z635" s="3157"/>
      <c r="AA635" s="3157"/>
      <c r="AB635" s="3157"/>
      <c r="AC635" s="3157"/>
      <c r="AD635" s="3157"/>
      <c r="AE635" s="3157"/>
      <c r="AF635" s="1027"/>
      <c r="AG635" s="1027"/>
      <c r="AH635" s="1027"/>
      <c r="AI635" s="1027"/>
      <c r="AJ635" s="1027"/>
      <c r="AK635" s="1027"/>
      <c r="AL635" s="1195"/>
      <c r="AM635" s="1136"/>
      <c r="AN635" s="1002"/>
    </row>
    <row r="636" spans="1:81" s="945" customFormat="1" ht="12.75" customHeight="1">
      <c r="A636" s="929"/>
      <c r="B636" s="51"/>
      <c r="C636" s="3148" t="s">
        <v>580</v>
      </c>
      <c r="D636" s="3090"/>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53" t="s">
        <v>1764</v>
      </c>
      <c r="AG636" s="3153"/>
      <c r="AH636" s="3153"/>
      <c r="AI636" s="3153"/>
      <c r="AJ636" s="3153"/>
      <c r="AK636" s="3153"/>
      <c r="AL636" s="315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48" t="s">
        <v>628</v>
      </c>
      <c r="D638" s="3090"/>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53" t="s">
        <v>1776</v>
      </c>
      <c r="AG638" s="3153"/>
      <c r="AH638" s="3153"/>
      <c r="AI638" s="3153"/>
      <c r="AJ638" s="3153"/>
      <c r="AK638" s="3153"/>
      <c r="AL638" s="315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51" t="s">
        <v>1785</v>
      </c>
      <c r="G642" s="3151"/>
      <c r="H642" s="3151"/>
      <c r="I642" s="3151"/>
      <c r="J642" s="3151"/>
      <c r="K642" s="3151"/>
      <c r="L642" s="3151"/>
      <c r="M642" s="3151"/>
      <c r="N642" s="3151"/>
      <c r="O642" s="3151"/>
      <c r="P642" s="3151"/>
      <c r="Q642" s="3151"/>
      <c r="R642" s="3151"/>
      <c r="S642" s="3151"/>
      <c r="T642" s="3151"/>
      <c r="U642" s="3151"/>
      <c r="V642" s="3151"/>
      <c r="W642" s="3151"/>
      <c r="X642" s="3151"/>
      <c r="Y642" s="3151"/>
      <c r="Z642" s="3151"/>
      <c r="AA642" s="3151"/>
      <c r="AB642" s="3151"/>
      <c r="AC642" s="3151"/>
      <c r="AD642" s="3151"/>
      <c r="AE642" s="315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52"/>
      <c r="G643" s="3152"/>
      <c r="H643" s="3152"/>
      <c r="I643" s="3152"/>
      <c r="J643" s="3152"/>
      <c r="K643" s="3152"/>
      <c r="L643" s="3152"/>
      <c r="M643" s="3152"/>
      <c r="N643" s="3152"/>
      <c r="O643" s="3152"/>
      <c r="P643" s="3152"/>
      <c r="Q643" s="3152"/>
      <c r="R643" s="3152"/>
      <c r="S643" s="3152"/>
      <c r="T643" s="3152"/>
      <c r="U643" s="3152"/>
      <c r="V643" s="3152"/>
      <c r="W643" s="3152"/>
      <c r="X643" s="3152"/>
      <c r="Y643" s="3152"/>
      <c r="Z643" s="3152"/>
      <c r="AA643" s="3152"/>
      <c r="AB643" s="3152"/>
      <c r="AC643" s="3152"/>
      <c r="AD643" s="3152"/>
      <c r="AE643" s="3152"/>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52"/>
      <c r="G644" s="3152"/>
      <c r="H644" s="3152"/>
      <c r="I644" s="3152"/>
      <c r="J644" s="3152"/>
      <c r="K644" s="3152"/>
      <c r="L644" s="3152"/>
      <c r="M644" s="3152"/>
      <c r="N644" s="3152"/>
      <c r="O644" s="3152"/>
      <c r="P644" s="3152"/>
      <c r="Q644" s="3152"/>
      <c r="R644" s="3152"/>
      <c r="S644" s="3152"/>
      <c r="T644" s="3152"/>
      <c r="U644" s="3152"/>
      <c r="V644" s="3152"/>
      <c r="W644" s="3152"/>
      <c r="X644" s="3152"/>
      <c r="Y644" s="3152"/>
      <c r="Z644" s="3152"/>
      <c r="AA644" s="3152"/>
      <c r="AB644" s="3152"/>
      <c r="AC644" s="3152"/>
      <c r="AD644" s="3152"/>
      <c r="AE644" s="3152"/>
      <c r="AF644" s="1027"/>
      <c r="AG644" s="1027"/>
      <c r="AH644" s="1027"/>
      <c r="AI644" s="1027"/>
      <c r="AJ644" s="1027"/>
      <c r="AK644" s="1027"/>
      <c r="AL644" s="1195"/>
      <c r="AM644" s="1136"/>
      <c r="AN644" s="1002"/>
      <c r="AO644" s="1027"/>
      <c r="AP644" s="1027"/>
    </row>
    <row r="645" spans="1:60" s="945" customFormat="1" ht="12.75" customHeight="1">
      <c r="A645" s="929"/>
      <c r="B645" s="51"/>
      <c r="C645" s="3148" t="s">
        <v>628</v>
      </c>
      <c r="D645" s="3090"/>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53" t="s">
        <v>1764</v>
      </c>
      <c r="AG645" s="3153"/>
      <c r="AH645" s="3153"/>
      <c r="AI645" s="3153"/>
      <c r="AJ645" s="3153"/>
      <c r="AK645" s="3153"/>
      <c r="AL645" s="315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151" t="s">
        <v>1788</v>
      </c>
      <c r="G648" s="3151"/>
      <c r="H648" s="3151"/>
      <c r="I648" s="3151"/>
      <c r="J648" s="3151"/>
      <c r="K648" s="3151"/>
      <c r="L648" s="3151"/>
      <c r="M648" s="3151"/>
      <c r="N648" s="3151"/>
      <c r="O648" s="3151"/>
      <c r="P648" s="3151"/>
      <c r="Q648" s="3151"/>
      <c r="R648" s="3151"/>
      <c r="S648" s="3151"/>
      <c r="T648" s="3151"/>
      <c r="U648" s="3151"/>
      <c r="V648" s="3151"/>
      <c r="W648" s="3151"/>
      <c r="X648" s="3151"/>
      <c r="Y648" s="3151"/>
      <c r="Z648" s="3151"/>
      <c r="AA648" s="3151"/>
      <c r="AB648" s="3151"/>
      <c r="AC648" s="3151"/>
      <c r="AD648" s="3151"/>
      <c r="AE648" s="3151"/>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52"/>
      <c r="G649" s="3152"/>
      <c r="H649" s="3152"/>
      <c r="I649" s="3152"/>
      <c r="J649" s="3152"/>
      <c r="K649" s="3152"/>
      <c r="L649" s="3152"/>
      <c r="M649" s="3152"/>
      <c r="N649" s="3152"/>
      <c r="O649" s="3152"/>
      <c r="P649" s="3152"/>
      <c r="Q649" s="3152"/>
      <c r="R649" s="3152"/>
      <c r="S649" s="3152"/>
      <c r="T649" s="3152"/>
      <c r="U649" s="3152"/>
      <c r="V649" s="3152"/>
      <c r="W649" s="3152"/>
      <c r="X649" s="3152"/>
      <c r="Y649" s="3152"/>
      <c r="Z649" s="3152"/>
      <c r="AA649" s="3152"/>
      <c r="AB649" s="3152"/>
      <c r="AC649" s="3152"/>
      <c r="AD649" s="3152"/>
      <c r="AE649" s="315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52"/>
      <c r="G650" s="3152"/>
      <c r="H650" s="3152"/>
      <c r="I650" s="3152"/>
      <c r="J650" s="3152"/>
      <c r="K650" s="3152"/>
      <c r="L650" s="3152"/>
      <c r="M650" s="3152"/>
      <c r="N650" s="3152"/>
      <c r="O650" s="3152"/>
      <c r="P650" s="3152"/>
      <c r="Q650" s="3152"/>
      <c r="R650" s="3152"/>
      <c r="S650" s="3152"/>
      <c r="T650" s="3152"/>
      <c r="U650" s="3152"/>
      <c r="V650" s="3152"/>
      <c r="W650" s="3152"/>
      <c r="X650" s="3152"/>
      <c r="Y650" s="3152"/>
      <c r="Z650" s="3152"/>
      <c r="AA650" s="3152"/>
      <c r="AB650" s="3152"/>
      <c r="AC650" s="3152"/>
      <c r="AD650" s="3152"/>
      <c r="AE650" s="315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52"/>
      <c r="G651" s="3152"/>
      <c r="H651" s="3152"/>
      <c r="I651" s="3152"/>
      <c r="J651" s="3152"/>
      <c r="K651" s="3152"/>
      <c r="L651" s="3152"/>
      <c r="M651" s="3152"/>
      <c r="N651" s="3152"/>
      <c r="O651" s="3152"/>
      <c r="P651" s="3152"/>
      <c r="Q651" s="3152"/>
      <c r="R651" s="3152"/>
      <c r="S651" s="3152"/>
      <c r="T651" s="3152"/>
      <c r="U651" s="3152"/>
      <c r="V651" s="3152"/>
      <c r="W651" s="3152"/>
      <c r="X651" s="3152"/>
      <c r="Y651" s="3152"/>
      <c r="Z651" s="3152"/>
      <c r="AA651" s="3152"/>
      <c r="AB651" s="3152"/>
      <c r="AC651" s="3152"/>
      <c r="AD651" s="3152"/>
      <c r="AE651" s="315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52"/>
      <c r="G652" s="3152"/>
      <c r="H652" s="3152"/>
      <c r="I652" s="3152"/>
      <c r="J652" s="3152"/>
      <c r="K652" s="3152"/>
      <c r="L652" s="3152"/>
      <c r="M652" s="3152"/>
      <c r="N652" s="3152"/>
      <c r="O652" s="3152"/>
      <c r="P652" s="3152"/>
      <c r="Q652" s="3152"/>
      <c r="R652" s="3152"/>
      <c r="S652" s="3152"/>
      <c r="T652" s="3152"/>
      <c r="U652" s="3152"/>
      <c r="V652" s="3152"/>
      <c r="W652" s="3152"/>
      <c r="X652" s="3152"/>
      <c r="Y652" s="3152"/>
      <c r="Z652" s="3152"/>
      <c r="AA652" s="3152"/>
      <c r="AB652" s="3152"/>
      <c r="AC652" s="3152"/>
      <c r="AD652" s="3152"/>
      <c r="AE652" s="315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52"/>
      <c r="G653" s="3152"/>
      <c r="H653" s="3152"/>
      <c r="I653" s="3152"/>
      <c r="J653" s="3152"/>
      <c r="K653" s="3152"/>
      <c r="L653" s="3152"/>
      <c r="M653" s="3152"/>
      <c r="N653" s="3152"/>
      <c r="O653" s="3152"/>
      <c r="P653" s="3152"/>
      <c r="Q653" s="3152"/>
      <c r="R653" s="3152"/>
      <c r="S653" s="3152"/>
      <c r="T653" s="3152"/>
      <c r="U653" s="3152"/>
      <c r="V653" s="3152"/>
      <c r="W653" s="3152"/>
      <c r="X653" s="3152"/>
      <c r="Y653" s="3152"/>
      <c r="Z653" s="3152"/>
      <c r="AA653" s="3152"/>
      <c r="AB653" s="3152"/>
      <c r="AC653" s="3152"/>
      <c r="AD653" s="3152"/>
      <c r="AE653" s="3152"/>
      <c r="AF653" s="1226"/>
      <c r="AG653" s="1226"/>
      <c r="AH653" s="1226"/>
      <c r="AI653" s="1226"/>
      <c r="AJ653" s="1226"/>
      <c r="AK653" s="1226"/>
      <c r="AL653" s="1227"/>
      <c r="AM653" s="1136"/>
      <c r="AN653" s="1002"/>
    </row>
    <row r="654" spans="1:60" s="945" customFormat="1" ht="12.75" customHeight="1">
      <c r="A654" s="929"/>
      <c r="B654" s="51"/>
      <c r="C654" s="1228"/>
      <c r="D654" s="1193"/>
      <c r="E654" s="1180"/>
      <c r="F654" s="3152"/>
      <c r="G654" s="3152"/>
      <c r="H654" s="3152"/>
      <c r="I654" s="3152"/>
      <c r="J654" s="3152"/>
      <c r="K654" s="3152"/>
      <c r="L654" s="3152"/>
      <c r="M654" s="3152"/>
      <c r="N654" s="3152"/>
      <c r="O654" s="3152"/>
      <c r="P654" s="3152"/>
      <c r="Q654" s="3152"/>
      <c r="R654" s="3152"/>
      <c r="S654" s="3152"/>
      <c r="T654" s="3152"/>
      <c r="U654" s="3152"/>
      <c r="V654" s="3152"/>
      <c r="W654" s="3152"/>
      <c r="X654" s="3152"/>
      <c r="Y654" s="3152"/>
      <c r="Z654" s="3152"/>
      <c r="AA654" s="3152"/>
      <c r="AB654" s="3152"/>
      <c r="AC654" s="3152"/>
      <c r="AD654" s="3152"/>
      <c r="AE654" s="3152"/>
      <c r="AF654" s="1226"/>
      <c r="AG654" s="1226"/>
      <c r="AH654" s="1226"/>
      <c r="AI654" s="1226"/>
      <c r="AJ654" s="1226"/>
      <c r="AK654" s="1226"/>
      <c r="AL654" s="1227"/>
      <c r="AM654" s="1136"/>
      <c r="AN654" s="1002"/>
    </row>
    <row r="655" spans="1:60" s="945" customFormat="1" ht="12.75" customHeight="1">
      <c r="A655" s="929"/>
      <c r="B655" s="51"/>
      <c r="C655" s="1228"/>
      <c r="D655" s="1193"/>
      <c r="E655" s="1180"/>
      <c r="F655" s="3152"/>
      <c r="G655" s="3152"/>
      <c r="H655" s="3152"/>
      <c r="I655" s="3152"/>
      <c r="J655" s="3152"/>
      <c r="K655" s="3152"/>
      <c r="L655" s="3152"/>
      <c r="M655" s="3152"/>
      <c r="N655" s="3152"/>
      <c r="O655" s="3152"/>
      <c r="P655" s="3152"/>
      <c r="Q655" s="3152"/>
      <c r="R655" s="3152"/>
      <c r="S655" s="3152"/>
      <c r="T655" s="3152"/>
      <c r="U655" s="3152"/>
      <c r="V655" s="3152"/>
      <c r="W655" s="3152"/>
      <c r="X655" s="3152"/>
      <c r="Y655" s="3152"/>
      <c r="Z655" s="3152"/>
      <c r="AA655" s="3152"/>
      <c r="AB655" s="3152"/>
      <c r="AC655" s="3152"/>
      <c r="AD655" s="3152"/>
      <c r="AE655" s="3152"/>
      <c r="AF655" s="1226"/>
      <c r="AG655" s="1226"/>
      <c r="AH655" s="1226"/>
      <c r="AI655" s="1226"/>
      <c r="AJ655" s="1226"/>
      <c r="AK655" s="1226"/>
      <c r="AL655" s="1227"/>
      <c r="AM655" s="1136"/>
      <c r="AN655" s="1002"/>
    </row>
    <row r="656" spans="1:60" s="945" customFormat="1" ht="17.25" customHeight="1">
      <c r="A656" s="929"/>
      <c r="B656" s="51"/>
      <c r="C656" s="1228"/>
      <c r="D656" s="1193"/>
      <c r="E656" s="1180"/>
      <c r="F656" s="3152"/>
      <c r="G656" s="3152"/>
      <c r="H656" s="3152"/>
      <c r="I656" s="3152"/>
      <c r="J656" s="3152"/>
      <c r="K656" s="3152"/>
      <c r="L656" s="3152"/>
      <c r="M656" s="3152"/>
      <c r="N656" s="3152"/>
      <c r="O656" s="3152"/>
      <c r="P656" s="3152"/>
      <c r="Q656" s="3152"/>
      <c r="R656" s="3152"/>
      <c r="S656" s="3152"/>
      <c r="T656" s="3152"/>
      <c r="U656" s="3152"/>
      <c r="V656" s="3152"/>
      <c r="W656" s="3152"/>
      <c r="X656" s="3152"/>
      <c r="Y656" s="3152"/>
      <c r="Z656" s="3152"/>
      <c r="AA656" s="3152"/>
      <c r="AB656" s="3152"/>
      <c r="AC656" s="3152"/>
      <c r="AD656" s="3152"/>
      <c r="AE656" s="3152"/>
      <c r="AF656" s="1027"/>
      <c r="AG656" s="1027"/>
      <c r="AH656" s="1027"/>
      <c r="AI656" s="1027"/>
      <c r="AJ656" s="1027"/>
      <c r="AK656" s="1027"/>
      <c r="AL656" s="1195"/>
      <c r="AM656" s="1136"/>
      <c r="AN656" s="1002"/>
    </row>
    <row r="657" spans="1:54" s="945" customFormat="1" ht="12.75" customHeight="1">
      <c r="A657" s="929"/>
      <c r="B657" s="51"/>
      <c r="C657" s="3148" t="s">
        <v>628</v>
      </c>
      <c r="D657" s="3090"/>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53" t="s">
        <v>1764</v>
      </c>
      <c r="AG657" s="3153"/>
      <c r="AH657" s="3153"/>
      <c r="AI657" s="3153"/>
      <c r="AJ657" s="3153"/>
      <c r="AK657" s="3153"/>
      <c r="AL657" s="315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51" t="s">
        <v>1791</v>
      </c>
      <c r="G660" s="3151"/>
      <c r="H660" s="3151"/>
      <c r="I660" s="3151"/>
      <c r="J660" s="3151"/>
      <c r="K660" s="3151"/>
      <c r="L660" s="3151"/>
      <c r="M660" s="3151"/>
      <c r="N660" s="3151"/>
      <c r="O660" s="3151"/>
      <c r="P660" s="3151"/>
      <c r="Q660" s="3151"/>
      <c r="R660" s="3151"/>
      <c r="S660" s="3151"/>
      <c r="T660" s="3151"/>
      <c r="U660" s="3151"/>
      <c r="V660" s="3151"/>
      <c r="W660" s="3151"/>
      <c r="X660" s="3151"/>
      <c r="Y660" s="3151"/>
      <c r="Z660" s="3151"/>
      <c r="AA660" s="3151"/>
      <c r="AB660" s="3151"/>
      <c r="AC660" s="3151"/>
      <c r="AD660" s="3151"/>
      <c r="AE660" s="3151"/>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52"/>
      <c r="G661" s="3152"/>
      <c r="H661" s="3152"/>
      <c r="I661" s="3152"/>
      <c r="J661" s="3152"/>
      <c r="K661" s="3152"/>
      <c r="L661" s="3152"/>
      <c r="M661" s="3152"/>
      <c r="N661" s="3152"/>
      <c r="O661" s="3152"/>
      <c r="P661" s="3152"/>
      <c r="Q661" s="3152"/>
      <c r="R661" s="3152"/>
      <c r="S661" s="3152"/>
      <c r="T661" s="3152"/>
      <c r="U661" s="3152"/>
      <c r="V661" s="3152"/>
      <c r="W661" s="3152"/>
      <c r="X661" s="3152"/>
      <c r="Y661" s="3152"/>
      <c r="Z661" s="3152"/>
      <c r="AA661" s="3152"/>
      <c r="AB661" s="3152"/>
      <c r="AC661" s="3152"/>
      <c r="AD661" s="3152"/>
      <c r="AE661" s="3152"/>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52"/>
      <c r="G662" s="3152"/>
      <c r="H662" s="3152"/>
      <c r="I662" s="3152"/>
      <c r="J662" s="3152"/>
      <c r="K662" s="3152"/>
      <c r="L662" s="3152"/>
      <c r="M662" s="3152"/>
      <c r="N662" s="3152"/>
      <c r="O662" s="3152"/>
      <c r="P662" s="3152"/>
      <c r="Q662" s="3152"/>
      <c r="R662" s="3152"/>
      <c r="S662" s="3152"/>
      <c r="T662" s="3152"/>
      <c r="U662" s="3152"/>
      <c r="V662" s="3152"/>
      <c r="W662" s="3152"/>
      <c r="X662" s="3152"/>
      <c r="Y662" s="3152"/>
      <c r="Z662" s="3152"/>
      <c r="AA662" s="3152"/>
      <c r="AB662" s="3152"/>
      <c r="AC662" s="3152"/>
      <c r="AD662" s="3152"/>
      <c r="AE662" s="3152"/>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52"/>
      <c r="G663" s="3152"/>
      <c r="H663" s="3152"/>
      <c r="I663" s="3152"/>
      <c r="J663" s="3152"/>
      <c r="K663" s="3152"/>
      <c r="L663" s="3152"/>
      <c r="M663" s="3152"/>
      <c r="N663" s="3152"/>
      <c r="O663" s="3152"/>
      <c r="P663" s="3152"/>
      <c r="Q663" s="3152"/>
      <c r="R663" s="3152"/>
      <c r="S663" s="3152"/>
      <c r="T663" s="3152"/>
      <c r="U663" s="3152"/>
      <c r="V663" s="3152"/>
      <c r="W663" s="3152"/>
      <c r="X663" s="3152"/>
      <c r="Y663" s="3152"/>
      <c r="Z663" s="3152"/>
      <c r="AA663" s="3152"/>
      <c r="AB663" s="3152"/>
      <c r="AC663" s="3152"/>
      <c r="AD663" s="3152"/>
      <c r="AE663" s="3152"/>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48" t="s">
        <v>628</v>
      </c>
      <c r="D664" s="3090"/>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53" t="s">
        <v>1764</v>
      </c>
      <c r="AG664" s="3153"/>
      <c r="AH664" s="3153"/>
      <c r="AI664" s="3153"/>
      <c r="AJ664" s="3153"/>
      <c r="AK664" s="3153"/>
      <c r="AL664" s="3154"/>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60" t="s">
        <v>628</v>
      </c>
      <c r="D668" s="3161"/>
      <c r="E668" s="1176" t="s">
        <v>1800</v>
      </c>
      <c r="F668" s="3151" t="s">
        <v>1801</v>
      </c>
      <c r="G668" s="3151"/>
      <c r="H668" s="3151"/>
      <c r="I668" s="3151"/>
      <c r="J668" s="3151"/>
      <c r="K668" s="3151"/>
      <c r="L668" s="3151"/>
      <c r="M668" s="3151"/>
      <c r="N668" s="3151"/>
      <c r="O668" s="3151"/>
      <c r="P668" s="3151"/>
      <c r="Q668" s="3151"/>
      <c r="R668" s="3151"/>
      <c r="S668" s="3151"/>
      <c r="T668" s="3151"/>
      <c r="U668" s="3151"/>
      <c r="V668" s="3151"/>
      <c r="W668" s="3151"/>
      <c r="X668" s="3151"/>
      <c r="Y668" s="3151"/>
      <c r="Z668" s="3151"/>
      <c r="AA668" s="3151"/>
      <c r="AB668" s="3151"/>
      <c r="AC668" s="3151"/>
      <c r="AD668" s="3151"/>
      <c r="AE668" s="3151"/>
      <c r="AF668" s="3158" t="s">
        <v>1764</v>
      </c>
      <c r="AG668" s="3158"/>
      <c r="AH668" s="3158"/>
      <c r="AI668" s="3158"/>
      <c r="AJ668" s="3158"/>
      <c r="AK668" s="3158"/>
      <c r="AL668" s="3159"/>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52"/>
      <c r="G669" s="3152"/>
      <c r="H669" s="3152"/>
      <c r="I669" s="3152"/>
      <c r="J669" s="3152"/>
      <c r="K669" s="3152"/>
      <c r="L669" s="3152"/>
      <c r="M669" s="3152"/>
      <c r="N669" s="3152"/>
      <c r="O669" s="3152"/>
      <c r="P669" s="3152"/>
      <c r="Q669" s="3152"/>
      <c r="R669" s="3152"/>
      <c r="S669" s="3152"/>
      <c r="T669" s="3152"/>
      <c r="U669" s="3152"/>
      <c r="V669" s="3152"/>
      <c r="W669" s="3152"/>
      <c r="X669" s="3152"/>
      <c r="Y669" s="3152"/>
      <c r="Z669" s="3152"/>
      <c r="AA669" s="3152"/>
      <c r="AB669" s="3152"/>
      <c r="AC669" s="3152"/>
      <c r="AD669" s="3152"/>
      <c r="AE669" s="3152"/>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55"/>
      <c r="G670" s="3155"/>
      <c r="H670" s="3155"/>
      <c r="I670" s="3155"/>
      <c r="J670" s="3155"/>
      <c r="K670" s="3155"/>
      <c r="L670" s="3155"/>
      <c r="M670" s="3155"/>
      <c r="N670" s="3155"/>
      <c r="O670" s="3155"/>
      <c r="P670" s="3155"/>
      <c r="Q670" s="3155"/>
      <c r="R670" s="3155"/>
      <c r="S670" s="3155"/>
      <c r="T670" s="3155"/>
      <c r="U670" s="3155"/>
      <c r="V670" s="3155"/>
      <c r="W670" s="3155"/>
      <c r="X670" s="3155"/>
      <c r="Y670" s="3155"/>
      <c r="Z670" s="3155"/>
      <c r="AA670" s="3155"/>
      <c r="AB670" s="3155"/>
      <c r="AC670" s="3155"/>
      <c r="AD670" s="3155"/>
      <c r="AE670" s="3155"/>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48" t="s">
        <v>628</v>
      </c>
      <c r="D672" s="3090"/>
      <c r="E672" s="1176" t="s">
        <v>1806</v>
      </c>
      <c r="F672" s="3151" t="s">
        <v>1807</v>
      </c>
      <c r="G672" s="3151"/>
      <c r="H672" s="3151"/>
      <c r="I672" s="3151"/>
      <c r="J672" s="3151"/>
      <c r="K672" s="3151"/>
      <c r="L672" s="3151"/>
      <c r="M672" s="3151"/>
      <c r="N672" s="3151"/>
      <c r="O672" s="3151"/>
      <c r="P672" s="3151"/>
      <c r="Q672" s="3151"/>
      <c r="R672" s="3151"/>
      <c r="S672" s="3151"/>
      <c r="T672" s="3151"/>
      <c r="U672" s="3151"/>
      <c r="V672" s="3151"/>
      <c r="W672" s="3151"/>
      <c r="X672" s="3151"/>
      <c r="Y672" s="3151"/>
      <c r="Z672" s="3151"/>
      <c r="AA672" s="3151"/>
      <c r="AB672" s="3151"/>
      <c r="AC672" s="3151"/>
      <c r="AD672" s="3151"/>
      <c r="AE672" s="3151"/>
      <c r="AF672" s="3158" t="s">
        <v>1764</v>
      </c>
      <c r="AG672" s="3158"/>
      <c r="AH672" s="3158"/>
      <c r="AI672" s="3158"/>
      <c r="AJ672" s="3158"/>
      <c r="AK672" s="3158"/>
      <c r="AL672" s="3159"/>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52"/>
      <c r="G673" s="3152"/>
      <c r="H673" s="3152"/>
      <c r="I673" s="3152"/>
      <c r="J673" s="3152"/>
      <c r="K673" s="3152"/>
      <c r="L673" s="3152"/>
      <c r="M673" s="3152"/>
      <c r="N673" s="3152"/>
      <c r="O673" s="3152"/>
      <c r="P673" s="3152"/>
      <c r="Q673" s="3152"/>
      <c r="R673" s="3152"/>
      <c r="S673" s="3152"/>
      <c r="T673" s="3152"/>
      <c r="U673" s="3152"/>
      <c r="V673" s="3152"/>
      <c r="W673" s="3152"/>
      <c r="X673" s="3152"/>
      <c r="Y673" s="3152"/>
      <c r="Z673" s="3152"/>
      <c r="AA673" s="3152"/>
      <c r="AB673" s="3152"/>
      <c r="AC673" s="3152"/>
      <c r="AD673" s="3152"/>
      <c r="AE673" s="315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52"/>
      <c r="G674" s="3152"/>
      <c r="H674" s="3152"/>
      <c r="I674" s="3152"/>
      <c r="J674" s="3152"/>
      <c r="K674" s="3152"/>
      <c r="L674" s="3152"/>
      <c r="M674" s="3152"/>
      <c r="N674" s="3152"/>
      <c r="O674" s="3152"/>
      <c r="P674" s="3152"/>
      <c r="Q674" s="3152"/>
      <c r="R674" s="3152"/>
      <c r="S674" s="3152"/>
      <c r="T674" s="3152"/>
      <c r="U674" s="3152"/>
      <c r="V674" s="3152"/>
      <c r="W674" s="3152"/>
      <c r="X674" s="3152"/>
      <c r="Y674" s="3152"/>
      <c r="Z674" s="3152"/>
      <c r="AA674" s="3152"/>
      <c r="AB674" s="3152"/>
      <c r="AC674" s="3152"/>
      <c r="AD674" s="3152"/>
      <c r="AE674" s="3152"/>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55"/>
      <c r="G675" s="3155"/>
      <c r="H675" s="3155"/>
      <c r="I675" s="3155"/>
      <c r="J675" s="3155"/>
      <c r="K675" s="3155"/>
      <c r="L675" s="3155"/>
      <c r="M675" s="3155"/>
      <c r="N675" s="3155"/>
      <c r="O675" s="3155"/>
      <c r="P675" s="3155"/>
      <c r="Q675" s="3155"/>
      <c r="R675" s="3155"/>
      <c r="S675" s="3155"/>
      <c r="T675" s="3155"/>
      <c r="U675" s="3155"/>
      <c r="V675" s="3155"/>
      <c r="W675" s="3155"/>
      <c r="X675" s="3155"/>
      <c r="Y675" s="3155"/>
      <c r="Z675" s="3155"/>
      <c r="AA675" s="3155"/>
      <c r="AB675" s="3155"/>
      <c r="AC675" s="3155"/>
      <c r="AD675" s="3155"/>
      <c r="AE675" s="315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56" t="s">
        <v>1810</v>
      </c>
      <c r="G677" s="3156"/>
      <c r="H677" s="3156"/>
      <c r="I677" s="3156"/>
      <c r="J677" s="3156"/>
      <c r="K677" s="3156"/>
      <c r="L677" s="3156"/>
      <c r="M677" s="3156"/>
      <c r="N677" s="3156"/>
      <c r="O677" s="3156"/>
      <c r="P677" s="3156"/>
      <c r="Q677" s="3156"/>
      <c r="R677" s="3156"/>
      <c r="S677" s="3156"/>
      <c r="T677" s="3156"/>
      <c r="U677" s="3156"/>
      <c r="V677" s="3156"/>
      <c r="W677" s="3156"/>
      <c r="X677" s="3156"/>
      <c r="Y677" s="3156"/>
      <c r="Z677" s="3156"/>
      <c r="AA677" s="3156"/>
      <c r="AB677" s="3156"/>
      <c r="AC677" s="3156"/>
      <c r="AD677" s="3156"/>
      <c r="AE677" s="3156"/>
      <c r="AF677" s="3156"/>
      <c r="AG677" s="1210"/>
      <c r="AH677" s="1175"/>
      <c r="AI677" s="1175"/>
      <c r="AJ677" s="1175"/>
      <c r="AK677" s="1175"/>
      <c r="AL677" s="1211"/>
      <c r="AM677" s="1136"/>
      <c r="AN677" s="1002"/>
    </row>
    <row r="678" spans="1:54" s="945" customFormat="1" ht="12.75" customHeight="1">
      <c r="A678" s="929"/>
      <c r="B678" s="51"/>
      <c r="C678" s="1194"/>
      <c r="D678" s="112"/>
      <c r="E678" s="1148"/>
      <c r="F678" s="3157"/>
      <c r="G678" s="3157"/>
      <c r="H678" s="3157"/>
      <c r="I678" s="3157"/>
      <c r="J678" s="3157"/>
      <c r="K678" s="3157"/>
      <c r="L678" s="3157"/>
      <c r="M678" s="3157"/>
      <c r="N678" s="3157"/>
      <c r="O678" s="3157"/>
      <c r="P678" s="3157"/>
      <c r="Q678" s="3157"/>
      <c r="R678" s="3157"/>
      <c r="S678" s="3157"/>
      <c r="T678" s="3157"/>
      <c r="U678" s="3157"/>
      <c r="V678" s="3157"/>
      <c r="W678" s="3157"/>
      <c r="X678" s="3157"/>
      <c r="Y678" s="3157"/>
      <c r="Z678" s="3157"/>
      <c r="AA678" s="3157"/>
      <c r="AB678" s="3157"/>
      <c r="AC678" s="3157"/>
      <c r="AD678" s="3157"/>
      <c r="AE678" s="3157"/>
      <c r="AF678" s="3157"/>
      <c r="AG678" s="1027"/>
      <c r="AH678" s="1027"/>
      <c r="AI678" s="1027"/>
      <c r="AJ678" s="1027"/>
      <c r="AK678" s="1027"/>
      <c r="AL678" s="1195"/>
      <c r="AM678" s="1136"/>
      <c r="AN678" s="1002"/>
    </row>
    <row r="679" spans="1:54" s="945" customFormat="1" ht="12.75" customHeight="1">
      <c r="A679" s="929"/>
      <c r="B679" s="51"/>
      <c r="C679" s="1203"/>
      <c r="D679" s="1027"/>
      <c r="E679" s="1027"/>
      <c r="F679" s="3157"/>
      <c r="G679" s="3157"/>
      <c r="H679" s="3157"/>
      <c r="I679" s="3157"/>
      <c r="J679" s="3157"/>
      <c r="K679" s="3157"/>
      <c r="L679" s="3157"/>
      <c r="M679" s="3157"/>
      <c r="N679" s="3157"/>
      <c r="O679" s="3157"/>
      <c r="P679" s="3157"/>
      <c r="Q679" s="3157"/>
      <c r="R679" s="3157"/>
      <c r="S679" s="3157"/>
      <c r="T679" s="3157"/>
      <c r="U679" s="3157"/>
      <c r="V679" s="3157"/>
      <c r="W679" s="3157"/>
      <c r="X679" s="3157"/>
      <c r="Y679" s="3157"/>
      <c r="Z679" s="3157"/>
      <c r="AA679" s="3157"/>
      <c r="AB679" s="3157"/>
      <c r="AC679" s="3157"/>
      <c r="AD679" s="3157"/>
      <c r="AE679" s="3157"/>
      <c r="AF679" s="3157"/>
      <c r="AG679" s="1027"/>
      <c r="AH679" s="1027"/>
      <c r="AI679" s="1027"/>
      <c r="AJ679" s="1027"/>
      <c r="AK679" s="1027"/>
      <c r="AL679" s="1195"/>
      <c r="AM679" s="1136"/>
      <c r="AN679" s="1002"/>
    </row>
    <row r="680" spans="1:54" s="945" customFormat="1" ht="12.75" customHeight="1">
      <c r="A680" s="929"/>
      <c r="B680" s="51"/>
      <c r="C680" s="1203"/>
      <c r="D680" s="1027"/>
      <c r="E680" s="1027"/>
      <c r="F680" s="3157"/>
      <c r="G680" s="3157"/>
      <c r="H680" s="3157"/>
      <c r="I680" s="3157"/>
      <c r="J680" s="3157"/>
      <c r="K680" s="3157"/>
      <c r="L680" s="3157"/>
      <c r="M680" s="3157"/>
      <c r="N680" s="3157"/>
      <c r="O680" s="3157"/>
      <c r="P680" s="3157"/>
      <c r="Q680" s="3157"/>
      <c r="R680" s="3157"/>
      <c r="S680" s="3157"/>
      <c r="T680" s="3157"/>
      <c r="U680" s="3157"/>
      <c r="V680" s="3157"/>
      <c r="W680" s="3157"/>
      <c r="X680" s="3157"/>
      <c r="Y680" s="3157"/>
      <c r="Z680" s="3157"/>
      <c r="AA680" s="3157"/>
      <c r="AB680" s="3157"/>
      <c r="AC680" s="3157"/>
      <c r="AD680" s="3157"/>
      <c r="AE680" s="3157"/>
      <c r="AF680" s="3157"/>
      <c r="AG680" s="1027"/>
      <c r="AH680" s="1027"/>
      <c r="AI680" s="1027"/>
      <c r="AJ680" s="1027"/>
      <c r="AK680" s="1027"/>
      <c r="AL680" s="1195"/>
      <c r="AM680" s="1136"/>
      <c r="AN680" s="1002"/>
    </row>
    <row r="681" spans="1:54" s="945" customFormat="1" ht="12.75" customHeight="1">
      <c r="A681" s="929"/>
      <c r="B681" s="51"/>
      <c r="C681" s="3148" t="s">
        <v>628</v>
      </c>
      <c r="D681" s="3090"/>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49" t="s">
        <v>1764</v>
      </c>
      <c r="AG681" s="3149"/>
      <c r="AH681" s="3149"/>
      <c r="AI681" s="3149"/>
      <c r="AJ681" s="3149"/>
      <c r="AK681" s="3149"/>
      <c r="AL681" s="315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98">
        <f>IF(AS575=0,AS573,AS575)</f>
        <v>10</v>
      </c>
      <c r="AL684" s="3099"/>
      <c r="AM684" s="310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64" t="s">
        <v>1814</v>
      </c>
      <c r="AF687" s="3164"/>
      <c r="AG687" s="3164"/>
      <c r="AH687" s="3164"/>
      <c r="AI687" s="3164"/>
      <c r="AJ687" s="3164"/>
      <c r="AK687" s="3164"/>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65" t="s">
        <v>628</v>
      </c>
      <c r="D693" s="3166"/>
      <c r="E693" s="1250" t="s">
        <v>542</v>
      </c>
      <c r="F693" s="3167" t="s">
        <v>1820</v>
      </c>
      <c r="G693" s="3167"/>
      <c r="H693" s="3167"/>
      <c r="I693" s="3167"/>
      <c r="J693" s="3167"/>
      <c r="K693" s="3167"/>
      <c r="L693" s="3167"/>
      <c r="M693" s="3167"/>
      <c r="N693" s="3167"/>
      <c r="O693" s="3167"/>
      <c r="P693" s="3167"/>
      <c r="Q693" s="3167"/>
      <c r="R693" s="3167"/>
      <c r="S693" s="3167"/>
      <c r="T693" s="3167"/>
      <c r="U693" s="3167"/>
      <c r="V693" s="3167"/>
      <c r="W693" s="3167"/>
      <c r="X693" s="3167"/>
      <c r="Y693" s="3167"/>
      <c r="Z693" s="3167"/>
      <c r="AA693" s="3167"/>
      <c r="AB693" s="3167"/>
      <c r="AC693" s="3167"/>
      <c r="AD693" s="3167"/>
      <c r="AE693" s="3167"/>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68"/>
      <c r="G694" s="3168"/>
      <c r="H694" s="3168"/>
      <c r="I694" s="3168"/>
      <c r="J694" s="3168"/>
      <c r="K694" s="3168"/>
      <c r="L694" s="3168"/>
      <c r="M694" s="3168"/>
      <c r="N694" s="3168"/>
      <c r="O694" s="3168"/>
      <c r="P694" s="3168"/>
      <c r="Q694" s="3168"/>
      <c r="R694" s="3168"/>
      <c r="S694" s="3168"/>
      <c r="T694" s="3168"/>
      <c r="U694" s="3168"/>
      <c r="V694" s="3168"/>
      <c r="W694" s="3168"/>
      <c r="X694" s="3168"/>
      <c r="Y694" s="3168"/>
      <c r="Z694" s="3168"/>
      <c r="AA694" s="3168"/>
      <c r="AB694" s="3168"/>
      <c r="AC694" s="3168"/>
      <c r="AD694" s="3168"/>
      <c r="AE694" s="3168"/>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69" t="s">
        <v>628</v>
      </c>
      <c r="G695" s="3169"/>
      <c r="H695" s="3169"/>
      <c r="I695" s="3169"/>
      <c r="J695" s="3169"/>
      <c r="K695" s="3169"/>
      <c r="L695" s="3169"/>
      <c r="M695" s="3169"/>
      <c r="N695" s="3169"/>
      <c r="O695" s="3169"/>
      <c r="P695" s="3169"/>
      <c r="Q695" s="3169"/>
      <c r="R695" s="3169"/>
      <c r="S695" s="3169"/>
      <c r="T695" s="3169"/>
      <c r="U695" s="3169"/>
      <c r="V695" s="3169"/>
      <c r="W695" s="3169"/>
      <c r="X695" s="3169"/>
      <c r="Y695" s="3169"/>
      <c r="Z695" s="3169"/>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70" t="s">
        <v>580</v>
      </c>
      <c r="D697" s="3171"/>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63" t="s">
        <v>628</v>
      </c>
      <c r="W700" s="3163"/>
      <c r="X700" s="3163"/>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63" t="s">
        <v>628</v>
      </c>
      <c r="W702" s="3163"/>
      <c r="X702" s="3163"/>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63" t="s">
        <v>628</v>
      </c>
      <c r="W707" s="3163"/>
      <c r="X707" s="3163"/>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62"/>
      <c r="E710" s="3162"/>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63" t="s">
        <v>628</v>
      </c>
      <c r="W711" s="3163"/>
      <c r="X711" s="3163"/>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63" t="s">
        <v>628</v>
      </c>
      <c r="W713" s="3163"/>
      <c r="X713" s="3163"/>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65" t="s">
        <v>628</v>
      </c>
      <c r="D716" s="3166"/>
      <c r="E716" s="1250" t="s">
        <v>542</v>
      </c>
      <c r="F716" s="3167" t="s">
        <v>1820</v>
      </c>
      <c r="G716" s="3167"/>
      <c r="H716" s="3167"/>
      <c r="I716" s="3167"/>
      <c r="J716" s="3167"/>
      <c r="K716" s="3167"/>
      <c r="L716" s="3167"/>
      <c r="M716" s="3167"/>
      <c r="N716" s="3167"/>
      <c r="O716" s="3167"/>
      <c r="P716" s="3167"/>
      <c r="Q716" s="3167"/>
      <c r="R716" s="3167"/>
      <c r="S716" s="3167"/>
      <c r="T716" s="3167"/>
      <c r="U716" s="3167"/>
      <c r="V716" s="3167"/>
      <c r="W716" s="3167"/>
      <c r="X716" s="3167"/>
      <c r="Y716" s="3167"/>
      <c r="Z716" s="3167"/>
      <c r="AA716" s="3167"/>
      <c r="AB716" s="3167"/>
      <c r="AC716" s="3167"/>
      <c r="AD716" s="3167"/>
      <c r="AE716" s="316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68"/>
      <c r="G717" s="3168"/>
      <c r="H717" s="3168"/>
      <c r="I717" s="3168"/>
      <c r="J717" s="3168"/>
      <c r="K717" s="3168"/>
      <c r="L717" s="3168"/>
      <c r="M717" s="3168"/>
      <c r="N717" s="3168"/>
      <c r="O717" s="3168"/>
      <c r="P717" s="3168"/>
      <c r="Q717" s="3168"/>
      <c r="R717" s="3168"/>
      <c r="S717" s="3168"/>
      <c r="T717" s="3168"/>
      <c r="U717" s="3168"/>
      <c r="V717" s="3168"/>
      <c r="W717" s="3168"/>
      <c r="X717" s="3168"/>
      <c r="Y717" s="3168"/>
      <c r="Z717" s="3168"/>
      <c r="AA717" s="3168"/>
      <c r="AB717" s="3168"/>
      <c r="AC717" s="3168"/>
      <c r="AD717" s="3168"/>
      <c r="AE717" s="316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78" t="s">
        <v>628</v>
      </c>
      <c r="G718" s="3178"/>
      <c r="H718" s="3178"/>
      <c r="I718" s="3178"/>
      <c r="J718" s="3178"/>
      <c r="K718" s="3178"/>
      <c r="L718" s="3178"/>
      <c r="M718" s="3178"/>
      <c r="N718" s="3178"/>
      <c r="O718" s="3178"/>
      <c r="P718" s="3178"/>
      <c r="Q718" s="3178"/>
      <c r="R718" s="3178"/>
      <c r="S718" s="3178"/>
      <c r="T718" s="3178"/>
      <c r="U718" s="3178"/>
      <c r="V718" s="3178"/>
      <c r="W718" s="3178"/>
      <c r="X718" s="3178"/>
      <c r="Y718" s="3178"/>
      <c r="Z718" s="3178"/>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65" t="s">
        <v>628</v>
      </c>
      <c r="D720" s="3166"/>
      <c r="E720" s="1250" t="s">
        <v>802</v>
      </c>
      <c r="F720" s="3179" t="s">
        <v>1842</v>
      </c>
      <c r="G720" s="3179"/>
      <c r="H720" s="3179"/>
      <c r="I720" s="3179"/>
      <c r="J720" s="3179"/>
      <c r="K720" s="3179"/>
      <c r="L720" s="3179"/>
      <c r="M720" s="3179"/>
      <c r="N720" s="3179"/>
      <c r="O720" s="3179"/>
      <c r="P720" s="3179"/>
      <c r="Q720" s="3179"/>
      <c r="R720" s="3179"/>
      <c r="S720" s="3179"/>
      <c r="T720" s="3179"/>
      <c r="U720" s="3179"/>
      <c r="V720" s="3179"/>
      <c r="W720" s="3179"/>
      <c r="X720" s="3179"/>
      <c r="Y720" s="3179"/>
      <c r="Z720" s="3179"/>
      <c r="AA720" s="3179"/>
      <c r="AB720" s="3179"/>
      <c r="AC720" s="3179"/>
      <c r="AD720" s="3179"/>
      <c r="AE720" s="317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80"/>
      <c r="G721" s="3180"/>
      <c r="H721" s="3180"/>
      <c r="I721" s="3180"/>
      <c r="J721" s="3180"/>
      <c r="K721" s="3180"/>
      <c r="L721" s="3180"/>
      <c r="M721" s="3180"/>
      <c r="N721" s="3180"/>
      <c r="O721" s="3180"/>
      <c r="P721" s="3180"/>
      <c r="Q721" s="3180"/>
      <c r="R721" s="3180"/>
      <c r="S721" s="3180"/>
      <c r="T721" s="3180"/>
      <c r="U721" s="3180"/>
      <c r="V721" s="3180"/>
      <c r="W721" s="3180"/>
      <c r="X721" s="3180"/>
      <c r="Y721" s="3180"/>
      <c r="Z721" s="3180"/>
      <c r="AA721" s="3180"/>
      <c r="AB721" s="3180"/>
      <c r="AC721" s="3180"/>
      <c r="AD721" s="3180"/>
      <c r="AE721" s="318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81" t="s">
        <v>628</v>
      </c>
      <c r="G723" s="3181"/>
      <c r="H723" s="318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65" t="s">
        <v>628</v>
      </c>
      <c r="D725" s="3166"/>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72"/>
      <c r="D727" s="3162"/>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73" t="s">
        <v>628</v>
      </c>
      <c r="H728" s="3173"/>
      <c r="I728" s="3173"/>
      <c r="J728" s="3173"/>
      <c r="K728" s="3173"/>
      <c r="L728" s="3173"/>
      <c r="M728" s="3173"/>
      <c r="N728" s="3173"/>
      <c r="O728" s="3173"/>
      <c r="P728" s="3173"/>
      <c r="Q728" s="3173"/>
      <c r="R728" s="3173"/>
      <c r="S728" s="3173"/>
      <c r="T728" s="3173"/>
      <c r="U728" s="3173"/>
      <c r="V728" s="3173"/>
      <c r="W728" s="3173"/>
      <c r="X728" s="3173"/>
      <c r="Y728" s="3173"/>
      <c r="Z728" s="3173"/>
      <c r="AA728" s="3173"/>
      <c r="AB728" s="3173"/>
      <c r="AC728" s="3173"/>
      <c r="AD728" s="3173"/>
      <c r="AE728" s="3173"/>
      <c r="AF728" s="317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74" t="s">
        <v>628</v>
      </c>
      <c r="D730" s="3175"/>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74" t="s">
        <v>628</v>
      </c>
      <c r="D734" s="3175"/>
      <c r="E734" s="1027"/>
      <c r="F734" s="1292" t="s">
        <v>1850</v>
      </c>
      <c r="G734" s="3176" t="s">
        <v>1851</v>
      </c>
      <c r="H734" s="3176"/>
      <c r="I734" s="3176"/>
      <c r="J734" s="3176"/>
      <c r="K734" s="3176"/>
      <c r="L734" s="3176"/>
      <c r="M734" s="3176"/>
      <c r="N734" s="3176"/>
      <c r="O734" s="3176"/>
      <c r="P734" s="3176"/>
      <c r="Q734" s="3176"/>
      <c r="R734" s="3176"/>
      <c r="S734" s="3176"/>
      <c r="T734" s="3176"/>
      <c r="U734" s="3176"/>
      <c r="V734" s="3176"/>
      <c r="W734" s="3176"/>
      <c r="X734" s="3176"/>
      <c r="Y734" s="3176"/>
      <c r="Z734" s="3176"/>
      <c r="AA734" s="3176"/>
      <c r="AB734" s="3176"/>
      <c r="AC734" s="3176"/>
      <c r="AD734" s="3176"/>
      <c r="AE734" s="3176"/>
      <c r="AF734" s="3176"/>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77"/>
      <c r="H735" s="3177"/>
      <c r="I735" s="3177"/>
      <c r="J735" s="3177"/>
      <c r="K735" s="3177"/>
      <c r="L735" s="3177"/>
      <c r="M735" s="3177"/>
      <c r="N735" s="3177"/>
      <c r="O735" s="3177"/>
      <c r="P735" s="3177"/>
      <c r="Q735" s="3177"/>
      <c r="R735" s="3177"/>
      <c r="S735" s="3177"/>
      <c r="T735" s="3177"/>
      <c r="U735" s="3177"/>
      <c r="V735" s="3177"/>
      <c r="W735" s="3177"/>
      <c r="X735" s="3177"/>
      <c r="Y735" s="3177"/>
      <c r="Z735" s="3177"/>
      <c r="AA735" s="3177"/>
      <c r="AB735" s="3177"/>
      <c r="AC735" s="3177"/>
      <c r="AD735" s="3177"/>
      <c r="AE735" s="3177"/>
      <c r="AF735" s="317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89" t="s">
        <v>628</v>
      </c>
      <c r="D738" s="3190"/>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91" t="s">
        <v>628</v>
      </c>
      <c r="G739" s="3191"/>
      <c r="H739" s="3191"/>
      <c r="I739" s="3191"/>
      <c r="J739" s="3191"/>
      <c r="K739" s="3191"/>
      <c r="L739" s="3191"/>
      <c r="M739" s="3191"/>
      <c r="N739" s="3191"/>
      <c r="O739" s="3191"/>
      <c r="P739" s="3191"/>
      <c r="Q739" s="3191"/>
      <c r="R739" s="3191"/>
      <c r="S739" s="3191"/>
      <c r="T739" s="3191"/>
      <c r="U739" s="3191"/>
      <c r="V739" s="3191"/>
      <c r="W739" s="3191"/>
      <c r="X739" s="3191"/>
      <c r="Y739" s="3191"/>
      <c r="Z739" s="3191"/>
      <c r="AA739" s="3191"/>
      <c r="AB739" s="3191"/>
      <c r="AC739" s="3191"/>
      <c r="AD739" s="3191"/>
      <c r="AE739" s="3191"/>
      <c r="AF739" s="319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92"/>
      <c r="G740" s="3192"/>
      <c r="H740" s="3192"/>
      <c r="I740" s="3192"/>
      <c r="J740" s="3192"/>
      <c r="K740" s="3192"/>
      <c r="L740" s="3192"/>
      <c r="M740" s="3192"/>
      <c r="N740" s="3192"/>
      <c r="O740" s="3192"/>
      <c r="P740" s="3192"/>
      <c r="Q740" s="3192"/>
      <c r="R740" s="3192"/>
      <c r="S740" s="3192"/>
      <c r="T740" s="3192"/>
      <c r="U740" s="3192"/>
      <c r="V740" s="3192"/>
      <c r="W740" s="3192"/>
      <c r="X740" s="3192"/>
      <c r="Y740" s="3192"/>
      <c r="Z740" s="3192"/>
      <c r="AA740" s="3192"/>
      <c r="AB740" s="3192"/>
      <c r="AC740" s="3192"/>
      <c r="AD740" s="3192"/>
      <c r="AE740" s="3192"/>
      <c r="AF740" s="319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98">
        <f>SUM(AG694:AG739)</f>
        <v>0</v>
      </c>
      <c r="AL750" s="3099"/>
      <c r="AM750" s="310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1" t="s">
        <v>1865</v>
      </c>
      <c r="AF753" s="3081"/>
      <c r="AG753" s="3081"/>
      <c r="AH753" s="3081"/>
      <c r="AI753" s="3081"/>
      <c r="AJ753" s="3081"/>
      <c r="AK753" s="3081"/>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90" t="s">
        <v>580</v>
      </c>
      <c r="D756" s="3090"/>
      <c r="E756" s="946"/>
      <c r="F756" s="3193" t="s">
        <v>1866</v>
      </c>
      <c r="G756" s="3194"/>
      <c r="H756" s="3194"/>
      <c r="I756" s="3194"/>
      <c r="J756" s="3194"/>
      <c r="K756" s="3194"/>
      <c r="L756" s="3194"/>
      <c r="M756" s="3194"/>
      <c r="N756" s="3194"/>
      <c r="O756" s="3194"/>
      <c r="P756" s="3194"/>
      <c r="Q756" s="3194"/>
      <c r="R756" s="3194"/>
      <c r="S756" s="3194"/>
      <c r="T756" s="3194"/>
      <c r="U756" s="3194"/>
      <c r="V756" s="3194"/>
      <c r="W756" s="3194"/>
      <c r="X756" s="3194"/>
      <c r="Y756" s="3194"/>
      <c r="Z756" s="3194"/>
      <c r="AA756" s="3194"/>
      <c r="AB756" s="3194"/>
      <c r="AC756" s="3194"/>
      <c r="AD756" s="3194"/>
      <c r="AE756" s="3194"/>
      <c r="AF756" s="3194"/>
      <c r="AG756" s="3194"/>
      <c r="AH756" s="3194"/>
      <c r="AI756" s="3194"/>
      <c r="AJ756" s="3194"/>
      <c r="AK756" s="3194"/>
      <c r="AL756" s="3195"/>
      <c r="AM756" s="1007"/>
      <c r="AN756" s="1002"/>
    </row>
    <row r="757" spans="1:49" s="945" customFormat="1" ht="12.75" customHeight="1">
      <c r="A757" s="1014"/>
      <c r="B757" s="1014"/>
      <c r="C757" s="946"/>
      <c r="D757" s="946"/>
      <c r="E757" s="946"/>
      <c r="F757" s="3196"/>
      <c r="G757" s="3197"/>
      <c r="H757" s="3197"/>
      <c r="I757" s="3197"/>
      <c r="J757" s="3197"/>
      <c r="K757" s="3197"/>
      <c r="L757" s="3197"/>
      <c r="M757" s="3197"/>
      <c r="N757" s="3197"/>
      <c r="O757" s="3197"/>
      <c r="P757" s="3197"/>
      <c r="Q757" s="3197"/>
      <c r="R757" s="3197"/>
      <c r="S757" s="3197"/>
      <c r="T757" s="3197"/>
      <c r="U757" s="3197"/>
      <c r="V757" s="3197"/>
      <c r="W757" s="3197"/>
      <c r="X757" s="3197"/>
      <c r="Y757" s="3197"/>
      <c r="Z757" s="3197"/>
      <c r="AA757" s="3197"/>
      <c r="AB757" s="3197"/>
      <c r="AC757" s="3197"/>
      <c r="AD757" s="3197"/>
      <c r="AE757" s="3197"/>
      <c r="AF757" s="3197"/>
      <c r="AG757" s="3197"/>
      <c r="AH757" s="3197"/>
      <c r="AI757" s="3197"/>
      <c r="AJ757" s="3197"/>
      <c r="AK757" s="3197"/>
      <c r="AL757" s="319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90" t="s">
        <v>628</v>
      </c>
      <c r="D759" s="3090"/>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82" t="s">
        <v>1868</v>
      </c>
      <c r="G760" s="3183"/>
      <c r="H760" s="3183"/>
      <c r="I760" s="3183"/>
      <c r="J760" s="3183"/>
      <c r="K760" s="3183"/>
      <c r="L760" s="3183"/>
      <c r="M760" s="3183"/>
      <c r="N760" s="3183"/>
      <c r="O760" s="3183"/>
      <c r="P760" s="3183"/>
      <c r="Q760" s="3183"/>
      <c r="R760" s="3183"/>
      <c r="S760" s="3183"/>
      <c r="T760" s="3183"/>
      <c r="U760" s="3183"/>
      <c r="V760" s="3183"/>
      <c r="W760" s="3183"/>
      <c r="X760" s="3183"/>
      <c r="Y760" s="3183"/>
      <c r="Z760" s="3183"/>
      <c r="AA760" s="3183"/>
      <c r="AB760" s="3183"/>
      <c r="AC760" s="3183"/>
      <c r="AD760" s="3183"/>
      <c r="AE760" s="3183"/>
      <c r="AF760" s="3183"/>
      <c r="AG760" s="3183"/>
      <c r="AH760" s="3183"/>
      <c r="AI760" s="3183"/>
      <c r="AJ760" s="3183"/>
      <c r="AK760" s="3183"/>
      <c r="AL760" s="3184"/>
      <c r="AM760" s="1007"/>
      <c r="AN760" s="1002"/>
      <c r="AS760" s="1485"/>
      <c r="AT760" s="1485"/>
      <c r="AU760" s="1485"/>
      <c r="AV760" s="1485"/>
      <c r="AW760" s="1485"/>
    </row>
    <row r="761" spans="1:49" s="945" customFormat="1" ht="12.75" customHeight="1">
      <c r="A761" s="1028"/>
      <c r="B761" s="1307"/>
      <c r="C761" s="1307"/>
      <c r="D761" s="1307"/>
      <c r="E761" s="1307"/>
      <c r="F761" s="3182"/>
      <c r="G761" s="3183"/>
      <c r="H761" s="3183"/>
      <c r="I761" s="3183"/>
      <c r="J761" s="3183"/>
      <c r="K761" s="3183"/>
      <c r="L761" s="3183"/>
      <c r="M761" s="3183"/>
      <c r="N761" s="3183"/>
      <c r="O761" s="3183"/>
      <c r="P761" s="3183"/>
      <c r="Q761" s="3183"/>
      <c r="R761" s="3183"/>
      <c r="S761" s="3183"/>
      <c r="T761" s="3183"/>
      <c r="U761" s="3183"/>
      <c r="V761" s="3183"/>
      <c r="W761" s="3183"/>
      <c r="X761" s="3183"/>
      <c r="Y761" s="3183"/>
      <c r="Z761" s="3183"/>
      <c r="AA761" s="3183"/>
      <c r="AB761" s="3183"/>
      <c r="AC761" s="3183"/>
      <c r="AD761" s="3183"/>
      <c r="AE761" s="3183"/>
      <c r="AF761" s="3183"/>
      <c r="AG761" s="3183"/>
      <c r="AH761" s="3183"/>
      <c r="AI761" s="3183"/>
      <c r="AJ761" s="3183"/>
      <c r="AK761" s="3183"/>
      <c r="AL761" s="3184"/>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82" t="s">
        <v>1870</v>
      </c>
      <c r="G763" s="3183"/>
      <c r="H763" s="3183"/>
      <c r="I763" s="3183"/>
      <c r="J763" s="3183"/>
      <c r="K763" s="3183"/>
      <c r="L763" s="3183"/>
      <c r="M763" s="3183"/>
      <c r="N763" s="3183"/>
      <c r="O763" s="3183"/>
      <c r="P763" s="3183"/>
      <c r="Q763" s="3183"/>
      <c r="R763" s="3183"/>
      <c r="S763" s="3183"/>
      <c r="T763" s="3183"/>
      <c r="U763" s="3183"/>
      <c r="V763" s="3183"/>
      <c r="W763" s="3183"/>
      <c r="X763" s="3183"/>
      <c r="Y763" s="3183"/>
      <c r="Z763" s="3183"/>
      <c r="AA763" s="3183"/>
      <c r="AB763" s="3183"/>
      <c r="AC763" s="3183"/>
      <c r="AD763" s="3183"/>
      <c r="AE763" s="3183"/>
      <c r="AF763" s="3183"/>
      <c r="AG763" s="3183"/>
      <c r="AH763" s="3183"/>
      <c r="AI763" s="3183"/>
      <c r="AJ763" s="3183"/>
      <c r="AK763" s="3183"/>
      <c r="AL763" s="1316"/>
      <c r="AM763" s="1007"/>
      <c r="AN763" s="1002"/>
      <c r="AT763" s="1091"/>
      <c r="AU763" s="1091"/>
      <c r="AV763" s="1091"/>
    </row>
    <row r="764" spans="1:49" s="945" customFormat="1" ht="12.75" customHeight="1">
      <c r="A764" s="1028"/>
      <c r="B764" s="1307"/>
      <c r="C764" s="1307"/>
      <c r="D764" s="1307"/>
      <c r="E764" s="1307"/>
      <c r="F764" s="3185"/>
      <c r="G764" s="3186"/>
      <c r="H764" s="3186"/>
      <c r="I764" s="3186"/>
      <c r="J764" s="3186"/>
      <c r="K764" s="3186"/>
      <c r="L764" s="3186"/>
      <c r="M764" s="3186"/>
      <c r="N764" s="3186"/>
      <c r="O764" s="3186"/>
      <c r="P764" s="3186"/>
      <c r="Q764" s="3186"/>
      <c r="R764" s="3186"/>
      <c r="S764" s="3186"/>
      <c r="T764" s="3186"/>
      <c r="U764" s="3186"/>
      <c r="V764" s="3186"/>
      <c r="W764" s="3186"/>
      <c r="X764" s="3186"/>
      <c r="Y764" s="3186"/>
      <c r="Z764" s="3186"/>
      <c r="AA764" s="3186"/>
      <c r="AB764" s="3186"/>
      <c r="AC764" s="3186"/>
      <c r="AD764" s="3186"/>
      <c r="AE764" s="3186"/>
      <c r="AF764" s="3186"/>
      <c r="AG764" s="3186"/>
      <c r="AH764" s="3186"/>
      <c r="AI764" s="3186"/>
      <c r="AJ764" s="3186"/>
      <c r="AK764" s="318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55">
        <f>Application!AJ975</f>
        <v>79461880</v>
      </c>
      <c r="AQ765" s="3255"/>
      <c r="AR765" s="3255"/>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101">
        <f>'Sources and Uses Budget'!S107+'Sources and Uses Budget'!T107</f>
        <v>62028004</v>
      </c>
      <c r="AG766" s="3101"/>
      <c r="AH766" s="3101"/>
      <c r="AI766" s="3101"/>
      <c r="AJ766" s="3101"/>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87">
        <f>AP774</f>
        <v>103300444</v>
      </c>
      <c r="AG767" s="3187"/>
      <c r="AH767" s="3187"/>
      <c r="AI767" s="3187"/>
      <c r="AJ767" s="3187"/>
      <c r="AK767" s="1007"/>
      <c r="AL767" s="1007"/>
      <c r="AM767" s="1007"/>
      <c r="AN767" s="1002"/>
      <c r="AP767" s="3255">
        <f>Application!AJ1024</f>
        <v>7946188</v>
      </c>
      <c r="AQ767" s="3255"/>
      <c r="AR767" s="325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88">
        <f>ROUNDDOWN(IF(C759="YES",((1-(AF766/AF767))*2),(1-(AF766/AF767))),2)</f>
        <v>0.39</v>
      </c>
      <c r="AG768" s="3188"/>
      <c r="AH768" s="3188"/>
      <c r="AI768" s="3188"/>
      <c r="AJ768" s="3188"/>
      <c r="AK768" s="1007"/>
      <c r="AL768" s="1007"/>
      <c r="AM768" s="1007"/>
      <c r="AN768" s="1002"/>
      <c r="AP768" s="3270">
        <f>Application!AJ1028</f>
        <v>15892376</v>
      </c>
      <c r="AQ768" s="3270"/>
      <c r="AR768" s="327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56">
        <f>IF(((AP767+AP768)/AP765)&gt;0.8,0.8,((AP767+AP768)/AP765))</f>
        <v>0.3</v>
      </c>
      <c r="AQ769" s="3256"/>
      <c r="AR769" s="3256"/>
    </row>
    <row r="770" spans="1:44" s="945" customFormat="1" ht="12.75" customHeight="1">
      <c r="A770" s="1050"/>
      <c r="B770" s="3206" t="s">
        <v>1873</v>
      </c>
      <c r="C770" s="3207"/>
      <c r="D770" s="3207"/>
      <c r="E770" s="3207"/>
      <c r="F770" s="3207"/>
      <c r="G770" s="3207"/>
      <c r="H770" s="3207"/>
      <c r="I770" s="3207"/>
      <c r="J770" s="3207"/>
      <c r="K770" s="3207"/>
      <c r="L770" s="3207"/>
      <c r="M770" s="3207"/>
      <c r="N770" s="3207"/>
      <c r="O770" s="3207"/>
      <c r="P770" s="3207"/>
      <c r="Q770" s="3207"/>
      <c r="R770" s="3207"/>
      <c r="S770" s="3207"/>
      <c r="T770" s="3207"/>
      <c r="U770" s="3207"/>
      <c r="V770" s="3207"/>
      <c r="W770" s="3207"/>
      <c r="X770" s="3207"/>
      <c r="Y770" s="3207"/>
      <c r="Z770" s="3207"/>
      <c r="AA770" s="3207"/>
      <c r="AB770" s="3207"/>
      <c r="AC770" s="3207"/>
      <c r="AD770" s="3207"/>
      <c r="AE770" s="3207"/>
      <c r="AF770" s="3207"/>
      <c r="AG770" s="3207"/>
      <c r="AH770" s="3207"/>
      <c r="AI770" s="3207"/>
      <c r="AJ770" s="3208"/>
      <c r="AK770" s="1007"/>
      <c r="AL770" s="1007"/>
      <c r="AM770" s="1007"/>
      <c r="AN770" s="1002"/>
    </row>
    <row r="771" spans="1:44" s="945" customFormat="1" ht="12.75" customHeight="1">
      <c r="A771" s="1050"/>
      <c r="B771" s="3209"/>
      <c r="C771" s="3210"/>
      <c r="D771" s="3210"/>
      <c r="E771" s="3210"/>
      <c r="F771" s="3210"/>
      <c r="G771" s="3210"/>
      <c r="H771" s="3210"/>
      <c r="I771" s="3210"/>
      <c r="J771" s="3210"/>
      <c r="K771" s="3210"/>
      <c r="L771" s="3210"/>
      <c r="M771" s="3210"/>
      <c r="N771" s="3210"/>
      <c r="O771" s="3210"/>
      <c r="P771" s="3210"/>
      <c r="Q771" s="3210"/>
      <c r="R771" s="3210"/>
      <c r="S771" s="3210"/>
      <c r="T771" s="3210"/>
      <c r="U771" s="3210"/>
      <c r="V771" s="3210"/>
      <c r="W771" s="3210"/>
      <c r="X771" s="3210"/>
      <c r="Y771" s="3210"/>
      <c r="Z771" s="3210"/>
      <c r="AA771" s="3210"/>
      <c r="AB771" s="3210"/>
      <c r="AC771" s="3210"/>
      <c r="AD771" s="3210"/>
      <c r="AE771" s="3210"/>
      <c r="AF771" s="3210"/>
      <c r="AG771" s="3210"/>
      <c r="AH771" s="3210"/>
      <c r="AI771" s="3210"/>
      <c r="AJ771" s="3211"/>
      <c r="AK771" s="1007"/>
      <c r="AL771" s="1007"/>
      <c r="AM771" s="1007"/>
      <c r="AN771" s="1002"/>
      <c r="AP771" s="3255">
        <f>AP772-AP767-AP768</f>
        <v>79461880</v>
      </c>
      <c r="AQ771" s="3257"/>
      <c r="AR771" s="3257"/>
    </row>
    <row r="772" spans="1:44" s="945" customFormat="1" ht="12.75" customHeight="1">
      <c r="A772" s="1050"/>
      <c r="B772" s="3212"/>
      <c r="C772" s="3213"/>
      <c r="D772" s="3213"/>
      <c r="E772" s="3213"/>
      <c r="F772" s="3213"/>
      <c r="G772" s="3213"/>
      <c r="H772" s="3213"/>
      <c r="I772" s="3213"/>
      <c r="J772" s="3213"/>
      <c r="K772" s="3213"/>
      <c r="L772" s="3213"/>
      <c r="M772" s="3213"/>
      <c r="N772" s="3213"/>
      <c r="O772" s="3213"/>
      <c r="P772" s="3213"/>
      <c r="Q772" s="3213"/>
      <c r="R772" s="3213"/>
      <c r="S772" s="3213"/>
      <c r="T772" s="3213"/>
      <c r="U772" s="3213"/>
      <c r="V772" s="3213"/>
      <c r="W772" s="3213"/>
      <c r="X772" s="3213"/>
      <c r="Y772" s="3213"/>
      <c r="Z772" s="3213"/>
      <c r="AA772" s="3213"/>
      <c r="AB772" s="3213"/>
      <c r="AC772" s="3213"/>
      <c r="AD772" s="3213"/>
      <c r="AE772" s="3213"/>
      <c r="AF772" s="3213"/>
      <c r="AG772" s="3213"/>
      <c r="AH772" s="3213"/>
      <c r="AI772" s="3213"/>
      <c r="AJ772" s="3214"/>
      <c r="AK772" s="1007"/>
      <c r="AL772" s="1007"/>
      <c r="AM772" s="1007"/>
      <c r="AN772" s="1002"/>
      <c r="AP772" s="3255">
        <f>Application!AJ1032</f>
        <v>103300444</v>
      </c>
      <c r="AQ772" s="3255"/>
      <c r="AR772" s="325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215">
        <f>IF(AF768=0,0,IF((AF768*100)&gt;12,12,(AF768*100)))</f>
        <v>12</v>
      </c>
      <c r="AL774" s="3215"/>
      <c r="AM774" s="3216"/>
      <c r="AN774" s="1002"/>
      <c r="AP774" s="3262">
        <f>AP771+(AP765*AP769)</f>
        <v>103300444</v>
      </c>
      <c r="AQ774" s="3263"/>
      <c r="AR774" s="3264"/>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17" t="s">
        <v>1875</v>
      </c>
      <c r="B777" s="3218"/>
      <c r="C777" s="3218"/>
      <c r="D777" s="3218"/>
      <c r="E777" s="3218"/>
      <c r="F777" s="3218"/>
      <c r="G777" s="3218"/>
      <c r="H777" s="3218"/>
      <c r="I777" s="3218"/>
      <c r="J777" s="3218"/>
      <c r="K777" s="3218"/>
      <c r="L777" s="3218"/>
      <c r="M777" s="3218"/>
      <c r="N777" s="3218"/>
      <c r="O777" s="3218"/>
      <c r="P777" s="3218"/>
      <c r="Q777" s="3218"/>
      <c r="R777" s="3218"/>
      <c r="S777" s="3218"/>
      <c r="T777" s="3218"/>
      <c r="U777" s="3218"/>
      <c r="V777" s="3218"/>
      <c r="W777" s="3218"/>
      <c r="X777" s="3218"/>
      <c r="Y777" s="3218"/>
      <c r="Z777" s="3218"/>
      <c r="AA777" s="3218"/>
      <c r="AB777" s="3218"/>
      <c r="AC777" s="3218"/>
      <c r="AD777" s="3218"/>
      <c r="AE777" s="3218"/>
      <c r="AF777" s="3218"/>
      <c r="AG777" s="3218"/>
      <c r="AH777" s="3218"/>
      <c r="AI777" s="3218"/>
      <c r="AJ777" s="3218"/>
      <c r="AK777" s="3218"/>
      <c r="AL777" s="3218"/>
      <c r="AM777" s="3218"/>
    </row>
    <row r="778" spans="1:44">
      <c r="A778" s="3219"/>
      <c r="B778" s="3219"/>
      <c r="C778" s="3219"/>
      <c r="D778" s="3219"/>
      <c r="E778" s="3219"/>
      <c r="F778" s="3219"/>
      <c r="G778" s="3219"/>
      <c r="H778" s="3219"/>
      <c r="I778" s="3219"/>
      <c r="J778" s="3219"/>
      <c r="K778" s="3219"/>
      <c r="L778" s="3219"/>
      <c r="M778" s="3219"/>
      <c r="N778" s="3219"/>
      <c r="O778" s="3219"/>
      <c r="P778" s="3219"/>
      <c r="Q778" s="3219"/>
      <c r="R778" s="3219"/>
      <c r="S778" s="3219"/>
      <c r="T778" s="3219"/>
      <c r="U778" s="3219"/>
      <c r="V778" s="3219"/>
      <c r="W778" s="3219"/>
      <c r="X778" s="3219"/>
      <c r="Y778" s="3219"/>
      <c r="Z778" s="3219"/>
      <c r="AA778" s="3219"/>
      <c r="AB778" s="3219"/>
      <c r="AC778" s="3219"/>
      <c r="AD778" s="3219"/>
      <c r="AE778" s="3219"/>
      <c r="AF778" s="3219"/>
      <c r="AG778" s="3219"/>
      <c r="AH778" s="3219"/>
      <c r="AI778" s="3219"/>
      <c r="AJ778" s="3219"/>
      <c r="AK778" s="3219"/>
      <c r="AL778" s="3219"/>
      <c r="AM778" s="3219"/>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64"/>
      <c r="B780" s="3164"/>
      <c r="C780" s="3164"/>
      <c r="D780" s="3164"/>
      <c r="E780" s="3164"/>
      <c r="F780" s="3164"/>
      <c r="G780" s="3164"/>
      <c r="H780" s="3164"/>
      <c r="I780" s="3164"/>
      <c r="J780" s="3164"/>
      <c r="K780" s="3164"/>
      <c r="L780" s="3164"/>
      <c r="M780" s="3164"/>
      <c r="N780" s="3164"/>
      <c r="O780" s="3164"/>
      <c r="P780" s="3164"/>
      <c r="Q780" s="3164"/>
      <c r="R780" s="3164"/>
      <c r="S780" s="3164"/>
      <c r="T780" s="3164"/>
      <c r="U780" s="3164"/>
      <c r="V780" s="3164"/>
      <c r="W780" s="3164"/>
      <c r="X780" s="3164"/>
      <c r="Y780" s="3164"/>
      <c r="Z780" s="3164"/>
      <c r="AA780" s="3164"/>
      <c r="AB780" s="3164"/>
      <c r="AC780" s="3164"/>
      <c r="AD780" s="3164"/>
      <c r="AE780" s="3164"/>
      <c r="AF780" s="3164"/>
      <c r="AG780" s="3164"/>
      <c r="AH780" s="3164"/>
      <c r="AI780" s="3164"/>
      <c r="AJ780" s="3164"/>
      <c r="AK780" s="3164"/>
      <c r="AL780" s="3164"/>
      <c r="AM780" s="3164"/>
      <c r="AO780" s="1229"/>
      <c r="AP780" s="1322"/>
      <c r="AQ780" s="1321"/>
    </row>
    <row r="781" spans="1:44">
      <c r="A781" s="3164"/>
      <c r="B781" s="3164"/>
      <c r="C781" s="3164"/>
      <c r="D781" s="3164"/>
      <c r="E781" s="3164"/>
      <c r="F781" s="3164"/>
      <c r="G781" s="3164"/>
      <c r="H781" s="3164"/>
      <c r="I781" s="3164"/>
      <c r="J781" s="3164"/>
      <c r="K781" s="3164"/>
      <c r="L781" s="3164"/>
      <c r="M781" s="3164"/>
      <c r="N781" s="3164"/>
      <c r="O781" s="3164"/>
      <c r="P781" s="3164"/>
      <c r="Q781" s="3164"/>
      <c r="R781" s="3164"/>
      <c r="S781" s="3164"/>
      <c r="T781" s="3164"/>
      <c r="U781" s="3164"/>
      <c r="V781" s="3164"/>
      <c r="W781" s="3164"/>
      <c r="X781" s="3164"/>
      <c r="Y781" s="3164"/>
      <c r="Z781" s="3164"/>
      <c r="AA781" s="3164"/>
      <c r="AB781" s="3164"/>
      <c r="AC781" s="3164"/>
      <c r="AD781" s="3164"/>
      <c r="AE781" s="3164"/>
      <c r="AF781" s="3164"/>
      <c r="AG781" s="3164"/>
      <c r="AH781" s="3164"/>
      <c r="AI781" s="3164"/>
      <c r="AJ781" s="3164"/>
      <c r="AK781" s="3164"/>
      <c r="AL781" s="3164"/>
      <c r="AM781" s="316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20" t="s">
        <v>1876</v>
      </c>
      <c r="U782" s="3221"/>
      <c r="V782" s="3221"/>
      <c r="W782" s="3221"/>
      <c r="X782" s="3221"/>
      <c r="Y782" s="3222"/>
      <c r="Z782" s="3220" t="s">
        <v>1877</v>
      </c>
      <c r="AA782" s="3221"/>
      <c r="AB782" s="3221"/>
      <c r="AC782" s="3221"/>
      <c r="AD782" s="3221"/>
      <c r="AE782" s="3222"/>
      <c r="AF782" s="3220" t="s">
        <v>1878</v>
      </c>
      <c r="AG782" s="3221"/>
      <c r="AH782" s="3221"/>
      <c r="AI782" s="3221"/>
      <c r="AJ782" s="3221"/>
      <c r="AK782" s="3222"/>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23"/>
      <c r="U783" s="3224"/>
      <c r="V783" s="3224"/>
      <c r="W783" s="3224"/>
      <c r="X783" s="3224"/>
      <c r="Y783" s="3225"/>
      <c r="Z783" s="3223"/>
      <c r="AA783" s="3224"/>
      <c r="AB783" s="3224"/>
      <c r="AC783" s="3224"/>
      <c r="AD783" s="3224"/>
      <c r="AE783" s="3225"/>
      <c r="AF783" s="3223"/>
      <c r="AG783" s="3224"/>
      <c r="AH783" s="3224"/>
      <c r="AI783" s="3224"/>
      <c r="AJ783" s="3224"/>
      <c r="AK783" s="3225"/>
      <c r="AL783" s="1324"/>
      <c r="AM783" s="1218"/>
      <c r="AO783" s="1322"/>
      <c r="AP783" s="1321"/>
      <c r="AQ783" s="1321"/>
    </row>
    <row r="784" spans="1:44">
      <c r="A784" s="1325" t="s">
        <v>802</v>
      </c>
      <c r="B784" s="3199" t="s">
        <v>1575</v>
      </c>
      <c r="C784" s="3199"/>
      <c r="D784" s="3199"/>
      <c r="E784" s="3199"/>
      <c r="F784" s="3199"/>
      <c r="G784" s="3199"/>
      <c r="H784" s="3199"/>
      <c r="I784" s="3199"/>
      <c r="J784" s="3199"/>
      <c r="K784" s="3199"/>
      <c r="L784" s="3199"/>
      <c r="M784" s="3199"/>
      <c r="N784" s="3199"/>
      <c r="O784" s="3199"/>
      <c r="P784" s="3199"/>
      <c r="Q784" s="3199"/>
      <c r="R784" s="3199"/>
      <c r="S784" s="3200"/>
      <c r="T784" s="3201">
        <f>AK51</f>
        <v>0</v>
      </c>
      <c r="U784" s="3202"/>
      <c r="V784" s="3202"/>
      <c r="W784" s="3202"/>
      <c r="X784" s="3202"/>
      <c r="Y784" s="3203"/>
      <c r="Z784" s="3204">
        <v>20</v>
      </c>
      <c r="AA784" s="3202"/>
      <c r="AB784" s="3202"/>
      <c r="AC784" s="3202"/>
      <c r="AD784" s="3202"/>
      <c r="AE784" s="3203"/>
      <c r="AF784" s="3205">
        <f>IF(T784&gt;Z784,Z784,T784)</f>
        <v>0</v>
      </c>
      <c r="AG784" s="3205"/>
      <c r="AH784" s="3205"/>
      <c r="AI784" s="3205"/>
      <c r="AJ784" s="3205"/>
      <c r="AK784" s="3205"/>
      <c r="AL784" s="1324"/>
      <c r="AM784" s="1218"/>
      <c r="AO784" s="1321"/>
      <c r="AP784" s="1321"/>
      <c r="AQ784" s="1321"/>
    </row>
    <row r="785" spans="1:81">
      <c r="A785" s="1325" t="s">
        <v>1844</v>
      </c>
      <c r="B785" s="3199" t="s">
        <v>1597</v>
      </c>
      <c r="C785" s="3199"/>
      <c r="D785" s="3199"/>
      <c r="E785" s="3199"/>
      <c r="F785" s="3199"/>
      <c r="G785" s="3199"/>
      <c r="H785" s="3199"/>
      <c r="I785" s="3199"/>
      <c r="J785" s="3199"/>
      <c r="K785" s="3199"/>
      <c r="L785" s="3199"/>
      <c r="M785" s="3199"/>
      <c r="N785" s="3199"/>
      <c r="O785" s="3199"/>
      <c r="P785" s="3199"/>
      <c r="Q785" s="3199"/>
      <c r="R785" s="3199"/>
      <c r="S785" s="3200"/>
      <c r="T785" s="3201">
        <f>AK72</f>
        <v>10</v>
      </c>
      <c r="U785" s="3202"/>
      <c r="V785" s="3202"/>
      <c r="W785" s="3202"/>
      <c r="X785" s="3202"/>
      <c r="Y785" s="3203"/>
      <c r="Z785" s="3204">
        <v>10</v>
      </c>
      <c r="AA785" s="3202"/>
      <c r="AB785" s="3202"/>
      <c r="AC785" s="3202"/>
      <c r="AD785" s="3202"/>
      <c r="AE785" s="3203"/>
      <c r="AF785" s="3205">
        <f>IF(T785&gt;Z785,Z785,T785)</f>
        <v>10</v>
      </c>
      <c r="AG785" s="3205"/>
      <c r="AH785" s="3205"/>
      <c r="AI785" s="3205"/>
      <c r="AJ785" s="3205"/>
      <c r="AK785" s="3205"/>
      <c r="AL785" s="1324"/>
      <c r="AM785" s="1218"/>
      <c r="AO785" s="1321"/>
      <c r="AP785" s="1321"/>
      <c r="AQ785" s="1321"/>
    </row>
    <row r="786" spans="1:81">
      <c r="A786" s="1325" t="s">
        <v>1853</v>
      </c>
      <c r="B786" s="3199" t="s">
        <v>1607</v>
      </c>
      <c r="C786" s="3199"/>
      <c r="D786" s="3199"/>
      <c r="E786" s="3199"/>
      <c r="F786" s="3199"/>
      <c r="G786" s="3199"/>
      <c r="H786" s="3199"/>
      <c r="I786" s="3199"/>
      <c r="J786" s="3199"/>
      <c r="K786" s="3199"/>
      <c r="L786" s="3199"/>
      <c r="M786" s="3199"/>
      <c r="N786" s="3199"/>
      <c r="O786" s="3199"/>
      <c r="P786" s="3199"/>
      <c r="Q786" s="3199"/>
      <c r="R786" s="3199"/>
      <c r="S786" s="3200"/>
      <c r="T786" s="3201">
        <f ca="1">AK97</f>
        <v>20</v>
      </c>
      <c r="U786" s="3202"/>
      <c r="V786" s="3202"/>
      <c r="W786" s="3202"/>
      <c r="X786" s="3202"/>
      <c r="Y786" s="3203"/>
      <c r="Z786" s="3204">
        <v>20</v>
      </c>
      <c r="AA786" s="3202"/>
      <c r="AB786" s="3202"/>
      <c r="AC786" s="3202"/>
      <c r="AD786" s="3202"/>
      <c r="AE786" s="3203"/>
      <c r="AF786" s="3205">
        <f ca="1">IF(T786&gt;Z786,Z786,T786)</f>
        <v>20</v>
      </c>
      <c r="AG786" s="3205"/>
      <c r="AH786" s="3205"/>
      <c r="AI786" s="3205"/>
      <c r="AJ786" s="3205"/>
      <c r="AK786" s="3205"/>
      <c r="AL786" s="1324"/>
      <c r="AM786" s="1218"/>
      <c r="AO786" s="1321"/>
      <c r="AP786" s="1321"/>
      <c r="AQ786" s="1321"/>
    </row>
    <row r="787" spans="1:81">
      <c r="A787" s="1325" t="s">
        <v>1879</v>
      </c>
      <c r="B787" s="3199" t="s">
        <v>1617</v>
      </c>
      <c r="C787" s="3199"/>
      <c r="D787" s="3199"/>
      <c r="E787" s="3199"/>
      <c r="F787" s="3199"/>
      <c r="G787" s="3199"/>
      <c r="H787" s="3199"/>
      <c r="I787" s="3199"/>
      <c r="J787" s="3199"/>
      <c r="K787" s="3199"/>
      <c r="L787" s="3199"/>
      <c r="M787" s="3199"/>
      <c r="N787" s="3199"/>
      <c r="O787" s="3199"/>
      <c r="P787" s="3199"/>
      <c r="Q787" s="3199"/>
      <c r="R787" s="3199"/>
      <c r="S787" s="3200"/>
      <c r="T787" s="3201">
        <f>AK131</f>
        <v>10</v>
      </c>
      <c r="U787" s="3202"/>
      <c r="V787" s="3202"/>
      <c r="W787" s="3202"/>
      <c r="X787" s="3202"/>
      <c r="Y787" s="3203"/>
      <c r="Z787" s="3204">
        <v>10</v>
      </c>
      <c r="AA787" s="3202"/>
      <c r="AB787" s="3202"/>
      <c r="AC787" s="3202"/>
      <c r="AD787" s="3202"/>
      <c r="AE787" s="3203"/>
      <c r="AF787" s="3205">
        <f>IF(T787&gt;Z787,Z787,T787)</f>
        <v>10</v>
      </c>
      <c r="AG787" s="3205"/>
      <c r="AH787" s="3205"/>
      <c r="AI787" s="3205"/>
      <c r="AJ787" s="3205"/>
      <c r="AK787" s="3205"/>
      <c r="AL787" s="1324"/>
      <c r="AM787" s="1218"/>
      <c r="AO787" s="1321"/>
      <c r="AP787" s="1321"/>
      <c r="AQ787" s="1321"/>
    </row>
    <row r="788" spans="1:81">
      <c r="A788" s="1327" t="s">
        <v>1880</v>
      </c>
      <c r="B788" s="3199" t="s">
        <v>1881</v>
      </c>
      <c r="C788" s="3199"/>
      <c r="D788" s="3199"/>
      <c r="E788" s="3199"/>
      <c r="F788" s="3199"/>
      <c r="G788" s="3199"/>
      <c r="H788" s="3199"/>
      <c r="I788" s="3199"/>
      <c r="J788" s="3199"/>
      <c r="K788" s="3199"/>
      <c r="L788" s="3199"/>
      <c r="M788" s="3199"/>
      <c r="N788" s="3199"/>
      <c r="O788" s="3199"/>
      <c r="P788" s="3199"/>
      <c r="Q788" s="3199"/>
      <c r="R788" s="3199"/>
      <c r="S788" s="3200"/>
      <c r="T788" s="3226">
        <f>SUM(T789:Y790)</f>
        <v>10</v>
      </c>
      <c r="U788" s="3226"/>
      <c r="V788" s="3226"/>
      <c r="W788" s="3226"/>
      <c r="X788" s="3226"/>
      <c r="Y788" s="3226"/>
      <c r="Z788" s="3205">
        <v>10</v>
      </c>
      <c r="AA788" s="3205"/>
      <c r="AB788" s="3205"/>
      <c r="AC788" s="3205"/>
      <c r="AD788" s="3205"/>
      <c r="AE788" s="3205"/>
      <c r="AF788" s="3205">
        <f>IF(T788&gt;Z788,Z788,T788)</f>
        <v>10</v>
      </c>
      <c r="AG788" s="3205"/>
      <c r="AH788" s="3205"/>
      <c r="AI788" s="3205"/>
      <c r="AJ788" s="3205"/>
      <c r="AK788" s="3205"/>
      <c r="AL788" s="1324"/>
      <c r="AM788" s="1218"/>
    </row>
    <row r="789" spans="1:81">
      <c r="A789" s="928"/>
      <c r="B789" s="1011"/>
      <c r="C789" s="3227" t="s">
        <v>1882</v>
      </c>
      <c r="D789" s="3227"/>
      <c r="E789" s="3227"/>
      <c r="F789" s="3227"/>
      <c r="G789" s="3227"/>
      <c r="H789" s="3227"/>
      <c r="I789" s="3227"/>
      <c r="J789" s="3227"/>
      <c r="K789" s="3227"/>
      <c r="L789" s="3227"/>
      <c r="M789" s="3227"/>
      <c r="N789" s="3227"/>
      <c r="O789" s="3227"/>
      <c r="P789" s="3227"/>
      <c r="Q789" s="3227"/>
      <c r="R789" s="3227"/>
      <c r="S789" s="3228"/>
      <c r="T789" s="3086">
        <f>AJ149</f>
        <v>7</v>
      </c>
      <c r="U789" s="3086"/>
      <c r="V789" s="3086"/>
      <c r="W789" s="3086"/>
      <c r="X789" s="3086"/>
      <c r="Y789" s="3086"/>
      <c r="Z789" s="3229">
        <v>7</v>
      </c>
      <c r="AA789" s="3229"/>
      <c r="AB789" s="3229"/>
      <c r="AC789" s="3229"/>
      <c r="AD789" s="3229"/>
      <c r="AE789" s="3229"/>
      <c r="AF789" s="3230"/>
      <c r="AG789" s="3230"/>
      <c r="AH789" s="3230"/>
      <c r="AI789" s="3230"/>
      <c r="AJ789" s="3230"/>
      <c r="AK789" s="3230"/>
      <c r="AL789" s="1324"/>
      <c r="AM789" s="1218"/>
    </row>
    <row r="790" spans="1:81">
      <c r="A790" s="1328"/>
      <c r="B790" s="1011"/>
      <c r="C790" s="3227" t="s">
        <v>1883</v>
      </c>
      <c r="D790" s="3227"/>
      <c r="E790" s="3227"/>
      <c r="F790" s="3227"/>
      <c r="G790" s="3227"/>
      <c r="H790" s="3227"/>
      <c r="I790" s="3227"/>
      <c r="J790" s="3227"/>
      <c r="K790" s="3227"/>
      <c r="L790" s="3227"/>
      <c r="M790" s="3227"/>
      <c r="N790" s="3227"/>
      <c r="O790" s="3227"/>
      <c r="P790" s="3227"/>
      <c r="Q790" s="3227"/>
      <c r="R790" s="3227"/>
      <c r="S790" s="3228"/>
      <c r="T790" s="3086">
        <f>AJ163</f>
        <v>3</v>
      </c>
      <c r="U790" s="3086"/>
      <c r="V790" s="3086"/>
      <c r="W790" s="3086"/>
      <c r="X790" s="3086"/>
      <c r="Y790" s="3086"/>
      <c r="Z790" s="3229">
        <v>3</v>
      </c>
      <c r="AA790" s="3229"/>
      <c r="AB790" s="3229"/>
      <c r="AC790" s="3229"/>
      <c r="AD790" s="3229"/>
      <c r="AE790" s="3229"/>
      <c r="AF790" s="3230"/>
      <c r="AG790" s="3230"/>
      <c r="AH790" s="3230"/>
      <c r="AI790" s="3230"/>
      <c r="AJ790" s="3230"/>
      <c r="AK790" s="3230"/>
      <c r="AL790" s="1324"/>
      <c r="AM790" s="1218"/>
      <c r="AO790" s="945"/>
    </row>
    <row r="791" spans="1:81">
      <c r="A791" s="1327" t="s">
        <v>1645</v>
      </c>
      <c r="B791" s="3199" t="s">
        <v>1884</v>
      </c>
      <c r="C791" s="3199"/>
      <c r="D791" s="3199"/>
      <c r="E791" s="3199"/>
      <c r="F791" s="3199"/>
      <c r="G791" s="3199"/>
      <c r="H791" s="3199"/>
      <c r="I791" s="3199"/>
      <c r="J791" s="3199"/>
      <c r="K791" s="3199"/>
      <c r="L791" s="3199"/>
      <c r="M791" s="3199"/>
      <c r="N791" s="3199"/>
      <c r="O791" s="3199"/>
      <c r="P791" s="3199"/>
      <c r="Q791" s="3199"/>
      <c r="R791" s="3199"/>
      <c r="S791" s="3200"/>
      <c r="T791" s="3226">
        <f>AK174</f>
        <v>10</v>
      </c>
      <c r="U791" s="3226"/>
      <c r="V791" s="3226"/>
      <c r="W791" s="3226"/>
      <c r="X791" s="3226"/>
      <c r="Y791" s="3226"/>
      <c r="Z791" s="3205">
        <v>10</v>
      </c>
      <c r="AA791" s="3205"/>
      <c r="AB791" s="3205"/>
      <c r="AC791" s="3205"/>
      <c r="AD791" s="3205"/>
      <c r="AE791" s="3205"/>
      <c r="AF791" s="3205">
        <f>IF(T791&gt;Z791,Z791,T791)</f>
        <v>10</v>
      </c>
      <c r="AG791" s="3205"/>
      <c r="AH791" s="3205"/>
      <c r="AI791" s="3205"/>
      <c r="AJ791" s="3205"/>
      <c r="AK791" s="3205"/>
      <c r="AL791" s="1324"/>
      <c r="AM791" s="1218"/>
    </row>
    <row r="792" spans="1:81">
      <c r="A792" s="1325" t="s">
        <v>1654</v>
      </c>
      <c r="B792" s="3199" t="s">
        <v>1655</v>
      </c>
      <c r="C792" s="3199"/>
      <c r="D792" s="3199"/>
      <c r="E792" s="3199"/>
      <c r="F792" s="3199"/>
      <c r="G792" s="3199"/>
      <c r="H792" s="3199"/>
      <c r="I792" s="3199"/>
      <c r="J792" s="3199"/>
      <c r="K792" s="3199"/>
      <c r="L792" s="3199"/>
      <c r="M792" s="3199"/>
      <c r="N792" s="3199"/>
      <c r="O792" s="3199"/>
      <c r="P792" s="3199"/>
      <c r="Q792" s="3199"/>
      <c r="R792" s="3199"/>
      <c r="S792" s="3200"/>
      <c r="T792" s="3226">
        <f>AK256</f>
        <v>8</v>
      </c>
      <c r="U792" s="3226"/>
      <c r="V792" s="3226"/>
      <c r="W792" s="3226"/>
      <c r="X792" s="3226"/>
      <c r="Y792" s="3226"/>
      <c r="Z792" s="3204">
        <v>8</v>
      </c>
      <c r="AA792" s="3202"/>
      <c r="AB792" s="3202"/>
      <c r="AC792" s="3202"/>
      <c r="AD792" s="3202"/>
      <c r="AE792" s="3203"/>
      <c r="AF792" s="3205">
        <f>IF(T792&gt;Z792,Z792,T792)</f>
        <v>8</v>
      </c>
      <c r="AG792" s="3205"/>
      <c r="AH792" s="3205"/>
      <c r="AI792" s="3205"/>
      <c r="AJ792" s="3205"/>
      <c r="AK792" s="3205"/>
      <c r="AL792" s="1324"/>
      <c r="AM792" s="1218"/>
    </row>
    <row r="793" spans="1:81" s="927" customFormat="1" hidden="1">
      <c r="A793" s="1327" t="s">
        <v>626</v>
      </c>
      <c r="B793" s="3199" t="s">
        <v>1885</v>
      </c>
      <c r="C793" s="3199"/>
      <c r="D793" s="3199"/>
      <c r="E793" s="3199"/>
      <c r="F793" s="3199"/>
      <c r="G793" s="3199"/>
      <c r="H793" s="3199"/>
      <c r="I793" s="3199"/>
      <c r="J793" s="3199"/>
      <c r="K793" s="3199"/>
      <c r="L793" s="3199"/>
      <c r="M793" s="3199"/>
      <c r="N793" s="3199"/>
      <c r="O793" s="3199"/>
      <c r="P793" s="3199"/>
      <c r="Q793" s="3199"/>
      <c r="R793" s="3199"/>
      <c r="S793" s="3200"/>
      <c r="T793" s="3226">
        <f>IF(AK750&gt;5,5,AK750)</f>
        <v>0</v>
      </c>
      <c r="U793" s="3226"/>
      <c r="V793" s="3226"/>
      <c r="W793" s="3226"/>
      <c r="X793" s="3226"/>
      <c r="Y793" s="3226"/>
      <c r="Z793" s="3205">
        <v>5</v>
      </c>
      <c r="AA793" s="3205"/>
      <c r="AB793" s="3205"/>
      <c r="AC793" s="3205"/>
      <c r="AD793" s="3205"/>
      <c r="AE793" s="3205"/>
      <c r="AF793" s="3205">
        <f>IF(T793&gt;Z793,5,T793)</f>
        <v>0</v>
      </c>
      <c r="AG793" s="3205"/>
      <c r="AH793" s="3205"/>
      <c r="AI793" s="3205"/>
      <c r="AJ793" s="3205"/>
      <c r="AK793" s="320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99" t="s">
        <v>1886</v>
      </c>
      <c r="C794" s="3199"/>
      <c r="D794" s="3199"/>
      <c r="E794" s="3199"/>
      <c r="F794" s="3199"/>
      <c r="G794" s="3199"/>
      <c r="H794" s="3199"/>
      <c r="I794" s="3199"/>
      <c r="J794" s="3199"/>
      <c r="K794" s="3199"/>
      <c r="L794" s="3199"/>
      <c r="M794" s="3199"/>
      <c r="N794" s="3199"/>
      <c r="O794" s="3199"/>
      <c r="P794" s="3199"/>
      <c r="Q794" s="3199"/>
      <c r="R794" s="3199"/>
      <c r="S794" s="3200"/>
      <c r="T794" s="3226">
        <f>AK267</f>
        <v>10</v>
      </c>
      <c r="U794" s="3226"/>
      <c r="V794" s="3226"/>
      <c r="W794" s="3226"/>
      <c r="X794" s="3226"/>
      <c r="Y794" s="3226"/>
      <c r="Z794" s="3205">
        <v>10</v>
      </c>
      <c r="AA794" s="3205"/>
      <c r="AB794" s="3205"/>
      <c r="AC794" s="3205"/>
      <c r="AD794" s="3205"/>
      <c r="AE794" s="3205"/>
      <c r="AF794" s="3233">
        <f>IF(T794&gt;Z794,Z794,T794)</f>
        <v>10</v>
      </c>
      <c r="AG794" s="3234"/>
      <c r="AH794" s="3234"/>
      <c r="AI794" s="3234"/>
      <c r="AJ794" s="3234"/>
      <c r="AK794" s="323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99" t="s">
        <v>1665</v>
      </c>
      <c r="C795" s="3199"/>
      <c r="D795" s="3199"/>
      <c r="E795" s="3199"/>
      <c r="F795" s="3199"/>
      <c r="G795" s="3199"/>
      <c r="H795" s="3199"/>
      <c r="I795" s="3199"/>
      <c r="J795" s="3199"/>
      <c r="K795" s="3199"/>
      <c r="L795" s="3199"/>
      <c r="M795" s="3199"/>
      <c r="N795" s="3199"/>
      <c r="O795" s="3199"/>
      <c r="P795" s="3199"/>
      <c r="Q795" s="3199"/>
      <c r="R795" s="3199"/>
      <c r="S795" s="3200"/>
      <c r="T795" s="3226">
        <f>AK553</f>
        <v>19</v>
      </c>
      <c r="U795" s="3226"/>
      <c r="V795" s="3226"/>
      <c r="W795" s="3226"/>
      <c r="X795" s="3226"/>
      <c r="Y795" s="3226"/>
      <c r="Z795" s="3233">
        <v>20</v>
      </c>
      <c r="AA795" s="3234"/>
      <c r="AB795" s="3234"/>
      <c r="AC795" s="3234"/>
      <c r="AD795" s="3234"/>
      <c r="AE795" s="3235"/>
      <c r="AF795" s="3233">
        <f>IF(T795&gt;Z795,Z795,T795)</f>
        <v>19</v>
      </c>
      <c r="AG795" s="3248"/>
      <c r="AH795" s="3248"/>
      <c r="AI795" s="3248"/>
      <c r="AJ795" s="3248"/>
      <c r="AK795" s="324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86">
        <f>AK320</f>
        <v>9</v>
      </c>
      <c r="U796" s="3086"/>
      <c r="V796" s="3086"/>
      <c r="W796" s="3086"/>
      <c r="X796" s="3086"/>
      <c r="Y796" s="3086"/>
      <c r="Z796" s="3098">
        <v>20</v>
      </c>
      <c r="AA796" s="3099"/>
      <c r="AB796" s="3099"/>
      <c r="AC796" s="3099"/>
      <c r="AD796" s="3099"/>
      <c r="AE796" s="3100"/>
      <c r="AF796" s="3230"/>
      <c r="AG796" s="3230"/>
      <c r="AH796" s="3230"/>
      <c r="AI796" s="3230"/>
      <c r="AJ796" s="3230"/>
      <c r="AK796" s="323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86">
        <f>AK551</f>
        <v>10</v>
      </c>
      <c r="U797" s="3086"/>
      <c r="V797" s="3086"/>
      <c r="W797" s="3086"/>
      <c r="X797" s="3086"/>
      <c r="Y797" s="3086"/>
      <c r="Z797" s="3098">
        <v>10</v>
      </c>
      <c r="AA797" s="3099"/>
      <c r="AB797" s="3099"/>
      <c r="AC797" s="3099"/>
      <c r="AD797" s="3099"/>
      <c r="AE797" s="3100"/>
      <c r="AF797" s="3230"/>
      <c r="AG797" s="3230"/>
      <c r="AH797" s="3230"/>
      <c r="AI797" s="3230"/>
      <c r="AJ797" s="3230"/>
      <c r="AK797" s="323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99" t="s">
        <v>912</v>
      </c>
      <c r="C798" s="3199"/>
      <c r="D798" s="3199"/>
      <c r="E798" s="3199"/>
      <c r="F798" s="3199"/>
      <c r="G798" s="3199"/>
      <c r="H798" s="3199"/>
      <c r="I798" s="3199"/>
      <c r="J798" s="3199"/>
      <c r="K798" s="3199"/>
      <c r="L798" s="3199"/>
      <c r="M798" s="3199"/>
      <c r="N798" s="3199"/>
      <c r="O798" s="3199"/>
      <c r="P798" s="3199"/>
      <c r="Q798" s="3199"/>
      <c r="R798" s="3199"/>
      <c r="S798" s="3200"/>
      <c r="T798" s="3226">
        <f>AK684</f>
        <v>10</v>
      </c>
      <c r="U798" s="3226"/>
      <c r="V798" s="3226"/>
      <c r="W798" s="3226"/>
      <c r="X798" s="3226"/>
      <c r="Y798" s="3226"/>
      <c r="Z798" s="3233">
        <v>10</v>
      </c>
      <c r="AA798" s="3234"/>
      <c r="AB798" s="3234"/>
      <c r="AC798" s="3234"/>
      <c r="AD798" s="3234"/>
      <c r="AE798" s="3235"/>
      <c r="AF798" s="3205">
        <f>IF(T798&gt;Z798,Z798,T798)</f>
        <v>10</v>
      </c>
      <c r="AG798" s="3205"/>
      <c r="AH798" s="3205"/>
      <c r="AI798" s="3205"/>
      <c r="AJ798" s="3205"/>
      <c r="AK798" s="320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99" t="s">
        <v>1864</v>
      </c>
      <c r="C799" s="3199"/>
      <c r="D799" s="3199"/>
      <c r="E799" s="3199"/>
      <c r="F799" s="3199"/>
      <c r="G799" s="3199"/>
      <c r="H799" s="3199"/>
      <c r="I799" s="3199"/>
      <c r="J799" s="3199"/>
      <c r="K799" s="3199"/>
      <c r="L799" s="3199"/>
      <c r="M799" s="3199"/>
      <c r="N799" s="3199"/>
      <c r="O799" s="3199"/>
      <c r="P799" s="3199"/>
      <c r="Q799" s="3199"/>
      <c r="R799" s="3199"/>
      <c r="S799" s="3200"/>
      <c r="T799" s="3226">
        <f>AK774</f>
        <v>12</v>
      </c>
      <c r="U799" s="3226"/>
      <c r="V799" s="3226"/>
      <c r="W799" s="3226"/>
      <c r="X799" s="3226"/>
      <c r="Y799" s="3226"/>
      <c r="Z799" s="3233">
        <v>12</v>
      </c>
      <c r="AA799" s="3234"/>
      <c r="AB799" s="3234"/>
      <c r="AC799" s="3234"/>
      <c r="AD799" s="3234"/>
      <c r="AE799" s="3235"/>
      <c r="AF799" s="3205">
        <f>IF(T799&gt;Z799,Z799,T799)</f>
        <v>12</v>
      </c>
      <c r="AG799" s="3205"/>
      <c r="AH799" s="3205"/>
      <c r="AI799" s="3205"/>
      <c r="AJ799" s="3205"/>
      <c r="AK799" s="320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31" t="s">
        <v>1889</v>
      </c>
      <c r="B800" s="3199"/>
      <c r="C800" s="3199"/>
      <c r="D800" s="3199"/>
      <c r="E800" s="3199"/>
      <c r="F800" s="3199"/>
      <c r="G800" s="3199"/>
      <c r="H800" s="3199"/>
      <c r="I800" s="3199"/>
      <c r="J800" s="3199"/>
      <c r="K800" s="3199"/>
      <c r="L800" s="3199"/>
      <c r="M800" s="3199"/>
      <c r="N800" s="3199"/>
      <c r="O800" s="3199"/>
      <c r="P800" s="3199"/>
      <c r="Q800" s="3199"/>
      <c r="R800" s="3199"/>
      <c r="S800" s="3200"/>
      <c r="T800" s="3232"/>
      <c r="U800" s="3232"/>
      <c r="V800" s="3232"/>
      <c r="W800" s="3232"/>
      <c r="X800" s="3232"/>
      <c r="Y800" s="3232"/>
      <c r="Z800" s="3229" t="s">
        <v>1890</v>
      </c>
      <c r="AA800" s="3229"/>
      <c r="AB800" s="3229"/>
      <c r="AC800" s="3229"/>
      <c r="AD800" s="3229"/>
      <c r="AE800" s="3229"/>
      <c r="AF800" s="3233">
        <f>IF(T800&gt;0,T800,0)</f>
        <v>0</v>
      </c>
      <c r="AG800" s="3234"/>
      <c r="AH800" s="3234"/>
      <c r="AI800" s="3234"/>
      <c r="AJ800" s="3234"/>
      <c r="AK800" s="323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36" t="s">
        <v>1891</v>
      </c>
      <c r="B801" s="3237"/>
      <c r="C801" s="3237"/>
      <c r="D801" s="3237"/>
      <c r="E801" s="3237"/>
      <c r="F801" s="3237"/>
      <c r="G801" s="3237"/>
      <c r="H801" s="3237"/>
      <c r="I801" s="3237"/>
      <c r="J801" s="3237"/>
      <c r="K801" s="3237"/>
      <c r="L801" s="3237"/>
      <c r="M801" s="3237"/>
      <c r="N801" s="3237"/>
      <c r="O801" s="3237"/>
      <c r="P801" s="3237"/>
      <c r="Q801" s="3237"/>
      <c r="R801" s="3237"/>
      <c r="S801" s="3237"/>
      <c r="T801" s="3237"/>
      <c r="U801" s="3237"/>
      <c r="V801" s="3237"/>
      <c r="W801" s="3237"/>
      <c r="X801" s="3237"/>
      <c r="Y801" s="3237"/>
      <c r="Z801" s="3237"/>
      <c r="AA801" s="3237"/>
      <c r="AB801" s="3237"/>
      <c r="AC801" s="3237"/>
      <c r="AD801" s="3237"/>
      <c r="AE801" s="3238"/>
      <c r="AF801" s="3242">
        <f ca="1">SUM(AF784:AK799)-AF800</f>
        <v>119</v>
      </c>
      <c r="AG801" s="3243"/>
      <c r="AH801" s="3243"/>
      <c r="AI801" s="3243"/>
      <c r="AJ801" s="3243"/>
      <c r="AK801" s="324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39"/>
      <c r="B802" s="3240"/>
      <c r="C802" s="3240"/>
      <c r="D802" s="3240"/>
      <c r="E802" s="3240"/>
      <c r="F802" s="3240"/>
      <c r="G802" s="3240"/>
      <c r="H802" s="3240"/>
      <c r="I802" s="3240"/>
      <c r="J802" s="3240"/>
      <c r="K802" s="3240"/>
      <c r="L802" s="3240"/>
      <c r="M802" s="3240"/>
      <c r="N802" s="3240"/>
      <c r="O802" s="3240"/>
      <c r="P802" s="3240"/>
      <c r="Q802" s="3240"/>
      <c r="R802" s="3240"/>
      <c r="S802" s="3240"/>
      <c r="T802" s="3240"/>
      <c r="U802" s="3240"/>
      <c r="V802" s="3240"/>
      <c r="W802" s="3240"/>
      <c r="X802" s="3240"/>
      <c r="Y802" s="3240"/>
      <c r="Z802" s="3240"/>
      <c r="AA802" s="3240"/>
      <c r="AB802" s="3240"/>
      <c r="AC802" s="3240"/>
      <c r="AD802" s="3240"/>
      <c r="AE802" s="3241"/>
      <c r="AF802" s="3245"/>
      <c r="AG802" s="3246"/>
      <c r="AH802" s="3246"/>
      <c r="AI802" s="3246"/>
      <c r="AJ802" s="3246"/>
      <c r="AK802" s="324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lorra</cp:lastModifiedBy>
  <cp:lastPrinted>2021-01-05T23:44:59Z</cp:lastPrinted>
  <dcterms:created xsi:type="dcterms:W3CDTF">2007-12-27T18:26:28Z</dcterms:created>
  <dcterms:modified xsi:type="dcterms:W3CDTF">2021-02-01T22:48:06Z</dcterms:modified>
</cp:coreProperties>
</file>