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College Creek - Santa Rosa/Working Docs/Applications/TCAC-CDLAC Joint App/"/>
    </mc:Choice>
  </mc:AlternateContent>
  <xr:revisionPtr revIDLastSave="0" documentId="13_ncr:1_{93C7D951-A213-4943-B18D-30F018E1555B}" xr6:coauthVersionLast="45" xr6:coauthVersionMax="46" xr10:uidLastSave="{00000000-0000-0000-0000-000000000000}"/>
  <bookViews>
    <workbookView xWindow="-19310" yWindow="-1260" windowWidth="19420" windowHeight="104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2" i="7" l="1"/>
  <c r="E99" i="4" l="1"/>
  <c r="S46" i="4"/>
  <c r="C46" i="4"/>
  <c r="C40" i="4"/>
  <c r="AF637" i="3" l="1"/>
  <c r="G90" i="13"/>
  <c r="G91" i="13"/>
  <c r="G92" i="13"/>
  <c r="G89" i="13"/>
  <c r="D84" i="13"/>
  <c r="D87" i="13"/>
  <c r="D88" i="13"/>
  <c r="D89" i="13"/>
  <c r="D90" i="13"/>
  <c r="D91" i="13"/>
  <c r="D92" i="13"/>
  <c r="G79" i="13"/>
  <c r="D79" i="13"/>
  <c r="D75" i="13"/>
  <c r="D69" i="13"/>
  <c r="D47" i="13"/>
  <c r="D48" i="13"/>
  <c r="D49" i="13"/>
  <c r="D50" i="13"/>
  <c r="D51" i="13"/>
  <c r="D52" i="13"/>
  <c r="D53" i="13"/>
  <c r="G47" i="13"/>
  <c r="G48" i="13"/>
  <c r="G49" i="13"/>
  <c r="G50" i="13"/>
  <c r="G51" i="13"/>
  <c r="G52" i="13"/>
  <c r="G53" i="13"/>
  <c r="G43" i="13"/>
  <c r="D43" i="13"/>
  <c r="G31" i="13"/>
  <c r="G32" i="13"/>
  <c r="G33" i="13"/>
  <c r="G34" i="13"/>
  <c r="G35" i="13"/>
  <c r="G30" i="13"/>
  <c r="G29" i="13"/>
  <c r="D35" i="13"/>
  <c r="D33" i="13"/>
  <c r="D32" i="13"/>
  <c r="D31" i="13"/>
  <c r="D30" i="13"/>
  <c r="D29" i="13"/>
  <c r="G10" i="13"/>
  <c r="D10" i="13"/>
  <c r="D5" i="13"/>
  <c r="C29" i="4"/>
  <c r="S29" i="4" s="1"/>
  <c r="C30" i="4"/>
  <c r="S30" i="4" s="1"/>
  <c r="S32" i="4" l="1"/>
  <c r="S31" i="4"/>
  <c r="F5" i="4"/>
  <c r="S43" i="4"/>
  <c r="S40" i="4"/>
  <c r="E61" i="4"/>
  <c r="E92" i="4"/>
  <c r="E91" i="4"/>
  <c r="E90" i="4"/>
  <c r="E89" i="4"/>
  <c r="E88" i="4"/>
  <c r="E86" i="4"/>
  <c r="E85" i="4"/>
  <c r="E83" i="4"/>
  <c r="E80" i="4"/>
  <c r="E79" i="4"/>
  <c r="E75" i="4"/>
  <c r="E69" i="4"/>
  <c r="E56" i="4"/>
  <c r="E53" i="4"/>
  <c r="E51" i="4"/>
  <c r="E50" i="4"/>
  <c r="E46" i="4"/>
  <c r="E45" i="4"/>
  <c r="E43" i="4"/>
  <c r="E40" i="4"/>
  <c r="E35" i="4"/>
  <c r="E33" i="4"/>
  <c r="E32" i="4"/>
  <c r="E31" i="4"/>
  <c r="F29" i="4"/>
  <c r="F30" i="4" s="1"/>
  <c r="E30" i="4" s="1"/>
  <c r="F10" i="4"/>
  <c r="G4" i="4"/>
  <c r="S53" i="4"/>
  <c r="S80" i="4"/>
  <c r="S79" i="4"/>
  <c r="S86" i="4"/>
  <c r="S85" i="4"/>
  <c r="S90" i="4"/>
  <c r="S91" i="4"/>
  <c r="S92" i="4"/>
  <c r="S89" i="4"/>
  <c r="S99" i="4"/>
  <c r="C33" i="4"/>
  <c r="S33" i="4" s="1"/>
  <c r="C89" i="4"/>
  <c r="S51" i="4"/>
  <c r="S50" i="4"/>
  <c r="S45" i="4"/>
  <c r="S34" i="4"/>
  <c r="S35" i="4"/>
  <c r="C32" i="4"/>
  <c r="S10" i="4"/>
  <c r="AJ1004"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F81" i="13"/>
  <c r="C81" i="13"/>
  <c r="H80" i="13"/>
  <c r="E80" i="13"/>
  <c r="G80" i="13" s="1"/>
  <c r="G81" i="13" s="1"/>
  <c r="B80" i="13"/>
  <c r="D80" i="13" s="1"/>
  <c r="D81" i="13" s="1"/>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G104" i="13" s="1"/>
  <c r="E95" i="13"/>
  <c r="E94" i="13"/>
  <c r="E93" i="13"/>
  <c r="E92" i="13"/>
  <c r="E91" i="13"/>
  <c r="E90" i="13"/>
  <c r="E89" i="13"/>
  <c r="E87" i="13"/>
  <c r="E86" i="13"/>
  <c r="G86" i="13" s="1"/>
  <c r="E85" i="13"/>
  <c r="G85" i="13" s="1"/>
  <c r="E84" i="13"/>
  <c r="E79" i="13"/>
  <c r="E65" i="13"/>
  <c r="E53" i="13"/>
  <c r="E52" i="13"/>
  <c r="E51" i="13"/>
  <c r="E50" i="13"/>
  <c r="E49" i="13"/>
  <c r="E48" i="13"/>
  <c r="E47" i="13"/>
  <c r="E46" i="13"/>
  <c r="G46" i="13" s="1"/>
  <c r="G54" i="13" s="1"/>
  <c r="E45" i="13"/>
  <c r="G45" i="13" s="1"/>
  <c r="E43" i="13"/>
  <c r="E41" i="13"/>
  <c r="E40" i="13"/>
  <c r="G40" i="13" s="1"/>
  <c r="G42" i="13" s="1"/>
  <c r="E37" i="13"/>
  <c r="E35" i="13"/>
  <c r="E34" i="13"/>
  <c r="E33" i="13"/>
  <c r="E32" i="13"/>
  <c r="E31" i="13"/>
  <c r="E30" i="13"/>
  <c r="E29" i="13"/>
  <c r="E27" i="13"/>
  <c r="E25" i="13"/>
  <c r="E23" i="13"/>
  <c r="E22" i="13"/>
  <c r="E21" i="13"/>
  <c r="E20" i="13"/>
  <c r="E19" i="13"/>
  <c r="E18" i="13"/>
  <c r="E17" i="13"/>
  <c r="E15" i="13"/>
  <c r="E14" i="13"/>
  <c r="E13" i="13"/>
  <c r="E10" i="13"/>
  <c r="B99" i="13"/>
  <c r="D99" i="13" s="1"/>
  <c r="B95" i="13"/>
  <c r="B94" i="13"/>
  <c r="B93" i="13"/>
  <c r="B92" i="13"/>
  <c r="B91" i="13"/>
  <c r="B90" i="13"/>
  <c r="B89" i="13"/>
  <c r="B88" i="13"/>
  <c r="B87" i="13"/>
  <c r="B86" i="13"/>
  <c r="D86" i="13" s="1"/>
  <c r="B85" i="13"/>
  <c r="D85" i="13" s="1"/>
  <c r="B84" i="13"/>
  <c r="B83" i="13"/>
  <c r="D83" i="13" s="1"/>
  <c r="B79" i="13"/>
  <c r="B76" i="13"/>
  <c r="B75" i="13"/>
  <c r="B74" i="13"/>
  <c r="B73" i="13"/>
  <c r="B72" i="13"/>
  <c r="B70" i="13"/>
  <c r="B65" i="13"/>
  <c r="B61" i="13"/>
  <c r="D61" i="13" s="1"/>
  <c r="B60" i="13"/>
  <c r="B59" i="13"/>
  <c r="B58" i="13"/>
  <c r="B57" i="13"/>
  <c r="B56" i="13"/>
  <c r="D56" i="13" s="1"/>
  <c r="B53" i="13"/>
  <c r="B52" i="13"/>
  <c r="B51" i="13"/>
  <c r="B50" i="13"/>
  <c r="B49" i="13"/>
  <c r="B48" i="13"/>
  <c r="B47" i="13"/>
  <c r="B46" i="13"/>
  <c r="D46" i="13" s="1"/>
  <c r="D54" i="13" s="1"/>
  <c r="B45" i="13"/>
  <c r="D45" i="13" s="1"/>
  <c r="B43" i="13"/>
  <c r="C42" i="4"/>
  <c r="B42" i="13" s="1"/>
  <c r="B41" i="13"/>
  <c r="B40" i="13"/>
  <c r="D40" i="13" s="1"/>
  <c r="D42"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D4" i="13" s="1"/>
  <c r="D8" i="13" s="1"/>
  <c r="J104" i="13"/>
  <c r="I104" i="13"/>
  <c r="F104" i="13"/>
  <c r="D104" i="13"/>
  <c r="C104" i="13"/>
  <c r="G96" i="13"/>
  <c r="F96" i="13"/>
  <c r="C96" i="13"/>
  <c r="D77" i="13"/>
  <c r="C77" i="13"/>
  <c r="J70" i="13"/>
  <c r="I70" i="13"/>
  <c r="G70" i="13"/>
  <c r="F70" i="13"/>
  <c r="D70" i="13"/>
  <c r="C70" i="13"/>
  <c r="C62" i="13"/>
  <c r="J54" i="13"/>
  <c r="I54" i="13"/>
  <c r="F54" i="13"/>
  <c r="C54" i="13"/>
  <c r="J42" i="13"/>
  <c r="I42" i="13"/>
  <c r="F42" i="13"/>
  <c r="F26" i="13"/>
  <c r="F38" i="13"/>
  <c r="C42" i="13"/>
  <c r="J38" i="13"/>
  <c r="I38" i="13"/>
  <c r="G38" i="13"/>
  <c r="D38" i="13"/>
  <c r="C38" i="13"/>
  <c r="J26" i="13"/>
  <c r="I26" i="13"/>
  <c r="I11" i="13"/>
  <c r="G26" i="13"/>
  <c r="D26" i="13"/>
  <c r="C26" i="13"/>
  <c r="J11" i="13"/>
  <c r="D11" i="13"/>
  <c r="C11" i="13"/>
  <c r="C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D96" i="13" l="1"/>
  <c r="D62" i="13"/>
  <c r="B54" i="4"/>
  <c r="AM739" i="3"/>
  <c r="BI714" i="3" s="1"/>
  <c r="AM738" i="3"/>
  <c r="BI713" i="3" s="1"/>
  <c r="AM737" i="3"/>
  <c r="BI712" i="3" s="1"/>
  <c r="AM736" i="3"/>
  <c r="BI711" i="3" s="1"/>
  <c r="D30" i="11"/>
  <c r="N153" i="23"/>
  <c r="B77" i="4"/>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<sst xmlns="http://schemas.openxmlformats.org/spreadsheetml/2006/main" count="4990" uniqueCount="2600">
  <si>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</si>
  <si>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</si>
  <si>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</si>
  <si>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</si>
  <si>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</si>
  <si>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</si>
  <si>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</si>
  <si>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</si>
  <si>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</si>
  <si>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</si>
  <si>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</si>
  <si>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</si>
  <si>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</si>
  <si>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</si>
  <si>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</si>
  <si>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</si>
  <si>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</si>
  <si>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</si>
  <si>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</si>
  <si>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</si>
  <si>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</si>
  <si>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</si>
  <si>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</si>
  <si>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</si>
  <si>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</si>
  <si>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</si>
  <si>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</si>
  <si>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</si>
  <si>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</si>
  <si>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</si>
  <si>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</si>
  <si>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</si>
  <si>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</si>
  <si>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</si>
  <si>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</si>
  <si>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</si>
  <si>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</si>
  <si>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</si>
  <si>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</si>
  <si>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</si>
  <si>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</si>
  <si>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</si>
  <si>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</si>
  <si>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</si>
  <si>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</si>
  <si>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</si>
  <si>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</si>
  <si>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</si>
  <si>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</si>
  <si>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</si>
  <si>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</si>
  <si>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</si>
  <si>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</si>
  <si>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</si>
  <si>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</si>
  <si>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</si>
  <si>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</si>
  <si>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</si>
  <si>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</si>
  <si>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</si>
  <si>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</si>
  <si>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</si>
  <si>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</si>
  <si>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</si>
  <si>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</si>
  <si>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</si>
  <si>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</si>
  <si>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</si>
  <si>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</si>
  <si>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</si>
  <si>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</si>
  <si>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</si>
  <si>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</si>
  <si>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</si>
  <si>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</si>
  <si>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</si>
  <si>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</si>
  <si>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</si>
  <si>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</si>
  <si>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</si>
  <si>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</si>
  <si>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</si>
  <si>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</si>
  <si>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</si>
  <si>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</si>
  <si>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</si>
  <si>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</si>
  <si>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</si>
  <si>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</si>
  <si>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</si>
  <si>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</si>
  <si>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</si>
  <si>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</si>
  <si>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</si>
  <si>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</si>
  <si>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</si>
  <si>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</si>
  <si>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</si>
  <si>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</si>
  <si>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</si>
  <si>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</si>
  <si>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</si>
  <si>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</si>
  <si>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</si>
  <si>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</si>
  <si>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</si>
  <si>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</si>
  <si>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</si>
  <si>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</si>
  <si>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</si>
  <si>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</si>
  <si>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</si>
  <si>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</si>
  <si>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</si>
  <si>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</si>
  <si>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</si>
  <si>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</si>
  <si>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</si>
  <si>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</si>
  <si>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</si>
  <si>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</si>
  <si>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</si>
  <si>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</si>
  <si>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</si>
  <si>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</si>
  <si>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</si>
  <si>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</si>
  <si>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</si>
  <si>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</si>
  <si>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</si>
  <si>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</si>
  <si>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</si>
  <si>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</si>
  <si>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</si>
  <si>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</si>
  <si>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</si>
  <si>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</si>
  <si>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</si>
  <si>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</si>
  <si>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</si>
  <si>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</si>
  <si>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</si>
  <si>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</si>
  <si>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</si>
  <si>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</si>
  <si>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</si>
  <si>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</si>
  <si>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</si>
  <si>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</si>
  <si>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</si>
  <si>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</si>
  <si>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</si>
  <si>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</si>
  <si>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</si>
  <si>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</si>
  <si>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</si>
  <si>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</si>
  <si>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</si>
  <si>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</si>
  <si>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</si>
  <si>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</si>
  <si>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</si>
  <si>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</si>
  <si>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</si>
  <si>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</si>
  <si>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</si>
  <si>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</si>
  <si>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</si>
  <si>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</si>
  <si>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</si>
  <si>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</si>
  <si>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</si>
  <si>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</si>
  <si>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</si>
  <si>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</si>
  <si>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</si>
  <si>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</si>
  <si>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</si>
  <si>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</si>
  <si>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</si>
  <si>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</si>
  <si>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</si>
  <si>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</si>
  <si>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</si>
  <si>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</si>
  <si>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</si>
  <si>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</si>
  <si>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</si>
  <si>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</si>
  <si>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</si>
  <si>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</si>
  <si>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</si>
  <si>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</si>
  <si>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</si>
  <si>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</si>
  <si>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</si>
  <si>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</si>
  <si>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</si>
  <si>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</si>
  <si>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</si>
  <si>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</si>
  <si>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</si>
  <si>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</si>
  <si>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</si>
  <si>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</si>
  <si>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</si>
  <si>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</si>
  <si>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</si>
  <si>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</si>
  <si>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</si>
  <si>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</si>
  <si>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</si>
  <si>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</si>
  <si>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</si>
  <si>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</si>
  <si>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</si>
  <si>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</si>
  <si>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</si>
  <si>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</si>
  <si>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</si>
  <si>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</si>
  <si>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</si>
  <si>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</si>
  <si>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</si>
  <si>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</si>
  <si>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</si>
  <si>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</si>
  <si>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</si>
  <si>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</si>
  <si>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</si>
  <si>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</si>
  <si>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</si>
  <si>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</si>
  <si>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</si>
  <si>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</si>
  <si>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</si>
  <si>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</si>
  <si>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</si>
  <si>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</si>
  <si>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</si>
  <si>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</si>
  <si>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</si>
  <si>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</si>
  <si>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</si>
  <si>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</si>
  <si>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</si>
  <si>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</si>
  <si>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</si>
  <si>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</si>
  <si>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</si>
  <si>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</si>
  <si>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</si>
  <si>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</si>
  <si>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</si>
  <si>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</si>
  <si>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</si>
  <si>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</si>
  <si>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</si>
  <si>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</si>
  <si>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</si>
  <si>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</si>
  <si>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</si>
  <si>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</si>
  <si>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</si>
  <si>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</si>
  <si>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</si>
  <si>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</si>
  <si>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</si>
  <si>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</si>
  <si>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</si>
  <si>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</si>
  <si>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</si>
  <si>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</si>
  <si>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</si>
  <si>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</si>
  <si>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</si>
  <si>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</si>
  <si>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</si>
  <si>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</si>
  <si>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</si>
  <si>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</si>
  <si>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</si>
  <si>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</si>
  <si>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</si>
  <si>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</si>
  <si>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</si>
  <si>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</si>
  <si>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</si>
  <si>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</si>
  <si>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</si>
  <si>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</si>
  <si>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</si>
  <si>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</si>
  <si>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</si>
  <si>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</si>
  <si>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</si>
  <si>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</si>
  <si>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</si>
  <si>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</si>
  <si>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</si>
  <si>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</si>
  <si>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</si>
  <si>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</si>
  <si>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</si>
  <si>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</si>
  <si>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</si>
  <si>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</si>
  <si>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</si>
  <si>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</si>
  <si>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</si>
  <si>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</si>
  <si>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</si>
  <si>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</si>
  <si>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</si>
  <si>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</si>
  <si>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</si>
  <si>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</si>
  <si>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</si>
  <si>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</si>
  <si>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</si>
  <si>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</si>
  <si>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</si>
  <si>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</si>
  <si>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</si>
  <si>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</si>
  <si>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</si>
  <si>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</si>
  <si>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</si>
  <si>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</si>
  <si>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</si>
  <si>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</si>
  <si>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</si>
  <si>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</si>
  <si>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</si>
  <si>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</si>
  <si>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</si>
  <si>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</si>
  <si>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</si>
  <si>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</si>
  <si>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</si>
  <si>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</si>
  <si>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</si>
  <si>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</si>
  <si>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</si>
  <si>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</si>
  <si>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</si>
  <si>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</si>
  <si>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</si>
  <si>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</si>
  <si>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</si>
  <si>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</si>
  <si>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</si>
  <si>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</si>
  <si>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</si>
  <si>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</si>
  <si>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</si>
  <si>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</si>
  <si>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</si>
  <si>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</si>
  <si>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</si>
  <si>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</si>
  <si>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</si>
  <si>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</si>
  <si>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</si>
  <si>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</si>
  <si>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</si>
  <si>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</si>
  <si>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</si>
  <si>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</si>
  <si>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</si>
  <si>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</si>
  <si>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</si>
  <si>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</si>
  <si>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</si>
  <si>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</si>
  <si>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</si>
  <si>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</si>
  <si>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</si>
  <si>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</si>
  <si>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</si>
  <si>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</si>
  <si>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</si>
  <si>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</si>
  <si>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</si>
  <si>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</si>
  <si>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</si>
  <si>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</si>
  <si>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</si>
  <si>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</si>
  <si>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</si>
  <si>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</si>
  <si>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</si>
  <si>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</si>
  <si>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</si>
  <si>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</si>
  <si>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</si>
  <si>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</si>
  <si>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</si>
  <si>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</si>
  <si>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</si>
  <si>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</si>
  <si>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</si>
  <si>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</si>
  <si>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</si>
  <si>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</si>
  <si>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</si>
  <si>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</si>
  <si>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</si>
  <si>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</si>
  <si>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</si>
  <si>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</si>
  <si>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</si>
  <si>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</si>
  <si>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</si>
  <si>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</si>
  <si>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</si>
  <si>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</si>
  <si>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</si>
  <si>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</si>
  <si>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</si>
  <si>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</si>
  <si>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</si>
  <si>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</si>
  <si>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</si>
  <si>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</si>
  <si>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</si>
  <si>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</si>
  <si>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</si>
  <si>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</si>
  <si>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</si>
  <si>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</si>
  <si>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</si>
  <si>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</si>
  <si>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</si>
  <si>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</si>
  <si>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</si>
  <si>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</si>
  <si>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</si>
  <si>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</si>
  <si>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</si>
  <si>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</si>
  <si>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</si>
  <si>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</si>
  <si>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</si>
  <si>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</si>
  <si>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</si>
  <si>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</si>
  <si>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</si>
  <si>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</si>
  <si>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</si>
  <si>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</si>
  <si>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</si>
  <si>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</si>
  <si>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</si>
  <si>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</si>
  <si>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</si>
  <si>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</si>
  <si>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</si>
  <si>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</si>
  <si>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</si>
  <si>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</si>
  <si>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</si>
  <si>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</si>
  <si>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</si>
  <si>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</si>
  <si>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</si>
  <si>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</si>
  <si>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</si>
  <si>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</si>
  <si>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</si>
  <si>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</si>
  <si>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</si>
  <si>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</si>
  <si>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</si>
  <si>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</si>
  <si>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</si>
  <si>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</si>
  <si>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</si>
  <si>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</si>
  <si>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</si>
  <si>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</si>
  <si>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</si>
  <si>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</si>
  <si>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</si>
  <si>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</si>
  <si>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</si>
  <si>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</si>
  <si>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</si>
  <si>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</si>
  <si>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</si>
  <si>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</si>
  <si>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</si>
  <si>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</si>
  <si>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</si>
  <si>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</si>
  <si>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</si>
  <si>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</si>
  <si>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</si>
  <si>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</si>
  <si>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</si>
  <si>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</si>
  <si>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</si>
  <si>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</si>
  <si>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</si>
  <si>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</si>
  <si>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</si>
  <si>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</si>
  <si>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</si>
  <si>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</si>
  <si>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</si>
  <si>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</si>
  <si>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</si>
  <si>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</si>
  <si>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</si>
  <si>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</si>
  <si>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</si>
  <si>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</si>
  <si>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</si>
  <si>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</si>
  <si>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</si>
  <si>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</si>
  <si>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</si>
  <si>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</si>
  <si>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</si>
  <si>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</si>
  <si>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</si>
  <si>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</si>
  <si>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</si>
  <si>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</si>
  <si>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</si>
  <si>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</si>
  <si>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</si>
  <si>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</si>
  <si>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</si>
  <si>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</si>
  <si>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</si>
  <si>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</si>
  <si>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</si>
  <si>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</si>
  <si>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</si>
  <si>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</si>
  <si>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</si>
  <si>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</si>
  <si>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</si>
  <si>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</si>
  <si>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</si>
  <si>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</si>
  <si>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</si>
  <si>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</si>
  <si>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</si>
  <si>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</si>
  <si>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</si>
  <si>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</si>
  <si>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</si>
  <si>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</si>
  <si>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</si>
  <si>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</si>
  <si>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</si>
  <si>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</si>
  <si>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</si>
  <si>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</si>
  <si>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</si>
  <si>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</si>
  <si>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</si>
  <si>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</si>
  <si>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</si>
  <si>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</si>
  <si>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</si>
  <si>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</si>
  <si>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</si>
  <si>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</si>
  <si>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</si>
  <si>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</si>
  <si>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</si>
  <si>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</si>
  <si>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</si>
  <si>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</si>
  <si>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</si>
  <si>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</si>
  <si>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</si>
  <si>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</si>
  <si>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</si>
  <si>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</si>
  <si>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</si>
  <si>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</si>
  <si>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</si>
  <si>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</si>
  <si>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</si>
  <si>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</si>
  <si>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</si>
  <si>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</si>
  <si>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</si>
  <si>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</si>
  <si>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</si>
  <si>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</si>
  <si>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</si>
  <si>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</si>
  <si>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</si>
  <si>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</si>
  <si>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</si>
  <si>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</si>
  <si>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</si>
  <si>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</si>
  <si>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</si>
  <si>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</si>
  <si>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</si>
  <si>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</si>
  <si>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</si>
  <si>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</si>
  <si>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</si>
  <si>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</si>
  <si>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</si>
  <si>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</si>
  <si>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</si>
  <si>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</si>
  <si>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</si>
  <si>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</si>
  <si>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</si>
  <si>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</si>
  <si>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</si>
  <si>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</si>
  <si>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</si>
  <si>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</si>
  <si>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</si>
  <si>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</si>
  <si>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</si>
  <si>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</si>
  <si>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</si>
  <si>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</si>
  <si>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</si>
  <si>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</si>
  <si>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</si>
  <si>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</si>
  <si>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</si>
  <si>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</si>
  <si>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</si>
  <si>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</si>
  <si>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</si>
  <si>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</si>
  <si>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</si>
  <si>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</si>
  <si>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</si>
  <si>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</si>
  <si>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</si>
  <si>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</si>
  <si>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</si>
  <si>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</si>
  <si>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</si>
  <si>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</si>
  <si>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</si>
  <si>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</si>
  <si>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</si>
  <si>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</si>
  <si>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</si>
  <si>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</si>
  <si>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</si>
  <si>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</si>
  <si>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</si>
  <si>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</si>
  <si>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</si>
  <si>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</si>
  <si>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</si>
  <si>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</si>
  <si>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</si>
  <si>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</si>
  <si>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</si>
  <si>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</si>
  <si>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</si>
  <si>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</si>
  <si>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</si>
  <si>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</si>
  <si>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</si>
  <si>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</si>
  <si>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</si>
  <si>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</si>
  <si>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</si>
  <si>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</si>
  <si>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</si>
  <si>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</si>
  <si>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</si>
  <si>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</si>
  <si>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</si>
  <si>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</si>
  <si>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</si>
  <si>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</si>
  <si>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</si>
  <si>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</si>
  <si>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</si>
  <si>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</si>
  <si>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</si>
  <si>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</si>
  <si>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</si>
  <si>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</si>
  <si>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</si>
  <si>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</si>
  <si>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</si>
  <si>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</si>
  <si>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</si>
  <si>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</si>
  <si>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</si>
  <si>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</si>
  <si>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</si>
  <si>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</si>
  <si>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</si>
  <si>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</si>
  <si>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</si>
  <si>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</si>
  <si>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</si>
  <si>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</si>
  <si>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</si>
  <si>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</si>
  <si>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</si>
  <si>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</si>
  <si>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</si>
  <si>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</si>
  <si>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</si>
  <si>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</si>
  <si>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</si>
  <si>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</si>
  <si>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</si>
  <si>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</si>
  <si>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</si>
  <si>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</si>
  <si>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</si>
  <si>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</si>
  <si>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</si>
  <si>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</si>
  <si>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</si>
  <si>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</si>
  <si>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</si>
  <si>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</si>
  <si>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</si>
  <si>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</si>
  <si>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</si>
  <si>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</si>
  <si>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</si>
  <si>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</si>
  <si>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</si>
  <si>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</si>
  <si>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</si>
  <si>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</si>
  <si>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</si>
  <si>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</si>
  <si>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</si>
  <si>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</si>
  <si>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</si>
  <si>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</si>
  <si>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</si>
  <si>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</si>
  <si>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</si>
  <si>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</si>
  <si>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</si>
  <si>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</si>
  <si>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</si>
  <si>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</si>
  <si>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</si>
  <si>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</si>
  <si>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</si>
  <si>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</si>
  <si>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</si>
  <si>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</si>
  <si>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</si>
  <si>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</si>
  <si>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</si>
  <si>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</si>
  <si>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</si>
  <si>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</si>
  <si>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</si>
  <si>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</si>
  <si>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</si>
  <si>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</si>
  <si>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</si>
  <si>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</si>
  <si>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</si>
  <si>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</si>
  <si>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</si>
  <si>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</si>
  <si>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</si>
  <si>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</si>
  <si>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</si>
  <si>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</si>
  <si>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</si>
  <si>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</si>
  <si>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</si>
  <si>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</si>
  <si>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</si>
  <si>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</si>
  <si>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</si>
  <si>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</si>
  <si>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</si>
  <si>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</si>
  <si>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</si>
  <si>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</si>
  <si>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</si>
  <si>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</si>
  <si>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</si>
  <si>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</si>
  <si>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</si>
  <si>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</si>
  <si>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</si>
  <si>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</si>
  <si>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</si>
  <si>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</si>
  <si>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</si>
  <si>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</si>
  <si>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</si>
  <si>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</si>
  <si>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</si>
  <si>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</si>
  <si>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</si>
  <si>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</si>
  <si>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</si>
  <si>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</si>
  <si>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</si>
  <si>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</si>
  <si>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</si>
  <si>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</si>
  <si>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</si>
  <si>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</si>
  <si>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</si>
  <si>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</si>
  <si>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</si>
  <si>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</si>
  <si>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</si>
  <si>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</si>
  <si>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</si>
  <si>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</si>
  <si>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</si>
  <si>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</si>
  <si>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</si>
  <si>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</si>
  <si>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</si>
  <si>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</si>
  <si>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</si>
  <si>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</si>
  <si>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</si>
  <si>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</si>
  <si>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</si>
  <si>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</si>
  <si>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</si>
  <si>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</si>
  <si>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</si>
  <si>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</si>
  <si>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</si>
  <si>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</si>
  <si>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</si>
  <si>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</si>
  <si>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</si>
  <si>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</si>
  <si>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</si>
  <si>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</si>
  <si>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</si>
  <si>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</si>
  <si>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</si>
  <si>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</si>
  <si>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</si>
  <si>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</si>
  <si>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</si>
  <si>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</si>
  <si>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</si>
  <si>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</si>
  <si>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</si>
  <si>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</si>
  <si>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</si>
  <si>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</si>
  <si>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</si>
  <si>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</si>
  <si>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</si>
  <si>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</si>
  <si>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</si>
  <si>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</si>
  <si>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</si>
  <si>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</si>
  <si>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</si>
  <si>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</si>
  <si>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</si>
  <si>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</si>
  <si>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</si>
  <si>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</si>
  <si>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</si>
  <si>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</si>
  <si>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</si>
  <si>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</si>
  <si>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</si>
  <si>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</si>
  <si>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</si>
  <si>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</si>
  <si>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</si>
  <si>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</si>
  <si>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</si>
  <si>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</si>
  <si>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</si>
  <si>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</si>
  <si>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</si>
  <si>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</si>
  <si>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</si>
  <si>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</si>
  <si>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</si>
  <si>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</si>
  <si>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</si>
  <si>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</si>
  <si>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</si>
  <si>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</si>
  <si>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</si>
  <si>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</si>
  <si>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</si>
  <si>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</si>
  <si>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</si>
  <si>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</si>
  <si>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</si>
  <si>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</si>
  <si>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</si>
  <si>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</si>
  <si>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</si>
  <si>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</si>
  <si>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</si>
  <si>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</si>
  <si>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</si>
  <si>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</si>
  <si>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</si>
  <si>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</si>
  <si>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</si>
  <si>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</si>
  <si>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</si>
  <si>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</si>
  <si>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</si>
  <si>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</si>
  <si>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</si>
  <si>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</si>
  <si>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</si>
  <si>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</si>
  <si>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</si>
  <si>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</si>
  <si>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</si>
  <si>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</si>
  <si>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</si>
  <si>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</si>
  <si>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</si>
  <si>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</si>
  <si>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</si>
  <si>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</si>
  <si>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</si>
  <si>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</si>
  <si>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</si>
  <si>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</si>
  <si>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</si>
  <si>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</si>
  <si>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</si>
  <si>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</si>
  <si>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</si>
  <si>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</si>
  <si>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</si>
  <si>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</si>
  <si>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</si>
  <si>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</si>
  <si>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</si>
  <si>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</si>
  <si>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</si>
  <si>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</si>
  <si>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</si>
  <si>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</si>
  <si>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</si>
  <si>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</si>
  <si>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</si>
  <si>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</si>
  <si>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</si>
  <si>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</si>
  <si>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</si>
  <si>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</si>
  <si>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</si>
  <si>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</si>
  <si>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</si>
  <si>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</si>
  <si>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</si>
  <si>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</si>
  <si>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</si>
  <si>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</si>
  <si>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</si>
  <si>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</si>
  <si>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</si>
  <si>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</si>
  <si>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</si>
  <si>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</si>
  <si>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</si>
  <si>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</si>
  <si>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</si>
  <si>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</si>
  <si>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</si>
  <si>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</si>
  <si>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</si>
  <si>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</si>
  <si>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</si>
  <si>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</si>
  <si>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</si>
  <si>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</si>
  <si>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</si>
  <si>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</si>
  <si>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</si>
  <si>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</si>
  <si>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</si>
  <si>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</si>
  <si>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</si>
  <si>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</si>
  <si>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</si>
  <si>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</si>
  <si>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</si>
  <si>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</si>
  <si>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</si>
  <si>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</si>
  <si>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</si>
  <si>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</si>
  <si>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</si>
  <si>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</si>
  <si>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</si>
  <si>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</si>
  <si>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</si>
  <si>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</si>
  <si>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</si>
  <si>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</si>
  <si>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</si>
  <si>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</si>
  <si>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</si>
  <si>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</si>
  <si>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</si>
  <si>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</si>
  <si>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</si>
  <si>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</si>
  <si>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</si>
  <si>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</si>
  <si>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</si>
  <si>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</si>
  <si>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</si>
  <si>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</si>
  <si>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</si>
  <si>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</si>
  <si>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</si>
  <si>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</si>
  <si>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</si>
  <si>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</si>
  <si>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</si>
  <si>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</si>
  <si>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</si>
  <si>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</si>
  <si>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</si>
  <si>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</si>
  <si>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</si>
  <si>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</si>
  <si>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</si>
  <si>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</si>
  <si>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</si>
  <si>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</si>
  <si>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</si>
  <si>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</si>
  <si>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</si>
  <si>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</si>
  <si>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</si>
  <si>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</si>
  <si>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</si>
  <si>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</si>
  <si>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</si>
  <si>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</si>
  <si>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</si>
  <si>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</si>
  <si>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</si>
  <si>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</si>
  <si>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</si>
  <si>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</si>
  <si>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</si>
  <si>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</si>
  <si>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</si>
  <si>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</si>
  <si>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</si>
  <si>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</si>
  <si>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</si>
  <si>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</si>
  <si>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</si>
  <si>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</si>
  <si>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</si>
  <si>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</si>
  <si>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</si>
  <si>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</si>
  <si>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</si>
  <si>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</si>
  <si>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</si>
  <si>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</si>
  <si>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</si>
  <si>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</si>
  <si>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</si>
  <si>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</si>
  <si>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</si>
  <si>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</si>
  <si>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</si>
  <si>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</si>
  <si>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</si>
  <si>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</si>
  <si>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</si>
  <si>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</si>
  <si>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</si>
  <si>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</si>
  <si>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</si>
  <si>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</si>
  <si>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</si>
  <si>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</si>
  <si>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</si>
  <si>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</si>
  <si>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</si>
  <si>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</si>
  <si>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</si>
  <si>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</si>
  <si>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</si>
  <si>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</si>
  <si>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</si>
  <si>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</si>
  <si>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</si>
  <si>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</si>
  <si>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</si>
  <si>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</si>
  <si>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</si>
  <si>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</si>
  <si>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</si>
  <si>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</si>
  <si>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</si>
  <si>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</si>
  <si>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</si>
  <si>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</si>
  <si>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</si>
  <si>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</si>
  <si>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</si>
  <si>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</si>
  <si>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</si>
  <si>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</si>
  <si>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</si>
  <si>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</si>
  <si>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</si>
  <si>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</si>
  <si>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</si>
  <si>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</si>
  <si>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</si>
  <si>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</si>
  <si>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</si>
  <si>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</si>
  <si>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</si>
  <si>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</si>
  <si>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</si>
  <si>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</si>
  <si>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</si>
  <si>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</si>
  <si>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</si>
  <si>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</si>
  <si>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</si>
  <si>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</si>
  <si>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</si>
  <si>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</si>
  <si>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</si>
  <si>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</si>
  <si>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</si>
  <si>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</si>
  <si>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</si>
  <si>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</si>
  <si>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</si>
  <si>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</si>
  <si>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</si>
  <si>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</si>
  <si>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</si>
  <si>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</si>
  <si>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</si>
  <si>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</si>
  <si>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</si>
  <si>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</si>
  <si>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</si>
  <si>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</si>
  <si>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</si>
  <si>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</si>
  <si>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</si>
  <si>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</si>
  <si>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</si>
  <si>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</si>
  <si>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</si>
  <si>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</si>
  <si>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</si>
  <si>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</si>
  <si>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</si>
  <si>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</si>
  <si>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</si>
  <si>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</si>
  <si>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</si>
  <si>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</si>
  <si>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</si>
  <si>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</si>
  <si>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</si>
  <si>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</si>
  <si>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</si>
  <si>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</si>
  <si>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</si>
  <si>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</si>
  <si>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</si>
  <si>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</si>
  <si>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</si>
  <si>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</si>
  <si>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</si>
  <si>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</si>
  <si>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</si>
  <si>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</si>
  <si>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</si>
  <si>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</si>
  <si>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</si>
  <si>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</si>
  <si>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</si>
  <si>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</si>
  <si>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</si>
  <si>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</si>
  <si>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</si>
  <si>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</si>
  <si>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</si>
  <si>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</si>
  <si>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</si>
  <si>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</si>
  <si>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</si>
  <si>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</si>
  <si>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</si>
  <si>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</si>
  <si>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</si>
  <si>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</si>
  <si>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</si>
  <si>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</si>
  <si>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</si>
  <si>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</si>
  <si>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</si>
  <si>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</si>
  <si>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</si>
  <si>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</si>
  <si>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</si>
  <si>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</si>
  <si>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</si>
  <si>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</si>
  <si>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</si>
  <si>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</si>
  <si>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</si>
  <si>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</si>
  <si>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</si>
  <si>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</si>
  <si>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</si>
  <si>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</si>
  <si>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</si>
  <si>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</si>
  <si>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</si>
  <si>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</si>
  <si>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</si>
  <si>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</si>
  <si>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</si>
  <si>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</si>
  <si>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</si>
  <si>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</si>
  <si>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</si>
  <si>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</si>
  <si>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</si>
  <si>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</si>
  <si>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</si>
  <si>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</si>
  <si>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</si>
  <si>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</si>
  <si>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</si>
  <si>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</si>
  <si>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</si>
  <si>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</si>
  <si>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</si>
  <si>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</si>
  <si>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</si>
  <si>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</si>
  <si>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</si>
  <si>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</si>
  <si>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</si>
  <si>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</si>
  <si>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</si>
  <si>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</si>
  <si>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</si>
  <si>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</si>
  <si>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</si>
  <si>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</si>
  <si>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</si>
  <si>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</si>
  <si>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</si>
  <si>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</si>
  <si>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</si>
  <si>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</si>
  <si>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</si>
  <si>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</si>
  <si>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</si>
  <si>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</si>
  <si>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</si>
  <si>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</si>
  <si>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</si>
  <si>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</si>
  <si>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</si>
  <si>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</si>
  <si>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</si>
  <si>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</si>
  <si>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</si>
  <si>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</si>
  <si>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</si>
  <si>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</si>
  <si>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</si>
  <si>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</si>
  <si>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</si>
  <si>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</si>
  <si>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</si>
  <si>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</si>
  <si>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</si>
  <si>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</si>
  <si>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</si>
  <si>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</si>
  <si>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</si>
  <si>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</si>
  <si>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</si>
  <si>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</si>
  <si>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</si>
  <si>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</si>
  <si>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</si>
  <si>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</si>
  <si>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</si>
  <si>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</si>
  <si>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</si>
  <si>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</si>
  <si>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</si>
  <si>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</si>
  <si>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</si>
  <si>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</si>
  <si>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</si>
  <si>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</si>
  <si>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</si>
  <si>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</si>
  <si>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</si>
  <si>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</si>
  <si>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</si>
  <si>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</si>
  <si>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</si>
  <si>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</si>
  <si>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</si>
  <si>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</si>
  <si>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</si>
  <si>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</si>
  <si>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</si>
  <si>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</si>
  <si>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</si>
  <si>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</si>
  <si>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</si>
  <si>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</si>
  <si>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</si>
  <si>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</si>
  <si>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</si>
  <si>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</si>
  <si>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</si>
  <si>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</si>
  <si>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</si>
  <si>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</si>
  <si>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</si>
  <si>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</si>
  <si>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</si>
  <si>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</si>
  <si>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</si>
  <si>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</si>
  <si>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</si>
  <si>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</si>
  <si>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</si>
  <si>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</si>
  <si>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</si>
  <si>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</si>
  <si>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</si>
  <si>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</si>
  <si>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</si>
  <si>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</si>
  <si>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</si>
  <si>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</si>
  <si>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</si>
  <si>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</si>
  <si>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</si>
  <si>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</si>
  <si>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</si>
  <si>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</si>
  <si>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</si>
  <si>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</si>
  <si>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</si>
  <si>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</si>
  <si>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</si>
  <si>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</si>
  <si>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</si>
  <si>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</si>
  <si>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</si>
  <si>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</si>
  <si>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</si>
  <si>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</si>
  <si>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</si>
  <si>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</si>
  <si>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</si>
  <si>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</si>
  <si>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</si>
  <si>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</si>
  <si>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</si>
  <si>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</si>
  <si>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</si>
  <si>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</si>
  <si>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</si>
  <si>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</si>
  <si>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</si>
  <si>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</si>
  <si>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</si>
  <si>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</si>
  <si>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</si>
  <si>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</si>
  <si>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</si>
  <si>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</si>
  <si>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</si>
  <si>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</si>
  <si>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</si>
  <si>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</si>
  <si>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</si>
  <si>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</si>
  <si>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</si>
  <si>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</si>
  <si>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</si>
  <si>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</si>
  <si>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</si>
  <si>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</si>
  <si>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</si>
  <si>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</si>
  <si>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</si>
  <si>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</si>
  <si>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</si>
  <si>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</si>
  <si>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</si>
  <si>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</si>
  <si>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</si>
  <si>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</si>
  <si>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</si>
  <si>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</si>
  <si>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</si>
  <si>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</si>
  <si>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</si>
  <si>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</si>
  <si>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</si>
  <si>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</si>
  <si>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</si>
  <si>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</si>
  <si>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</si>
  <si>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</si>
  <si>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</si>
  <si>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</si>
  <si>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</si>
  <si>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</si>
  <si>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</si>
  <si>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</si>
  <si>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</si>
  <si>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</si>
  <si>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</si>
  <si>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</si>
  <si>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</si>
  <si>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</si>
  <si>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</si>
  <si>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</si>
  <si>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</si>
  <si>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</si>
  <si>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</si>
  <si>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</si>
  <si>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</si>
  <si>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</si>
  <si>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</si>
  <si>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</si>
  <si>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</si>
  <si>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</si>
  <si>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</si>
  <si>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</si>
  <si>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</si>
  <si>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</si>
  <si>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</si>
  <si>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</si>
  <si>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</si>
  <si>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</si>
  <si>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</si>
  <si>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</si>
  <si>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</si>
  <si>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</si>
  <si>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</si>
  <si>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</si>
  <si>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</si>
  <si>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</si>
  <si>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</si>
  <si>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</si>
  <si>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</si>
  <si>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</si>
  <si>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</si>
  <si>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</si>
  <si>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</si>
  <si>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</si>
  <si>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</si>
  <si>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</si>
  <si>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</si>
  <si>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</si>
  <si>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</si>
  <si>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</si>
  <si>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</si>
  <si>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</si>
  <si>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</si>
  <si>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</si>
  <si>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</si>
  <si>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</si>
  <si>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</si>
  <si>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</si>
  <si>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</si>
  <si>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</si>
  <si>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</si>
  <si>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</si>
  <si>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</si>
  <si>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</si>
  <si>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</si>
  <si>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</si>
  <si>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</si>
  <si>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</si>
  <si>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</si>
  <si>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</si>
  <si>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</si>
  <si>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</si>
  <si>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</si>
  <si>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</si>
  <si>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</si>
  <si>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</si>
  <si>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</si>
  <si>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</si>
  <si>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</si>
  <si>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</si>
  <si>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</si>
  <si>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</si>
  <si>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</si>
  <si>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</si>
  <si>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</si>
  <si>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</si>
  <si>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</si>
  <si>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</si>
  <si>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</si>
  <si>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</si>
  <si>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</si>
  <si>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</si>
  <si>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</si>
  <si>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</si>
  <si>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</si>
  <si>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</si>
  <si>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</si>
  <si>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</si>
  <si>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</si>
  <si>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</si>
  <si>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</si>
  <si>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</si>
  <si>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</si>
  <si>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</si>
  <si>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</si>
  <si>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</si>
  <si>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</si>
  <si>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</si>
  <si>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</si>
  <si>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</si>
  <si>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</si>
  <si>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</si>
  <si>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</si>
  <si>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</si>
  <si>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</si>
  <si>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</si>
  <si>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</si>
  <si>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</si>
  <si>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</si>
  <si>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</si>
  <si>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</si>
  <si>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</si>
  <si>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</si>
  <si>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</si>
  <si>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</si>
  <si>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</si>
  <si>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</si>
  <si>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</si>
  <si>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</si>
  <si>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</si>
  <si>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</si>
  <si>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</si>
  <si>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</si>
  <si>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</si>
  <si>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</si>
  <si>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</si>
  <si>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</si>
  <si>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</si>
  <si>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</si>
  <si>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</si>
  <si>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</si>
  <si>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</si>
  <si>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</si>
  <si>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</si>
  <si>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</si>
  <si>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</si>
  <si>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</si>
  <si>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</si>
  <si>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</si>
  <si>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</si>
  <si>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</si>
  <si>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</si>
  <si>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</si>
  <si>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</si>
  <si>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</si>
  <si>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</si>
  <si>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</si>
  <si>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</si>
  <si>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</si>
  <si>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</si>
  <si>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</si>
  <si>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</si>
  <si>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</si>
  <si>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</si>
  <si>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</si>
  <si>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</si>
  <si>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</si>
  <si>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</si>
  <si>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</si>
  <si>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</si>
  <si>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</si>
  <si>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</si>
  <si>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</si>
  <si>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</si>
  <si>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</si>
  <si>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</si>
  <si>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</si>
  <si>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</si>
  <si>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</si>
  <si>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</si>
  <si>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</si>
  <si>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</si>
  <si>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</si>
  <si>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</si>
  <si>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</si>
  <si>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</si>
  <si>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</si>
  <si>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</si>
  <si>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</si>
  <si>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</si>
  <si>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</si>
  <si>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</si>
  <si>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</si>
  <si>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</si>
  <si>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</si>
  <si>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</si>
  <si>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</si>
  <si>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</si>
  <si>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</si>
  <si>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</si>
  <si>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</si>
  <si>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</si>
  <si>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</si>
  <si>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</si>
  <si>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</si>
  <si>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</si>
  <si>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</si>
  <si>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</si>
  <si>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</si>
  <si>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</si>
  <si>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</si>
  <si>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</si>
  <si>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</si>
  <si>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</si>
  <si>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</si>
  <si>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</si>
  <si>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</si>
  <si>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</si>
  <si>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</si>
  <si>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</si>
  <si>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</si>
  <si>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</si>
  <si>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</si>
  <si>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</si>
  <si>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</si>
  <si>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</si>
  <si>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</si>
  <si>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</si>
  <si>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</si>
  <si>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</si>
  <si>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</si>
  <si>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</si>
  <si>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</si>
  <si>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</si>
  <si>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</si>
  <si>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</si>
  <si>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</si>
  <si>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</si>
  <si>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</si>
  <si>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</si>
  <si>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</si>
  <si>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</si>
  <si>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</si>
  <si>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</si>
  <si>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</si>
  <si>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</si>
  <si>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</si>
  <si>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</si>
  <si>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</si>
  <si>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</si>
  <si>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</si>
  <si>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</si>
  <si>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</si>
  <si>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</si>
  <si>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</si>
  <si>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</si>
  <si>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</si>
  <si>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</si>
  <si>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</si>
  <si>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</si>
  <si>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</si>
  <si>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</si>
  <si>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</si>
  <si>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</si>
  <si>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</si>
  <si>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</si>
  <si>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</si>
  <si>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</si>
  <si>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</si>
  <si>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</si>
  <si>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</si>
  <si>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</si>
  <si>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</si>
  <si>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</si>
  <si>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</si>
  <si>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</si>
  <si>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</si>
  <si>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</si>
  <si>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</si>
  <si>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</si>
  <si>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</si>
  <si>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</si>
  <si>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</si>
  <si>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</si>
  <si>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</si>
  <si>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</si>
  <si>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</si>
  <si>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</si>
  <si>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</si>
  <si>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</si>
  <si>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</si>
  <si>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</si>
  <si>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</si>
  <si>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</si>
  <si>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</si>
  <si>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</si>
  <si>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</si>
  <si>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</si>
  <si>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</si>
  <si>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</si>
  <si>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</si>
  <si>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</si>
  <si>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</si>
  <si>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</si>
  <si>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</si>
  <si>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</si>
  <si>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</si>
  <si>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</si>
  <si>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</si>
  <si>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</si>
  <si>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</si>
  <si>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</si>
  <si>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</si>
  <si>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</si>
  <si>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</si>
  <si>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</si>
  <si>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</si>
  <si>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</si>
  <si>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</si>
  <si>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</si>
  <si>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</si>
  <si>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</si>
  <si>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</si>
  <si>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</si>
  <si>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</si>
  <si>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</si>
  <si>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</si>
  <si>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</si>
  <si>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</si>
  <si>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</si>
  <si>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</si>
  <si>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</si>
  <si>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</si>
  <si>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</si>
  <si>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</si>
  <si>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</si>
  <si>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</si>
  <si>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</si>
  <si>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</si>
  <si>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</si>
  <si>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</si>
  <si>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</si>
  <si>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</si>
  <si>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</si>
  <si>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</si>
  <si>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</si>
  <si>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</si>
  <si>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</si>
  <si>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</si>
  <si>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</si>
  <si>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</si>
  <si>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</si>
  <si>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</si>
  <si>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</si>
  <si>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</si>
  <si>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</si>
  <si>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</si>
  <si>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</si>
  <si>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</si>
  <si>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</si>
  <si>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</si>
  <si>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</si>
  <si>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</si>
  <si>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</si>
  <si>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</si>
  <si>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</si>
  <si>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</si>
  <si>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</si>
  <si>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</si>
  <si>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</si>
  <si>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</si>
  <si>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</si>
  <si>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</si>
  <si>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</si>
  <si>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</si>
  <si>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</si>
  <si>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</si>
  <si>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</si>
  <si>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</si>
  <si>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</si>
  <si>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</si>
  <si>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</si>
  <si>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</si>
  <si>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</si>
  <si>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</si>
  <si>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</si>
  <si>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</si>
  <si>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</si>
  <si>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</si>
  <si>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</si>
  <si>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</si>
  <si>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</si>
  <si>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</si>
  <si>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</si>
  <si>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</si>
  <si>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</si>
  <si>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</si>
  <si>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</si>
  <si>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</si>
  <si>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</si>
  <si>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</si>
  <si>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</si>
  <si>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</si>
  <si>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</si>
  <si>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</si>
  <si>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</si>
  <si>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</si>
  <si>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</si>
  <si>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</si>
  <si>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</si>
  <si>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</si>
  <si>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</si>
  <si>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</si>
  <si>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</si>
  <si>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</si>
  <si>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</si>
  <si>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</si>
  <si>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</si>
  <si>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</si>
  <si>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</si>
  <si>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</si>
  <si>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</si>
  <si>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</si>
  <si>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</si>
  <si>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</si>
  <si>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</si>
  <si>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</si>
  <si>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</si>
  <si>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</si>
  <si>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</si>
  <si>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</si>
  <si>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</si>
  <si>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</si>
  <si>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</si>
  <si>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</si>
  <si>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</si>
  <si>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</si>
  <si>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</si>
  <si>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</si>
  <si>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</si>
  <si>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</si>
  <si>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</si>
  <si>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</si>
  <si>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</si>
  <si>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</si>
  <si>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</si>
  <si>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</si>
  <si>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</si>
  <si>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</si>
  <si>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</si>
  <si>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</si>
  <si>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</si>
  <si>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</si>
  <si>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</si>
  <si>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</si>
  <si>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</si>
  <si>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</si>
  <si>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</si>
  <si>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</si>
  <si>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</si>
  <si>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</si>
  <si>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</si>
  <si>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</si>
  <si>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</si>
  <si>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</si>
  <si>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</si>
  <si>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</si>
  <si>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</si>
  <si>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</si>
  <si>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</si>
  <si>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</si>
  <si>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</si>
  <si>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</si>
  <si>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</si>
  <si>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</si>
  <si>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</si>
  <si>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</si>
  <si>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</si>
  <si>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</si>
  <si>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</si>
  <si>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</si>
  <si>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</si>
  <si>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</si>
  <si>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</si>
  <si>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</si>
  <si>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</si>
  <si>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</si>
  <si>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</si>
  <si>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</si>
  <si>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</si>
  <si>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</si>
  <si>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</si>
  <si>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</si>
  <si>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</si>
  <si>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</si>
  <si>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</si>
  <si>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</si>
  <si>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</si>
  <si>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</si>
  <si>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</si>
  <si>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</si>
  <si>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</si>
  <si>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</si>
  <si>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</si>
  <si>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</si>
  <si>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</si>
  <si>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</si>
  <si>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</si>
  <si>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</si>
  <si>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</si>
  <si>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</si>
  <si>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</si>
  <si>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</si>
  <si>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</si>
  <si>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</si>
  <si>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</si>
  <si>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</si>
  <si>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</si>
  <si>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</si>
  <si>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</si>
  <si>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</si>
  <si>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</si>
  <si>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</si>
  <si>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</si>
  <si>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</si>
  <si>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</si>
  <si>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</si>
  <si>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</si>
  <si>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</si>
  <si>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</si>
  <si>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</si>
  <si>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</si>
  <si>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</si>
  <si>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</si>
  <si>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</si>
  <si>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</si>
  <si>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</si>
  <si>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</si>
  <si>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</si>
  <si>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</si>
  <si>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</si>
  <si>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</si>
  <si>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</si>
  <si>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</si>
  <si>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</si>
  <si>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</si>
  <si>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</si>
  <si>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</si>
  <si>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</si>
  <si>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</si>
  <si>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</si>
  <si>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</si>
  <si>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</si>
  <si>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</si>
  <si>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</si>
  <si>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</si>
  <si>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</si>
  <si>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</si>
  <si>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</si>
  <si>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</si>
  <si>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</si>
  <si>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</si>
  <si>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</si>
  <si>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</si>
  <si>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</si>
  <si>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</si>
  <si>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</si>
  <si>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</si>
  <si>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</si>
  <si>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</si>
  <si>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</si>
  <si>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</si>
  <si>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</si>
  <si>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</si>
  <si>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</si>
  <si>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</si>
  <si>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</si>
  <si>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</si>
  <si>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</si>
  <si>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</si>
  <si>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</si>
  <si>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</si>
  <si>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</si>
  <si>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</si>
  <si>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</si>
  <si>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</si>
  <si>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</si>
  <si>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</si>
  <si>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</si>
  <si>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</si>
  <si>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</si>
  <si>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</si>
  <si>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</si>
  <si>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</si>
  <si>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</si>
  <si>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</si>
  <si>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</si>
  <si>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</si>
  <si>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</si>
  <si>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</si>
  <si>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</si>
  <si>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</si>
  <si>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</si>
  <si>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</si>
  <si>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</si>
  <si>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</si>
  <si>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</si>
  <si>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</si>
  <si>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</si>
  <si>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</si>
  <si>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</si>
  <si>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</si>
  <si>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</si>
  <si>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</si>
  <si>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</si>
  <si>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</si>
  <si>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</si>
  <si>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</si>
  <si>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</si>
  <si>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</si>
  <si>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</si>
  <si>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</si>
  <si>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</si>
  <si>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</si>
  <si>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</si>
  <si>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</si>
  <si>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</si>
  <si>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</si>
  <si>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</si>
  <si>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</si>
  <si>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</si>
  <si>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</si>
  <si>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</si>
  <si>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</si>
  <si>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</si>
  <si>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</si>
  <si>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</si>
  <si>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</si>
  <si>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</si>
  <si>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</si>
  <si>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</si>
  <si>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</si>
  <si>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</si>
  <si>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</si>
  <si>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</si>
  <si>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</si>
  <si>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</si>
  <si>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</si>
  <si>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</si>
  <si>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</si>
  <si>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</si>
  <si>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</si>
  <si>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</si>
  <si>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</si>
  <si>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</si>
  <si>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</si>
  <si>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</si>
  <si>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</si>
  <si>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</si>
  <si>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</si>
  <si>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</si>
  <si>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</si>
  <si>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</si>
  <si>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</si>
  <si>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</si>
  <si>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</si>
  <si>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</si>
  <si>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</si>
  <si>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</si>
  <si>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</si>
  <si>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</si>
  <si>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</si>
  <si>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</si>
  <si>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</si>
  <si>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</si>
  <si>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</si>
  <si>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</si>
  <si>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</si>
  <si>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</si>
  <si>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</si>
  <si>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</si>
  <si>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</si>
  <si>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</si>
  <si>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</si>
  <si>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</si>
  <si>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</si>
  <si>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</si>
  <si>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</si>
  <si>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</si>
  <si>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</si>
  <si>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</si>
  <si>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</si>
  <si>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</si>
  <si>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</si>
  <si>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</si>
  <si>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</si>
  <si>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</si>
  <si>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</si>
  <si>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</si>
  <si>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</si>
  <si>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</si>
  <si>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</si>
  <si>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</si>
  <si>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</si>
  <si>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</si>
  <si>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</si>
  <si>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</si>
  <si>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</si>
  <si>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</si>
  <si>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</si>
  <si>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</si>
  <si>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</si>
  <si>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</si>
  <si>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</si>
  <si>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</si>
  <si>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</si>
  <si>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</si>
  <si>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</si>
  <si>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</si>
  <si>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</si>
  <si>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</si>
  <si>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</si>
  <si>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</si>
  <si>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</si>
  <si>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</si>
  <si>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</si>
  <si>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</si>
  <si>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</si>
  <si>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</si>
  <si>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</si>
  <si>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</si>
  <si>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</si>
  <si>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</si>
  <si>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</si>
  <si>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</si>
  <si>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</si>
  <si>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</si>
  <si>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</si>
  <si>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</si>
  <si>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</si>
  <si>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</si>
  <si>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</si>
  <si>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</si>
  <si>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</si>
  <si>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</si>
  <si>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</si>
  <si>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</si>
  <si>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</si>
  <si>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</si>
  <si>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</si>
  <si>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</si>
  <si>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</si>
  <si>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</si>
  <si>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</si>
  <si>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</si>
  <si>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</si>
  <si>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</si>
  <si>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</si>
  <si>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</si>
  <si>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</si>
  <si>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</si>
  <si>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</si>
  <si>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</si>
  <si>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</si>
  <si>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</si>
  <si>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</si>
  <si>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</si>
  <si>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</si>
  <si>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</si>
  <si>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</si>
  <si>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</si>
  <si>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</si>
  <si>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</si>
  <si>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</si>
  <si>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</si>
  <si>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</si>
  <si>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</si>
  <si>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</si>
  <si>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</si>
  <si>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</si>
  <si>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</si>
  <si>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</si>
  <si>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</si>
  <si>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</si>
  <si>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</si>
  <si>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</si>
  <si>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</si>
  <si>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</si>
  <si>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</si>
  <si>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</si>
  <si>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</si>
  <si>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</si>
  <si>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</si>
  <si>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</si>
  <si>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</si>
  <si>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</si>
  <si>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</si>
  <si>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</si>
  <si>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</si>
  <si>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</si>
  <si>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</si>
  <si>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</si>
  <si>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</si>
  <si>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</si>
  <si>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</si>
  <si>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</si>
  <si>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</si>
  <si>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</si>
  <si>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</si>
  <si>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</si>
  <si>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</si>
  <si>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</si>
  <si>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</si>
  <si>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</si>
  <si>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</si>
  <si>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</si>
  <si>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</si>
  <si>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</si>
  <si>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</si>
  <si>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</si>
  <si>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</si>
  <si>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</si>
  <si>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</si>
  <si>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</si>
  <si>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</si>
  <si>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</si>
  <si>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</si>
  <si>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</si>
  <si>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</si>
  <si>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</si>
  <si>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</si>
  <si>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</si>
  <si>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</si>
  <si>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</si>
  <si>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</si>
  <si>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</si>
  <si>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</si>
  <si>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</si>
  <si>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</si>
  <si>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</si>
  <si>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</si>
  <si>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</si>
  <si>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</si>
  <si>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</si>
  <si>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</si>
  <si>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</si>
  <si>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</si>
  <si>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</si>
  <si>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</si>
  <si>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</si>
  <si>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</si>
  <si>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</si>
  <si>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</si>
  <si>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</si>
  <si>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</si>
  <si>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</si>
  <si>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</si>
  <si>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</si>
  <si>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</si>
  <si>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</si>
  <si>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</si>
  <si>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</si>
  <si>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</si>
  <si>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</si>
  <si>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</si>
  <si>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</si>
  <si>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</si>
  <si>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</si>
  <si>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</si>
  <si>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</si>
  <si>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</si>
  <si>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</si>
  <si>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</si>
  <si>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</si>
  <si>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</si>
  <si>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</si>
  <si>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</si>
  <si>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</si>
  <si>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</si>
  <si>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</si>
  <si>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</si>
  <si>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</si>
  <si>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</si>
  <si>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</si>
  <si>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</si>
  <si>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</si>
  <si>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</si>
  <si>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</si>
  <si>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</si>
  <si>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</si>
  <si>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</si>
  <si>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</si>
  <si>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</si>
  <si>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</si>
  <si>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</si>
  <si>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</si>
  <si>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</si>
  <si>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</si>
  <si>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</si>
  <si>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</si>
  <si>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</si>
  <si>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</si>
  <si>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</si>
  <si>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</si>
  <si>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</si>
  <si>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</si>
  <si>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</si>
  <si>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</si>
  <si>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</si>
  <si>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</si>
  <si>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</si>
  <si>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</si>
  <si>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</si>
  <si>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</si>
  <si>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</si>
  <si>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</si>
  <si>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</si>
  <si>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</si>
  <si>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</si>
  <si>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</si>
  <si>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</si>
  <si>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</si>
  <si>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</si>
  <si>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</si>
  <si>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</si>
  <si>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</si>
  <si>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</si>
  <si>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</si>
  <si>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</si>
  <si>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</si>
  <si>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</si>
  <si>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</si>
  <si>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</si>
  <si>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</si>
  <si>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</si>
  <si>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</si>
  <si>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</si>
  <si>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</si>
  <si>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</si>
  <si>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</si>
  <si>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</si>
  <si>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</si>
  <si>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</si>
  <si>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</si>
  <si>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</si>
  <si>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</si>
  <si>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</si>
  <si>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</si>
  <si>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</si>
  <si>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</si>
  <si>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</si>
  <si>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</si>
  <si>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</si>
  <si>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</si>
  <si>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</si>
  <si>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</si>
  <si>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</si>
  <si>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</si>
  <si>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</si>
  <si>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</si>
  <si>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</si>
  <si>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</si>
  <si>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</si>
  <si>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</si>
  <si>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</si>
  <si>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</si>
  <si>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</si>
  <si>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</si>
  <si>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</si>
  <si>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</si>
  <si>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</si>
  <si>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</si>
  <si>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</si>
  <si>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</si>
  <si>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</si>
  <si>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</si>
  <si>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</si>
  <si>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</si>
  <si>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</si>
  <si>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</si>
  <si>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</si>
  <si>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</si>
  <si>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</si>
  <si>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</si>
  <si>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</si>
  <si>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</si>
  <si>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</si>
  <si>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</si>
  <si>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</si>
  <si>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</si>
  <si>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</si>
  <si>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</si>
  <si>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</si>
  <si>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</si>
  <si>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</si>
  <si>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</si>
  <si>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</si>
  <si>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</si>
  <si>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</si>
  <si>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</si>
  <si>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</si>
  <si>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</si>
  <si>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</si>
  <si>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</si>
  <si>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</si>
  <si>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</si>
  <si>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</si>
  <si>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</si>
  <si>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</si>
  <si>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</si>
  <si>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</si>
  <si>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</si>
  <si>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</si>
  <si>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</si>
  <si>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</si>
  <si>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</si>
  <si>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</si>
  <si>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USA Properties Fund, Inc.</t>
  </si>
  <si>
    <t>College Creek Apartments</t>
  </si>
  <si>
    <t>January</t>
  </si>
  <si>
    <t>, 2021 at</t>
  </si>
  <si>
    <t>Roseville</t>
  </si>
  <si>
    <t>Geoffrey C. Brown</t>
  </si>
  <si>
    <t>President</t>
  </si>
  <si>
    <t>CDLAC-TCAC Joint Application (submitting concurrently)</t>
  </si>
  <si>
    <t>2150 West College Avenue</t>
  </si>
  <si>
    <t>Santa Rosa</t>
  </si>
  <si>
    <t>010-320-029</t>
  </si>
  <si>
    <t>3200 Douglas Blvd., Suite 200</t>
  </si>
  <si>
    <t>CA</t>
  </si>
  <si>
    <t>gbrown@usapropfund.com</t>
  </si>
  <si>
    <t>Riverside Charitable Corporation</t>
  </si>
  <si>
    <t>Managing GP</t>
  </si>
  <si>
    <t>Administrative GP</t>
  </si>
  <si>
    <t>Darren Bobrowsky</t>
  </si>
  <si>
    <t>dbobrowsky@usapropfund.com</t>
  </si>
  <si>
    <t>General Partner</t>
  </si>
  <si>
    <t>USA Multi-Family Development</t>
  </si>
  <si>
    <t>Roseville, CA 95661</t>
  </si>
  <si>
    <t>LPAS Architecture + Design</t>
  </si>
  <si>
    <t>David Brady Smith</t>
  </si>
  <si>
    <t>bsmith@lpas.com</t>
  </si>
  <si>
    <t>Bocarsly Emden Cowan Esmail &amp; Arndt LLP</t>
  </si>
  <si>
    <t>633 West Fifth Street, 64th Floor</t>
  </si>
  <si>
    <t>Los Angeles, CA 90071</t>
  </si>
  <si>
    <t>Kyle Arndt</t>
  </si>
  <si>
    <t>karndt@bocarsly.com</t>
  </si>
  <si>
    <t>Novogradac &amp; Company</t>
  </si>
  <si>
    <t>USA Construction Management, Inc.</t>
  </si>
  <si>
    <t>Tony Piscitello</t>
  </si>
  <si>
    <t>tpiscitello@usapropfund.com</t>
  </si>
  <si>
    <t>California Municipal Finance Agency</t>
  </si>
  <si>
    <t>2111 Palomar Airport Road, #320</t>
  </si>
  <si>
    <t>Carlsbad, CA 92011</t>
  </si>
  <si>
    <t>Anthony Stubbs</t>
  </si>
  <si>
    <t>astubbs@cmfa-ca.com</t>
  </si>
  <si>
    <t>USA Multifamily Management, Inc.</t>
  </si>
  <si>
    <t>April Atkinson</t>
  </si>
  <si>
    <t>aatkinson@usapropfund.com</t>
  </si>
  <si>
    <t>Mike Hemmens</t>
  </si>
  <si>
    <t>$500M</t>
  </si>
  <si>
    <t>40%/60% Average Income</t>
  </si>
  <si>
    <t>Other (Specify below)</t>
  </si>
  <si>
    <t>Sonoma County CDC</t>
  </si>
  <si>
    <t>Tax Credit Equity</t>
  </si>
  <si>
    <t>Deferred Fees</t>
  </si>
  <si>
    <t xml:space="preserve">NOI prior to Conversion </t>
  </si>
  <si>
    <t>App., Late, Turnover</t>
  </si>
  <si>
    <t xml:space="preserve">Sonoma County </t>
  </si>
  <si>
    <t>Admin</t>
  </si>
  <si>
    <t>Tenant Relations</t>
  </si>
  <si>
    <t>Business License &amp; Permits</t>
  </si>
  <si>
    <t>USA MFD</t>
  </si>
  <si>
    <t>Developer Legal</t>
  </si>
  <si>
    <t>Interest prior to Conversion</t>
  </si>
  <si>
    <t>Construction Inspections</t>
  </si>
  <si>
    <t>USA Multi-Family Management</t>
  </si>
  <si>
    <t>CMFA Recycled Tax Exempt Bonds (Citi)</t>
  </si>
  <si>
    <t>Above residual receipts line for cash flow</t>
  </si>
  <si>
    <t>Issuer Fee</t>
  </si>
  <si>
    <t>City of Santa Rosa</t>
  </si>
  <si>
    <t>Low Resource</t>
  </si>
  <si>
    <t>Kinetic Valuation Group</t>
  </si>
  <si>
    <t>I/O</t>
  </si>
  <si>
    <t>Variable</t>
  </si>
  <si>
    <t>Fixed</t>
  </si>
  <si>
    <t>3200 Douglas Blvd, Suite 200</t>
  </si>
  <si>
    <t>Subordinate cash flow financing</t>
  </si>
  <si>
    <t>NOI for operations</t>
  </si>
  <si>
    <t>Tax Exempt Permanent Bonds</t>
  </si>
  <si>
    <t>14131 Yorba Street</t>
  </si>
  <si>
    <t>Tustin</t>
  </si>
  <si>
    <t>Kenneth Robertson</t>
  </si>
  <si>
    <t>ksr@riversidecharitable.org</t>
  </si>
  <si>
    <t>246 First Street, 5th Floor</t>
  </si>
  <si>
    <t>San Francisco, CA 94105</t>
  </si>
  <si>
    <t>Michael Morrison</t>
  </si>
  <si>
    <t>mike.morrison@novoco.com</t>
  </si>
  <si>
    <t>WNC</t>
  </si>
  <si>
    <t>17782 Sky Park Circle</t>
  </si>
  <si>
    <t>Irvine, CA 92614</t>
  </si>
  <si>
    <t>Jessica Captanis</t>
  </si>
  <si>
    <t>jcaptanis@wncinc.com</t>
  </si>
  <si>
    <t>2484 Natomas Park Drive, Ste 100</t>
  </si>
  <si>
    <t>Sacramento, CA 95833</t>
  </si>
  <si>
    <t>11060 Oak Street, Ste 6</t>
  </si>
  <si>
    <t>Omaha, NE 68144</t>
  </si>
  <si>
    <t>jay@kvgteam.com</t>
  </si>
  <si>
    <t>Jay Wortmann</t>
  </si>
  <si>
    <t>Provided</t>
  </si>
  <si>
    <t>Not Applicable</t>
  </si>
  <si>
    <t>NA</t>
  </si>
  <si>
    <t>325 E. Hillcrest, Suite 160</t>
  </si>
  <si>
    <t>Thousand Oaks, CA 91360</t>
  </si>
  <si>
    <t>805-557-0933</t>
  </si>
  <si>
    <t>Tax Exempt Loan</t>
  </si>
  <si>
    <t>Taxable Loan</t>
  </si>
  <si>
    <t>Tax Exempt Recycled Bonds</t>
  </si>
  <si>
    <t>Irvine</t>
  </si>
  <si>
    <t>949-439-2616</t>
  </si>
  <si>
    <t>3200 Douglas Blvd., Ste 200</t>
  </si>
  <si>
    <t>916-724-3836</t>
  </si>
  <si>
    <t>Megan Basinger</t>
  </si>
  <si>
    <t>Housing and Community Services Manager</t>
  </si>
  <si>
    <t>90 Santa Rosa Ave./P.O. Box 1806</t>
  </si>
  <si>
    <t>mbasinger@srcity.org</t>
  </si>
  <si>
    <t>3 and 4 story elevator served buildings.Mix of building types.  Two 3-story walk-up buildings; One 4-story building with elevator</t>
  </si>
  <si>
    <t>incl.</t>
  </si>
  <si>
    <t>Medium High Density Residential 17-30 units/acre</t>
  </si>
  <si>
    <t>R-3-30</t>
  </si>
  <si>
    <t>45'</t>
  </si>
  <si>
    <t>1.6:1</t>
  </si>
  <si>
    <t>Barbie Robinson</t>
  </si>
  <si>
    <t>Interim Executive Director</t>
  </si>
  <si>
    <t>CA 95403</t>
  </si>
  <si>
    <t>1440 Guerneville Road, Santa Rosa</t>
  </si>
  <si>
    <t>1440 Guerneville Road</t>
  </si>
  <si>
    <t>Santa Rosa, CA  95403</t>
  </si>
  <si>
    <t>USA Multi-Family Development, Inc.</t>
  </si>
  <si>
    <t>Citibank, N.A.</t>
  </si>
  <si>
    <t>Citibank, N.A. -  Tax Exempt Bonds</t>
  </si>
  <si>
    <t>Citibank, N.A. -  Taxable Loan</t>
  </si>
  <si>
    <t>Citibank, N.A. -  Tax Exempt Recycled Bonds</t>
  </si>
  <si>
    <t>Sonoma County Community Development Commission</t>
  </si>
  <si>
    <t>84 hours/yr</t>
  </si>
  <si>
    <t>182 hours/yr</t>
  </si>
  <si>
    <t>Operations</t>
  </si>
  <si>
    <t>LifeSTEPS</t>
  </si>
  <si>
    <t>USA College Creek 669, Inc. (to be formed upon allocation)</t>
  </si>
  <si>
    <t>Seller Carryback</t>
  </si>
  <si>
    <t>Subordinated Prop Mgmt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</si>
</sst>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9780">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9" fillId="0" borderId="0" applyFont="0" applyFill="0" applyBorder="0" applyAlignment="0" applyProtection="0"/>
    <xf numFmtId="43" fontId="16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12" fillId="0" borderId="0" xfId="570" applyFont="1" applyAlignment="1" applyProtection="1">
      <alignment horizontal="left" vertical="top" wrapText="1"/>
    </xf>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6"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164" fontId="12" fillId="0" borderId="0" xfId="4496" applyNumberFormat="1" applyFont="1" applyFill="1" applyBorder="1" applyAlignment="1" applyProtection="1">
      <alignment horizontal="left" vertical="top"/>
    </xf>
    <xf numFmtId="164" fontId="12" fillId="0" borderId="0" xfId="4496" applyNumberFormat="1" applyFont="1" applyFill="1" applyBorder="1" applyAlignment="1" applyProtection="1">
      <alignment horizontal="lef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7"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4" fontId="12" fillId="0" borderId="0" xfId="1193" applyNumberFormat="1" applyFont="1" applyFill="1" applyAlignment="1" applyProtection="1">
      <alignment horizontal="left" vertical="top" wrapText="1"/>
    </xf>
    <xf numFmtId="0" fontId="30" fillId="0" borderId="0" xfId="0" applyFont="1" applyFill="1" applyAlignment="1">
      <alignment horizontal="left"/>
    </xf>
    <xf numFmtId="0" fontId="30" fillId="0" borderId="0" xfId="0" applyFont="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4" fontId="12" fillId="0" borderId="0" xfId="1193" applyNumberFormat="1" applyFont="1" applyFill="1" applyAlignment="1" applyProtection="1">
      <alignment horizontal="left"/>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vertical="top" wrapText="1"/>
    </xf>
    <xf numFmtId="0" fontId="12"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2" fillId="0" borderId="0" xfId="0" applyNumberFormat="1" applyFont="1" applyFill="1" applyAlignment="1" applyProtection="1">
      <alignment horizontal="center"/>
    </xf>
    <xf numFmtId="0" fontId="12" fillId="0" borderId="0" xfId="1193" applyFont="1" applyAlignment="1">
      <alignment horizontal="left" wrapText="1"/>
    </xf>
    <xf numFmtId="49" fontId="12" fillId="0" borderId="0" xfId="1193" applyNumberFormat="1" applyFont="1" applyAlignment="1">
      <alignment horizontal="center"/>
    </xf>
    <xf numFmtId="49" fontId="12" fillId="0" borderId="0" xfId="1193" applyNumberFormat="1" applyFont="1" applyFill="1"/>
    <xf numFmtId="49" fontId="12" fillId="0" borderId="0" xfId="1193" applyNumberFormat="1" applyFont="1" applyAlignment="1" applyProtection="1">
      <alignment horizontal="center"/>
    </xf>
    <xf numFmtId="0" fontId="42" fillId="0" borderId="0" xfId="0" applyFont="1" applyAlignment="1">
      <alignment horizontal="left"/>
    </xf>
    <xf numFmtId="49" fontId="12" fillId="0" borderId="0" xfId="0" applyNumberFormat="1" applyFont="1" applyAlignment="1">
      <alignment horizontal="left" vertical="top" wrapText="1"/>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49" fillId="5" borderId="11" xfId="0" applyFont="1" applyFill="1" applyBorder="1" applyAlignment="1" applyProtection="1">
      <alignment horizontal="righ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60" fillId="0" borderId="0" xfId="570" applyFont="1" applyAlignment="1">
      <alignment horizontal="center"/>
    </xf>
    <xf numFmtId="0" fontId="12" fillId="0" borderId="0" xfId="570" applyAlignment="1"/>
    <xf numFmtId="0" fontId="27" fillId="0" borderId="0" xfId="570" applyFont="1" applyAlignment="1">
      <alignment horizontal="center"/>
    </xf>
    <xf numFmtId="0" fontId="12" fillId="0" borderId="0" xfId="570" applyFont="1" applyAlignment="1">
      <alignment horizontal="left" wrapText="1"/>
    </xf>
    <xf numFmtId="0" fontId="12" fillId="0" borderId="0" xfId="570" applyAlignment="1">
      <alignment horizontal="left" wrapText="1"/>
    </xf>
    <xf numFmtId="0" fontId="12" fillId="0" borderId="0" xfId="1193" applyFont="1" applyAlignment="1">
      <alignment wrapText="1"/>
    </xf>
    <xf numFmtId="0" fontId="12" fillId="0" borderId="0" xfId="1193" applyAlignment="1">
      <alignment wrapText="1"/>
    </xf>
    <xf numFmtId="0" fontId="12" fillId="0" borderId="0" xfId="570" applyFont="1" applyAlignment="1"/>
    <xf numFmtId="0" fontId="12" fillId="0" borderId="0" xfId="570" applyFont="1" applyAlignment="1" applyProtection="1">
      <alignment horizontal="left" vertical="top" wrapText="1"/>
    </xf>
    <xf numFmtId="0" fontId="12" fillId="0" borderId="0" xfId="570" applyFont="1" applyAlignment="1" applyProtection="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30" fillId="0" borderId="0" xfId="570" applyFont="1" applyAlignment="1">
      <alignment horizontal="left" wrapText="1"/>
    </xf>
    <xf numFmtId="0" fontId="12" fillId="0" borderId="0" xfId="570" applyFont="1" applyFill="1" applyAlignment="1" applyProtection="1">
      <alignment horizontal="left" vertical="top" wrapText="1"/>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30" fillId="0" borderId="0" xfId="570" applyFont="1" applyAlignment="1" applyProtection="1">
      <alignment horizontal="center"/>
    </xf>
    <xf numFmtId="0" fontId="12" fillId="0" borderId="0" xfId="570" applyFont="1" applyAlignment="1" applyProtection="1"/>
    <xf numFmtId="0" fontId="30" fillId="0" borderId="0" xfId="570" applyFont="1" applyFill="1" applyAlignment="1">
      <alignment horizontal="center"/>
    </xf>
    <xf numFmtId="0" fontId="12" fillId="0" borderId="0" xfId="570" applyFill="1" applyAlignment="1">
      <alignment horizontal="center"/>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570" applyFont="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19" fillId="0" borderId="0" xfId="0" applyFont="1" applyBorder="1" applyAlignment="1">
      <alignment horizontal="left" vertical="top"/>
    </xf>
    <xf numFmtId="0" fontId="19" fillId="0" borderId="0" xfId="0" applyFont="1" applyAlignment="1">
      <alignment horizontal="left" vertical="top"/>
    </xf>
    <xf numFmtId="0" fontId="12" fillId="0" borderId="0" xfId="0" quotePrefix="1" applyFont="1" applyAlignment="1">
      <alignment horizontal="left" vertical="top" wrapText="1"/>
    </xf>
    <xf numFmtId="0" fontId="30"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quotePrefix="1" applyFont="1" applyAlignment="1">
      <alignment horizontal="left" vertical="top"/>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0" fontId="12" fillId="0" borderId="0" xfId="1193" applyFont="1" applyAlignment="1">
      <alignment horizontal="left" wrapText="1"/>
    </xf>
    <xf numFmtId="49" fontId="12" fillId="0" borderId="0" xfId="0" applyNumberFormat="1" applyFont="1" applyAlignment="1">
      <alignment horizontal="left" vertical="top" wrapText="1"/>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168" fontId="0" fillId="5" borderId="6" xfId="0" applyNumberFormat="1" applyFill="1" applyBorder="1" applyAlignment="1" applyProtection="1">
      <alignment horizontal="right"/>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44" borderId="6"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5" borderId="4" xfId="0"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0" borderId="4" xfId="0" applyFont="1" applyBorder="1" applyAlignment="1" applyProtection="1">
      <alignment horizontal="left"/>
    </xf>
    <xf numFmtId="0" fontId="12" fillId="0" borderId="5" xfId="0" applyFont="1" applyBorder="1" applyAlignment="1" applyProtection="1">
      <alignment horizontal="left"/>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20" fillId="44" borderId="6" xfId="0" applyFont="1" applyFill="1" applyBorder="1" applyAlignment="1" applyProtection="1">
      <alignment horizontal="left"/>
      <protection locked="0"/>
    </xf>
    <xf numFmtId="0" fontId="19" fillId="0" borderId="3" xfId="0" applyFont="1" applyFill="1" applyBorder="1" applyAlignment="1" applyProtection="1">
      <alignment horizontal="center"/>
    </xf>
    <xf numFmtId="0" fontId="19" fillId="0" borderId="0" xfId="0" applyFont="1" applyAlignment="1" applyProtection="1">
      <alignment horizontal="center"/>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6" fontId="21" fillId="5" borderId="4" xfId="0" applyNumberFormat="1"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Fill="1" applyBorder="1" applyAlignment="1" applyProtection="1">
      <alignment horizontal="center"/>
      <protection locked="0"/>
    </xf>
    <xf numFmtId="0" fontId="12" fillId="0" borderId="6" xfId="0" applyFont="1" applyBorder="1" applyAlignment="1" applyProtection="1">
      <alignment horizontal="center"/>
      <protection locked="0"/>
    </xf>
    <xf numFmtId="0" fontId="12" fillId="5" borderId="6" xfId="244" applyFont="1" applyFill="1" applyBorder="1" applyAlignment="1" applyProtection="1">
      <alignment horizontal="left"/>
      <protection locked="0"/>
    </xf>
    <xf numFmtId="168" fontId="21" fillId="0" borderId="6" xfId="0" applyNumberFormat="1"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21" fillId="5" borderId="6" xfId="0" applyFont="1" applyFill="1" applyBorder="1" applyAlignment="1" applyProtection="1">
      <alignment horizontal="lef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1" fillId="5" borderId="4"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2" fillId="0" borderId="0" xfId="543" applyNumberFormat="1" applyFont="1" applyFill="1" applyBorder="1" applyAlignment="1" applyProtection="1">
      <alignment horizontal="center" vertical="center"/>
    </xf>
    <xf numFmtId="0" fontId="12" fillId="0" borderId="6" xfId="543" applyFont="1" applyBorder="1" applyAlignment="1" applyProtection="1">
      <alignment horizontal="left"/>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5" xfId="0" applyFont="1" applyFill="1" applyBorder="1" applyAlignment="1" applyProtection="1">
      <alignment horizontal="center"/>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4" borderId="4" xfId="0"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31" fillId="5" borderId="6" xfId="0" applyFont="1" applyFill="1" applyBorder="1" applyAlignment="1" applyProtection="1">
      <alignment horizontal="left"/>
      <protection locked="0"/>
    </xf>
    <xf numFmtId="1" fontId="21" fillId="5" borderId="6"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10" fontId="21"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6" fontId="0" fillId="5" borderId="6" xfId="0" applyNumberFormat="1" applyFill="1" applyBorder="1" applyAlignment="1" applyProtection="1">
      <alignment horizontal="left"/>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0" fontId="21" fillId="0" borderId="6" xfId="0" applyFont="1" applyFill="1" applyBorder="1" applyAlignment="1" applyProtection="1">
      <alignment horizontal="left" wrapText="1"/>
    </xf>
    <xf numFmtId="166" fontId="12" fillId="5" borderId="6" xfId="0" applyNumberFormat="1"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44" borderId="6" xfId="0" applyNumberFormat="1" applyFill="1" applyBorder="1" applyAlignment="1" applyProtection="1">
      <alignment horizontal="right"/>
      <protection locked="0"/>
    </xf>
    <xf numFmtId="0" fontId="12" fillId="0" borderId="6" xfId="0" applyFont="1" applyFill="1" applyBorder="1" applyAlignment="1" applyProtection="1">
      <alignment horizontal="left"/>
      <protection locked="0"/>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244" applyFill="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0" borderId="11"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0" borderId="11" xfId="0" applyFont="1" applyFill="1" applyBorder="1" applyAlignment="1" applyProtection="1">
      <alignment horizontal="center" vertical="top" wrapText="1"/>
    </xf>
    <xf numFmtId="0" fontId="21" fillId="5" borderId="6" xfId="271" applyFont="1" applyFill="1" applyBorder="1" applyAlignment="1" applyProtection="1">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0" borderId="3" xfId="0" applyFont="1" applyBorder="1" applyAlignment="1" applyProtection="1">
      <alignment horizontal="lef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171" fontId="12"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2" fillId="0" borderId="0" xfId="543" applyNumberFormat="1" applyFont="1" applyFill="1" applyBorder="1" applyAlignment="1" applyProtection="1">
      <alignment horizontal="center"/>
    </xf>
    <xf numFmtId="0" fontId="19"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0" xfId="543" applyFont="1" applyFill="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21" fillId="2" borderId="11" xfId="0" applyFont="1" applyFill="1" applyBorder="1" applyAlignment="1" applyProtection="1">
      <alignment horizontal="center"/>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5" fontId="21" fillId="0" borderId="0" xfId="544" applyNumberFormat="1" applyFont="1" applyBorder="1" applyAlignment="1" applyProtection="1">
      <alignment horizontal="center" vertical="center" wrapText="1"/>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1" fontId="12" fillId="0" borderId="0" xfId="543" applyNumberFormat="1" applyFont="1" applyAlignment="1" applyProtection="1">
      <alignment horizont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8" fillId="3" borderId="0" xfId="0" applyFont="1" applyFill="1" applyBorder="1" applyAlignment="1" applyProtection="1">
      <alignment horizontal="center" vertic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168" fontId="12" fillId="0" borderId="11" xfId="543" applyNumberFormat="1" applyFont="1" applyFill="1" applyBorder="1" applyAlignment="1" applyProtection="1">
      <alignment horizontal="center"/>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0" fillId="5" borderId="3" xfId="0" quotePrefix="1" applyNumberForma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0" fillId="0" borderId="11" xfId="0"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0" borderId="11" xfId="0"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14" fontId="154" fillId="48" borderId="73" xfId="4501" applyNumberFormat="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54" fillId="48" borderId="68"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79"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45" borderId="81"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60" fillId="48" borderId="82"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74"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49" fillId="45" borderId="3"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14" fontId="154" fillId="48" borderId="75" xfId="4501" applyNumberFormat="1"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0" fontId="154" fillId="48" borderId="95"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50" fillId="48" borderId="11" xfId="4501" applyFont="1" applyFill="1" applyBorder="1" applyAlignment="1" applyProtection="1">
      <alignment horizontal="center"/>
      <protection locked="0"/>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98"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149" fillId="45" borderId="94"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81" xfId="4501" applyFont="1" applyFill="1" applyBorder="1" applyAlignment="1" applyProtection="1">
      <alignment horizontal="center"/>
      <protection locked="0"/>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45"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0" borderId="2" xfId="4496" applyFont="1" applyFill="1" applyBorder="1" applyAlignment="1">
      <alignment horizontal="center"/>
    </xf>
    <xf numFmtId="0" fontId="28" fillId="0" borderId="6" xfId="4496" applyFont="1" applyFill="1" applyBorder="1" applyAlignment="1">
      <alignment horizontal="center"/>
    </xf>
    <xf numFmtId="0" fontId="19" fillId="0" borderId="11"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3"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0" xfId="4496" applyFont="1" applyFill="1" applyBorder="1" applyAlignment="1" applyProtection="1">
      <alignment horizontal="left" vertical="top" wrapText="1"/>
    </xf>
    <xf numFmtId="0" fontId="12" fillId="5" borderId="6" xfId="1193" applyFont="1" applyFill="1" applyBorder="1" applyAlignment="1" applyProtection="1">
      <alignment horizontal="left"/>
      <protection locked="0"/>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45"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2" fillId="0" borderId="4" xfId="4496"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164" fontId="12" fillId="0" borderId="50" xfId="4496" applyNumberFormat="1" applyFont="1" applyFill="1" applyBorder="1" applyAlignment="1" applyProtection="1">
      <alignment horizontal="left" vertical="top" wrapText="1"/>
    </xf>
    <xf numFmtId="164" fontId="12" fillId="0" borderId="51" xfId="4496" applyNumberFormat="1" applyFont="1" applyFill="1" applyBorder="1" applyAlignment="1" applyProtection="1">
      <alignment horizontal="left" vertical="top" wrapText="1"/>
    </xf>
    <xf numFmtId="164" fontId="12" fillId="0" borderId="52" xfId="4496" applyNumberFormat="1" applyFont="1" applyFill="1" applyBorder="1" applyAlignment="1" applyProtection="1">
      <alignment horizontal="left" vertical="top" wrapText="1"/>
    </xf>
    <xf numFmtId="164" fontId="12" fillId="0" borderId="57" xfId="4496" applyNumberFormat="1" applyFont="1" applyFill="1" applyBorder="1" applyAlignment="1" applyProtection="1">
      <alignment horizontal="left" vertical="top" wrapText="1"/>
    </xf>
    <xf numFmtId="164" fontId="12" fillId="0" borderId="58" xfId="4496" applyNumberFormat="1" applyFont="1" applyFill="1" applyBorder="1" applyAlignment="1" applyProtection="1">
      <alignment horizontal="left" vertical="top" wrapText="1"/>
    </xf>
    <xf numFmtId="164" fontId="12" fillId="0" borderId="59" xfId="4496" applyNumberFormat="1"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68" fontId="12" fillId="44" borderId="6" xfId="1193" applyNumberFormat="1" applyFont="1" applyFill="1" applyBorder="1" applyAlignment="1" applyProtection="1">
      <alignment horizontal="right"/>
      <protection locked="0"/>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2" fillId="0" borderId="11" xfId="4496" applyNumberFormat="1" applyFont="1" applyFill="1" applyBorder="1" applyAlignment="1" applyProtection="1">
      <alignment horizontal="center"/>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29780">
    <cellStyle name="20% - Accent1" xfId="1" builtinId="30" customBuiltin="1"/>
    <cellStyle name="20% - Accent1 10" xfId="4507" xr:uid="{00000000-0005-0000-0000-000001000000}"/>
    <cellStyle name="20% - Accent1 10 2" xfId="12936" xr:uid="{B7FC5B2F-50E8-4F11-8C15-A831A6723F1F}"/>
    <cellStyle name="20% - Accent1 10 3" xfId="25569" xr:uid="{7BF60157-A3F2-4E25-9C8B-AE171058BE79}"/>
    <cellStyle name="20% - Accent1 11" xfId="8718" xr:uid="{B491AB3C-66C7-439C-9677-39644A953A8A}"/>
    <cellStyle name="20% - Accent1 11 2" xfId="21358" xr:uid="{B16AEFC6-62E2-458B-ADF4-6459C76BDC3F}"/>
    <cellStyle name="20% - Accent1 12" xfId="17147" xr:uid="{7DB8BCA2-5EB4-412F-B9C4-D6432DBF5846}"/>
    <cellStyle name="20% - Accent1 2" xfId="2" xr:uid="{00000000-0005-0000-0000-000002000000}"/>
    <cellStyle name="20% - Accent1 2 10" xfId="8719" xr:uid="{1B1DDB37-6C20-4B0F-9BD4-51A464748CE6}"/>
    <cellStyle name="20% - Accent1 2 10 2" xfId="21359" xr:uid="{50ED4D07-A79F-4FF4-9F88-43FC7FB618EF}"/>
    <cellStyle name="20% - Accent1 2 11" xfId="17148" xr:uid="{1170AF7E-6792-4996-AAD4-7A00A4E7E189}"/>
    <cellStyle name="20% - Accent1 2 2" xfId="3" xr:uid="{00000000-0005-0000-0000-000003000000}"/>
    <cellStyle name="20% - Accent1 2 2 10" xfId="17149" xr:uid="{BD127CCC-AB8B-414C-9172-1919B08C6052}"/>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789D0952-5133-42A1-9FC6-0AF7DB68B7DA}"/>
    <cellStyle name="20% - Accent1 2 2 2 2 2 2 3" xfId="28131" xr:uid="{20F63044-44D0-4B7D-BC21-0A7DF20B6A3F}"/>
    <cellStyle name="20% - Accent1 2 2 2 2 2 3" xfId="11280" xr:uid="{A9593C46-6B85-4C57-AF93-9F8C77E076C2}"/>
    <cellStyle name="20% - Accent1 2 2 2 2 2 3 2" xfId="23920" xr:uid="{F1811E9F-8D24-4998-9EAB-7D6A7BC9106A}"/>
    <cellStyle name="20% - Accent1 2 2 2 2 2 4" xfId="19709" xr:uid="{4DB355A1-5898-48CF-9468-C8817BB3D962}"/>
    <cellStyle name="20% - Accent1 2 2 2 2 3" xfId="4924" xr:uid="{00000000-0005-0000-0000-000008000000}"/>
    <cellStyle name="20% - Accent1 2 2 2 2 3 2" xfId="13353" xr:uid="{0CE4DAAC-4F03-4757-A908-15C348FC05B8}"/>
    <cellStyle name="20% - Accent1 2 2 2 2 3 3" xfId="25986" xr:uid="{BD4AFB28-F79D-4EBF-AE5E-B6692D9FA8D3}"/>
    <cellStyle name="20% - Accent1 2 2 2 2 4" xfId="9135" xr:uid="{DAFE5E1F-2B8B-4EC9-A450-3BEE2A6F2B93}"/>
    <cellStyle name="20% - Accent1 2 2 2 2 4 2" xfId="21775" xr:uid="{EDB4EA62-EB7F-47A4-890D-2509FE01DDA0}"/>
    <cellStyle name="20% - Accent1 2 2 2 2 5" xfId="17564" xr:uid="{66657DD3-FA97-454F-B6C8-FDE67D741D74}"/>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70CAF2FC-2024-4E5D-9961-18FDC8641258}"/>
    <cellStyle name="20% - Accent1 2 2 2 3 2 2 3" xfId="28544" xr:uid="{201978BF-A278-4A74-A392-7020DC19683E}"/>
    <cellStyle name="20% - Accent1 2 2 2 3 2 3" xfId="11693" xr:uid="{040E0DDC-FBFC-4506-9C86-40511AC8E7A5}"/>
    <cellStyle name="20% - Accent1 2 2 2 3 2 3 2" xfId="24333" xr:uid="{83498A1B-019B-47E1-A807-1DA1E862B0EE}"/>
    <cellStyle name="20% - Accent1 2 2 2 3 2 4" xfId="20122" xr:uid="{294F5E45-D9F4-4FC5-A2A2-50DC742BE89F}"/>
    <cellStyle name="20% - Accent1 2 2 2 3 3" xfId="5337" xr:uid="{00000000-0005-0000-0000-00000C000000}"/>
    <cellStyle name="20% - Accent1 2 2 2 3 3 2" xfId="13766" xr:uid="{61ABD596-BF53-4329-AF6D-9D4ADA12E5B3}"/>
    <cellStyle name="20% - Accent1 2 2 2 3 3 3" xfId="26399" xr:uid="{8B39001B-612A-451E-B01C-80C5CAB0F7AE}"/>
    <cellStyle name="20% - Accent1 2 2 2 3 4" xfId="9548" xr:uid="{72372AFC-7F59-4454-BE4B-4BB32708F97E}"/>
    <cellStyle name="20% - Accent1 2 2 2 3 4 2" xfId="22188" xr:uid="{A9D4A0C1-B491-4B05-826E-F02F524FDB01}"/>
    <cellStyle name="20% - Accent1 2 2 2 3 5" xfId="17977" xr:uid="{94A1BC19-5DBB-44C5-B35F-5C464F4B1F0F}"/>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B0010C7B-4EB4-4856-AEF4-144E8E82A4EF}"/>
    <cellStyle name="20% - Accent1 2 2 2 4 2 2 3" xfId="28957" xr:uid="{8BC2893F-A170-41E9-A7FB-B47B01A72692}"/>
    <cellStyle name="20% - Accent1 2 2 2 4 2 3" xfId="12106" xr:uid="{DA3FF5CB-7001-4F5C-9A23-71491BF1FE91}"/>
    <cellStyle name="20% - Accent1 2 2 2 4 2 3 2" xfId="24746" xr:uid="{1A799272-35A9-4FB9-A0FC-D200B339A73C}"/>
    <cellStyle name="20% - Accent1 2 2 2 4 2 4" xfId="20535" xr:uid="{7A4A1D45-FD18-47C8-82A7-123B6517915A}"/>
    <cellStyle name="20% - Accent1 2 2 2 4 3" xfId="5750" xr:uid="{00000000-0005-0000-0000-000010000000}"/>
    <cellStyle name="20% - Accent1 2 2 2 4 3 2" xfId="14179" xr:uid="{DA4CE81D-1EFA-4752-A935-24F9C0C3C2A1}"/>
    <cellStyle name="20% - Accent1 2 2 2 4 3 3" xfId="26812" xr:uid="{9363AF98-5146-4FC5-99DC-726ECFFF3F17}"/>
    <cellStyle name="20% - Accent1 2 2 2 4 4" xfId="9961" xr:uid="{08CBE575-D4E2-47A3-92B4-FD582F5C56BF}"/>
    <cellStyle name="20% - Accent1 2 2 2 4 4 2" xfId="22601" xr:uid="{EE801AFE-1814-4CEE-9C97-67F30BF910F2}"/>
    <cellStyle name="20% - Accent1 2 2 2 4 5" xfId="18390" xr:uid="{8D9DC182-16CF-4A03-85D6-77990DD620A8}"/>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6FCDFA0A-BCAA-40CC-85F6-6D6AFC0F1E95}"/>
    <cellStyle name="20% - Accent1 2 2 2 5 2 2 3" xfId="29370" xr:uid="{0B3EC5EE-B076-4269-BEB1-60DCEE87E82A}"/>
    <cellStyle name="20% - Accent1 2 2 2 5 2 3" xfId="12519" xr:uid="{4F814019-4D46-4B2F-809C-430F46DDD93C}"/>
    <cellStyle name="20% - Accent1 2 2 2 5 2 3 2" xfId="25159" xr:uid="{83014414-1E44-4C0B-AAB9-BE9A6F591F54}"/>
    <cellStyle name="20% - Accent1 2 2 2 5 2 4" xfId="20948" xr:uid="{BE1E56FB-954C-4D28-80C9-FFD7F251AF7A}"/>
    <cellStyle name="20% - Accent1 2 2 2 5 3" xfId="6163" xr:uid="{00000000-0005-0000-0000-000014000000}"/>
    <cellStyle name="20% - Accent1 2 2 2 5 3 2" xfId="14592" xr:uid="{42604757-603E-41C1-A4C4-E11992D4F15E}"/>
    <cellStyle name="20% - Accent1 2 2 2 5 3 3" xfId="27225" xr:uid="{4EBA0A85-7890-4497-B35C-A1584CBE01BB}"/>
    <cellStyle name="20% - Accent1 2 2 2 5 4" xfId="10374" xr:uid="{8B4A7762-17E1-44F3-99BF-EEB2551D449C}"/>
    <cellStyle name="20% - Accent1 2 2 2 5 4 2" xfId="23014" xr:uid="{C2378F11-99EE-4F6C-8150-D76831C21F94}"/>
    <cellStyle name="20% - Accent1 2 2 2 5 5" xfId="18803" xr:uid="{5EF6F8E3-BC78-463B-9F00-3F79655EF384}"/>
    <cellStyle name="20% - Accent1 2 2 2 6" xfId="2268" xr:uid="{00000000-0005-0000-0000-000015000000}"/>
    <cellStyle name="20% - Accent1 2 2 2 6 2" xfId="6576" xr:uid="{00000000-0005-0000-0000-000016000000}"/>
    <cellStyle name="20% - Accent1 2 2 2 6 2 2" xfId="15005" xr:uid="{AA502979-3B26-4F5B-A0B7-DBC55F3EAF78}"/>
    <cellStyle name="20% - Accent1 2 2 2 6 2 3" xfId="27638" xr:uid="{0A148B5A-92C6-48B8-8718-DE0818B9E02E}"/>
    <cellStyle name="20% - Accent1 2 2 2 6 3" xfId="10787" xr:uid="{2478EA84-77BC-4EDA-BDC6-CA2997310DAC}"/>
    <cellStyle name="20% - Accent1 2 2 2 6 3 2" xfId="23427" xr:uid="{140B1475-D1B9-46D6-AAEC-66518040CDE9}"/>
    <cellStyle name="20% - Accent1 2 2 2 6 4" xfId="19216" xr:uid="{403CDA10-2226-4FB2-BC60-B567EE86863B}"/>
    <cellStyle name="20% - Accent1 2 2 2 7" xfId="4510" xr:uid="{00000000-0005-0000-0000-000017000000}"/>
    <cellStyle name="20% - Accent1 2 2 2 7 2" xfId="12939" xr:uid="{9D303B84-B3B6-4625-AB8C-0F9C9D0023DE}"/>
    <cellStyle name="20% - Accent1 2 2 2 7 3" xfId="25572" xr:uid="{461232AD-0F9F-434D-8414-EBDF537734E5}"/>
    <cellStyle name="20% - Accent1 2 2 2 8" xfId="8721" xr:uid="{C47F03BC-889C-44DE-9A20-121EEB5B6082}"/>
    <cellStyle name="20% - Accent1 2 2 2 8 2" xfId="21361" xr:uid="{A4B8BDA2-B745-4E6C-AFD8-A896DDF4F32E}"/>
    <cellStyle name="20% - Accent1 2 2 2 9" xfId="17150" xr:uid="{D4ABC015-631D-4175-AD14-98BC111BCE5D}"/>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FB75C42B-4906-40C9-ACD9-DFFB3D82BF45}"/>
    <cellStyle name="20% - Accent1 2 2 3 2 2 3" xfId="28130" xr:uid="{7C7904A7-2283-4B0B-AFF2-3B09259095C2}"/>
    <cellStyle name="20% - Accent1 2 2 3 2 3" xfId="11279" xr:uid="{33700933-929E-43AD-8272-F2226D481151}"/>
    <cellStyle name="20% - Accent1 2 2 3 2 3 2" xfId="23919" xr:uid="{BC493B90-4F2E-452B-8648-45559F15A3F6}"/>
    <cellStyle name="20% - Accent1 2 2 3 2 4" xfId="19708" xr:uid="{953B63E5-F4F9-49BE-B242-C1B09118C708}"/>
    <cellStyle name="20% - Accent1 2 2 3 3" xfId="4923" xr:uid="{00000000-0005-0000-0000-00001B000000}"/>
    <cellStyle name="20% - Accent1 2 2 3 3 2" xfId="13352" xr:uid="{383EED22-BEA0-4FE5-A941-1E13056B9B10}"/>
    <cellStyle name="20% - Accent1 2 2 3 3 3" xfId="25985" xr:uid="{FB6211FD-DEFB-4706-8962-1B14353F8993}"/>
    <cellStyle name="20% - Accent1 2 2 3 4" xfId="9134" xr:uid="{9F53367F-72C7-47BD-A884-FC03494E952E}"/>
    <cellStyle name="20% - Accent1 2 2 3 4 2" xfId="21774" xr:uid="{C40EAEB3-FDB5-478F-8EC5-58833E9B0AF5}"/>
    <cellStyle name="20% - Accent1 2 2 3 5" xfId="17563" xr:uid="{D7C2FFF6-CE77-409A-AA5C-38A382A426AE}"/>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5D7AF148-948C-4EF0-A29B-CBB4F3DDE7CF}"/>
    <cellStyle name="20% - Accent1 2 2 4 2 2 3" xfId="28543" xr:uid="{E0B0E283-4B86-4363-A37C-42962D7EB4A2}"/>
    <cellStyle name="20% - Accent1 2 2 4 2 3" xfId="11692" xr:uid="{46001B53-643C-4E31-BFAC-ADBA56522C16}"/>
    <cellStyle name="20% - Accent1 2 2 4 2 3 2" xfId="24332" xr:uid="{5A1ECAB3-8CDB-459A-BADB-DA2ADE2D5FEF}"/>
    <cellStyle name="20% - Accent1 2 2 4 2 4" xfId="20121" xr:uid="{0AC833B6-6B1A-46F7-B267-6B76CEEFD099}"/>
    <cellStyle name="20% - Accent1 2 2 4 3" xfId="5336" xr:uid="{00000000-0005-0000-0000-00001F000000}"/>
    <cellStyle name="20% - Accent1 2 2 4 3 2" xfId="13765" xr:uid="{9F16C141-449B-403D-900D-A3AAB54A0366}"/>
    <cellStyle name="20% - Accent1 2 2 4 3 3" xfId="26398" xr:uid="{7F10E5AF-7CAD-42BE-8F57-67910965433E}"/>
    <cellStyle name="20% - Accent1 2 2 4 4" xfId="9547" xr:uid="{BFCC1F3B-DC5A-4397-91EA-6F92266E0013}"/>
    <cellStyle name="20% - Accent1 2 2 4 4 2" xfId="22187" xr:uid="{807D4DCE-D726-44D4-BD34-ECC707F6FC92}"/>
    <cellStyle name="20% - Accent1 2 2 4 5" xfId="17976" xr:uid="{F4289DE0-729E-4E24-89D1-2E8244E89396}"/>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A4B1DE3E-625B-4E7B-88B9-2266896BF083}"/>
    <cellStyle name="20% - Accent1 2 2 5 2 2 3" xfId="28956" xr:uid="{E100C616-7208-4B56-90CB-70B0CA55370D}"/>
    <cellStyle name="20% - Accent1 2 2 5 2 3" xfId="12105" xr:uid="{BFBFEE8B-35AA-428A-8A44-1A79A2538F7D}"/>
    <cellStyle name="20% - Accent1 2 2 5 2 3 2" xfId="24745" xr:uid="{D42C2828-A89B-4EC2-AC45-80A5214383A1}"/>
    <cellStyle name="20% - Accent1 2 2 5 2 4" xfId="20534" xr:uid="{82FEAA13-B394-42AA-B5DF-5E37ED53941D}"/>
    <cellStyle name="20% - Accent1 2 2 5 3" xfId="5749" xr:uid="{00000000-0005-0000-0000-000023000000}"/>
    <cellStyle name="20% - Accent1 2 2 5 3 2" xfId="14178" xr:uid="{B640BC67-6B64-4EC6-859E-D7FB8C391BE9}"/>
    <cellStyle name="20% - Accent1 2 2 5 3 3" xfId="26811" xr:uid="{35135C46-E453-4935-B390-69CAD7B46B08}"/>
    <cellStyle name="20% - Accent1 2 2 5 4" xfId="9960" xr:uid="{FB2287BD-7CDD-4B39-92BE-FAD424D6D1B7}"/>
    <cellStyle name="20% - Accent1 2 2 5 4 2" xfId="22600" xr:uid="{9BAAD528-DF1B-4804-A35A-DD743C6F1DFE}"/>
    <cellStyle name="20% - Accent1 2 2 5 5" xfId="18389" xr:uid="{999169BC-581F-4D8B-9178-CB14A8BC4440}"/>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FD27542E-A7A7-47A5-A0E8-8FEDBDDA37D1}"/>
    <cellStyle name="20% - Accent1 2 2 6 2 2 3" xfId="29369" xr:uid="{0ABA87F8-E830-4DBD-AA48-6A758C9AF55F}"/>
    <cellStyle name="20% - Accent1 2 2 6 2 3" xfId="12518" xr:uid="{C3687C5F-0950-437E-9DF4-9E55D3854C2D}"/>
    <cellStyle name="20% - Accent1 2 2 6 2 3 2" xfId="25158" xr:uid="{36D88652-3301-4E42-8D04-1E2A4B4ACB76}"/>
    <cellStyle name="20% - Accent1 2 2 6 2 4" xfId="20947" xr:uid="{3BA01392-3E29-4364-B869-2A7FC42A53D0}"/>
    <cellStyle name="20% - Accent1 2 2 6 3" xfId="6162" xr:uid="{00000000-0005-0000-0000-000027000000}"/>
    <cellStyle name="20% - Accent1 2 2 6 3 2" xfId="14591" xr:uid="{0206E452-169A-4977-92F7-962A998EAB8B}"/>
    <cellStyle name="20% - Accent1 2 2 6 3 3" xfId="27224" xr:uid="{BCC9F41B-B7C8-4B3F-B876-5271D5F094A2}"/>
    <cellStyle name="20% - Accent1 2 2 6 4" xfId="10373" xr:uid="{5D4BD60B-31F5-41BE-B186-767CF98C0F05}"/>
    <cellStyle name="20% - Accent1 2 2 6 4 2" xfId="23013" xr:uid="{2E84CD99-587A-43C4-9731-3652FEB10737}"/>
    <cellStyle name="20% - Accent1 2 2 6 5" xfId="18802" xr:uid="{8AC711D9-C94B-4183-B01C-9EECCED5E8CC}"/>
    <cellStyle name="20% - Accent1 2 2 7" xfId="2267" xr:uid="{00000000-0005-0000-0000-000028000000}"/>
    <cellStyle name="20% - Accent1 2 2 7 2" xfId="6575" xr:uid="{00000000-0005-0000-0000-000029000000}"/>
    <cellStyle name="20% - Accent1 2 2 7 2 2" xfId="15004" xr:uid="{AA15285C-9C5C-4FD6-A8B4-4CB81E44B9F1}"/>
    <cellStyle name="20% - Accent1 2 2 7 2 3" xfId="27637" xr:uid="{881A7B6B-6423-490A-9CDE-EB51955D246B}"/>
    <cellStyle name="20% - Accent1 2 2 7 3" xfId="10786" xr:uid="{57E8D7BE-E463-453E-8C4A-7A4FDFEE0FA5}"/>
    <cellStyle name="20% - Accent1 2 2 7 3 2" xfId="23426" xr:uid="{E6A4B65A-6C8C-413C-B82D-78000ACCDC33}"/>
    <cellStyle name="20% - Accent1 2 2 7 4" xfId="19215" xr:uid="{D0C51FEF-37C1-4D43-99DF-4A65FAC82EF4}"/>
    <cellStyle name="20% - Accent1 2 2 8" xfId="4509" xr:uid="{00000000-0005-0000-0000-00002A000000}"/>
    <cellStyle name="20% - Accent1 2 2 8 2" xfId="12938" xr:uid="{55DD51F8-78C7-4FA9-B58D-AB0EE52F75CE}"/>
    <cellStyle name="20% - Accent1 2 2 8 3" xfId="25571" xr:uid="{22E1445A-F1D5-4D4E-9DAC-B674B438216F}"/>
    <cellStyle name="20% - Accent1 2 2 9" xfId="8720" xr:uid="{0BBD91CE-F7EA-4E83-AAA2-7E6904AB0BAC}"/>
    <cellStyle name="20% - Accent1 2 2 9 2" xfId="21360" xr:uid="{79C20D28-F25F-4C96-B1C2-4866E930D26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693799AD-F89D-4217-BDC4-17E7C8D1FBF3}"/>
    <cellStyle name="20% - Accent1 2 3 2 2 2 3" xfId="28132" xr:uid="{A7AC12B5-50C6-4321-A91B-DD8014CD87D2}"/>
    <cellStyle name="20% - Accent1 2 3 2 2 3" xfId="11281" xr:uid="{34413107-DF88-47A0-8958-51AB0F79FF44}"/>
    <cellStyle name="20% - Accent1 2 3 2 2 3 2" xfId="23921" xr:uid="{85C616B2-7F68-4ACB-BF1A-AC85136F9790}"/>
    <cellStyle name="20% - Accent1 2 3 2 2 4" xfId="19710" xr:uid="{39D7813D-71F3-4C28-881E-12464B66EBE0}"/>
    <cellStyle name="20% - Accent1 2 3 2 3" xfId="4925" xr:uid="{00000000-0005-0000-0000-00002F000000}"/>
    <cellStyle name="20% - Accent1 2 3 2 3 2" xfId="13354" xr:uid="{65D1BE1F-C560-4BD0-940A-FEB28405D925}"/>
    <cellStyle name="20% - Accent1 2 3 2 3 3" xfId="25987" xr:uid="{FB3FE8AD-55E4-489F-9F6E-32A65A461C3A}"/>
    <cellStyle name="20% - Accent1 2 3 2 4" xfId="9136" xr:uid="{7A2DDC96-588E-4189-8024-184614F665FF}"/>
    <cellStyle name="20% - Accent1 2 3 2 4 2" xfId="21776" xr:uid="{02E658C2-3340-4CBD-82C0-484E036ACE60}"/>
    <cellStyle name="20% - Accent1 2 3 2 5" xfId="17565" xr:uid="{9B4339AF-D77A-4111-9CE0-761928AB26B8}"/>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68FF9386-A5EB-46DC-86F2-D595478E8003}"/>
    <cellStyle name="20% - Accent1 2 3 3 2 2 3" xfId="28545" xr:uid="{1CBF83DA-57D5-4241-BCCA-2EB7C4CAE448}"/>
    <cellStyle name="20% - Accent1 2 3 3 2 3" xfId="11694" xr:uid="{8816EA71-0878-4CBA-8F4E-8094498B1833}"/>
    <cellStyle name="20% - Accent1 2 3 3 2 3 2" xfId="24334" xr:uid="{DF672FC2-F8AA-4A37-A881-FF8A762DCEC9}"/>
    <cellStyle name="20% - Accent1 2 3 3 2 4" xfId="20123" xr:uid="{E9A2D69E-0221-4496-BD60-1E89DDB0F277}"/>
    <cellStyle name="20% - Accent1 2 3 3 3" xfId="5338" xr:uid="{00000000-0005-0000-0000-000033000000}"/>
    <cellStyle name="20% - Accent1 2 3 3 3 2" xfId="13767" xr:uid="{F31D9C30-A59A-4C34-8843-94EF4B7B7F17}"/>
    <cellStyle name="20% - Accent1 2 3 3 3 3" xfId="26400" xr:uid="{8D5172C7-2A71-4BB1-A153-B68729AD1D96}"/>
    <cellStyle name="20% - Accent1 2 3 3 4" xfId="9549" xr:uid="{7D6EDCA2-CA93-451C-B565-0756D8D22A28}"/>
    <cellStyle name="20% - Accent1 2 3 3 4 2" xfId="22189" xr:uid="{B5234691-EF01-4C5F-88FC-A80B3A88AFB3}"/>
    <cellStyle name="20% - Accent1 2 3 3 5" xfId="17978" xr:uid="{9C62750D-83DA-43D2-8C59-D578CBC779DA}"/>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0337AA43-DA44-46A0-9425-E7D729E26A3C}"/>
    <cellStyle name="20% - Accent1 2 3 4 2 2 3" xfId="28958" xr:uid="{2AEED1AF-59DF-4EA1-A7EE-11E733AB59AD}"/>
    <cellStyle name="20% - Accent1 2 3 4 2 3" xfId="12107" xr:uid="{4FF3A0A6-A745-47D4-BBDC-5F39B923D955}"/>
    <cellStyle name="20% - Accent1 2 3 4 2 3 2" xfId="24747" xr:uid="{33CD4706-908F-466A-92E2-35EAC30734DB}"/>
    <cellStyle name="20% - Accent1 2 3 4 2 4" xfId="20536" xr:uid="{8F020FE9-554D-4826-8D68-B3DD959C595B}"/>
    <cellStyle name="20% - Accent1 2 3 4 3" xfId="5751" xr:uid="{00000000-0005-0000-0000-000037000000}"/>
    <cellStyle name="20% - Accent1 2 3 4 3 2" xfId="14180" xr:uid="{96F88063-B029-4FC6-BEB4-DF8610FEA074}"/>
    <cellStyle name="20% - Accent1 2 3 4 3 3" xfId="26813" xr:uid="{6B4866C9-BE24-41FD-9393-CB5EFE55C671}"/>
    <cellStyle name="20% - Accent1 2 3 4 4" xfId="9962" xr:uid="{73B68267-6FBC-45DD-BBE1-9D1C5BCD957E}"/>
    <cellStyle name="20% - Accent1 2 3 4 4 2" xfId="22602" xr:uid="{3F7209D0-882B-486A-B4A3-CBBF31C462F3}"/>
    <cellStyle name="20% - Accent1 2 3 4 5" xfId="18391" xr:uid="{C58D15A0-3157-461E-9D7A-80DBA05E987C}"/>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49748B34-B6E5-4AE1-8084-C274893A6DEC}"/>
    <cellStyle name="20% - Accent1 2 3 5 2 2 3" xfId="29371" xr:uid="{0EDBBEAB-6C11-499A-8E59-4F2BDAE42F65}"/>
    <cellStyle name="20% - Accent1 2 3 5 2 3" xfId="12520" xr:uid="{8E5A30CD-4585-42FA-8A48-50F3E8B1E549}"/>
    <cellStyle name="20% - Accent1 2 3 5 2 3 2" xfId="25160" xr:uid="{987D9071-F3E3-46F9-A581-96474E34C588}"/>
    <cellStyle name="20% - Accent1 2 3 5 2 4" xfId="20949" xr:uid="{53C5875C-6FA4-4E9D-8FB2-470513EF733B}"/>
    <cellStyle name="20% - Accent1 2 3 5 3" xfId="6164" xr:uid="{00000000-0005-0000-0000-00003B000000}"/>
    <cellStyle name="20% - Accent1 2 3 5 3 2" xfId="14593" xr:uid="{9A1F7EC9-8C1E-4B49-89A7-CFAF4A365D2A}"/>
    <cellStyle name="20% - Accent1 2 3 5 3 3" xfId="27226" xr:uid="{67412F98-F066-454F-B477-B86C000021C4}"/>
    <cellStyle name="20% - Accent1 2 3 5 4" xfId="10375" xr:uid="{1DFE09F2-CA25-4B54-8DFF-1F3D7B19E0B7}"/>
    <cellStyle name="20% - Accent1 2 3 5 4 2" xfId="23015" xr:uid="{2F04938E-6B57-4D3B-819D-6680CFF83A5A}"/>
    <cellStyle name="20% - Accent1 2 3 5 5" xfId="18804" xr:uid="{5C7741BF-EFBA-43A8-820C-D83440AF82CA}"/>
    <cellStyle name="20% - Accent1 2 3 6" xfId="2269" xr:uid="{00000000-0005-0000-0000-00003C000000}"/>
    <cellStyle name="20% - Accent1 2 3 6 2" xfId="6577" xr:uid="{00000000-0005-0000-0000-00003D000000}"/>
    <cellStyle name="20% - Accent1 2 3 6 2 2" xfId="15006" xr:uid="{A2C36068-CB54-415D-AE78-369957115B4E}"/>
    <cellStyle name="20% - Accent1 2 3 6 2 3" xfId="27639" xr:uid="{7D2475DF-D051-4932-9B22-B38A3D6860F4}"/>
    <cellStyle name="20% - Accent1 2 3 6 3" xfId="10788" xr:uid="{9748A060-B5AC-449D-A2BE-7AA578A1B5FB}"/>
    <cellStyle name="20% - Accent1 2 3 6 3 2" xfId="23428" xr:uid="{05780FC4-A366-43D4-83C1-326D3B514A33}"/>
    <cellStyle name="20% - Accent1 2 3 6 4" xfId="19217" xr:uid="{7A6AAD9E-BF43-48E2-BBB7-A005DDFC35F6}"/>
    <cellStyle name="20% - Accent1 2 3 7" xfId="4511" xr:uid="{00000000-0005-0000-0000-00003E000000}"/>
    <cellStyle name="20% - Accent1 2 3 7 2" xfId="12940" xr:uid="{C6D66933-39A6-4001-9FEA-7FC00F219689}"/>
    <cellStyle name="20% - Accent1 2 3 7 3" xfId="25573" xr:uid="{0B600397-C17D-4F11-A648-7E81DB79233A}"/>
    <cellStyle name="20% - Accent1 2 3 8" xfId="8722" xr:uid="{1A772921-EE11-4024-86EC-4A2C5E9DC261}"/>
    <cellStyle name="20% - Accent1 2 3 8 2" xfId="21362" xr:uid="{24E64155-0F41-49AA-A719-9A2E621FF170}"/>
    <cellStyle name="20% - Accent1 2 3 9" xfId="17151" xr:uid="{60A686ED-0E57-4B51-BAFD-259BBC284ED2}"/>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D89A724D-71AC-497B-A318-B28E6B27AE80}"/>
    <cellStyle name="20% - Accent1 2 4 2 2 3" xfId="28129" xr:uid="{AFA19F30-053D-4C8D-B009-2142CBA8A478}"/>
    <cellStyle name="20% - Accent1 2 4 2 3" xfId="11278" xr:uid="{AA4FDB9F-00C6-4B63-BC76-DE63A191C0D5}"/>
    <cellStyle name="20% - Accent1 2 4 2 3 2" xfId="23918" xr:uid="{1001A6AB-00AF-4EE9-B4CC-B48F9F5E2FD9}"/>
    <cellStyle name="20% - Accent1 2 4 2 4" xfId="19707" xr:uid="{016CBB4D-5A2B-48AB-B71A-B7B130443608}"/>
    <cellStyle name="20% - Accent1 2 4 3" xfId="4922" xr:uid="{00000000-0005-0000-0000-000042000000}"/>
    <cellStyle name="20% - Accent1 2 4 3 2" xfId="13351" xr:uid="{A3D7B1C4-A7EC-456C-A05A-6B6D192D5561}"/>
    <cellStyle name="20% - Accent1 2 4 3 3" xfId="25984" xr:uid="{1D1B8CA4-711B-4DC8-88D6-DEE0002F0075}"/>
    <cellStyle name="20% - Accent1 2 4 4" xfId="9133" xr:uid="{3602903A-8504-49B3-AAC0-371CB58F844E}"/>
    <cellStyle name="20% - Accent1 2 4 4 2" xfId="21773" xr:uid="{E845435E-74C9-4648-9014-314D29744FA5}"/>
    <cellStyle name="20% - Accent1 2 4 5" xfId="17562" xr:uid="{EA2FCB66-65DC-49CB-A136-EBBA7860EAA5}"/>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9A99C18A-09A6-4EF7-85E9-3808C9751E64}"/>
    <cellStyle name="20% - Accent1 2 5 2 2 3" xfId="28542" xr:uid="{F861AC3A-43FF-4F2A-A59F-508455ECDA59}"/>
    <cellStyle name="20% - Accent1 2 5 2 3" xfId="11691" xr:uid="{8FEBC4B9-B91C-47D0-8059-5613D3E87CC5}"/>
    <cellStyle name="20% - Accent1 2 5 2 3 2" xfId="24331" xr:uid="{B9CD3B6C-3C08-47C3-BEC2-A7C206B2D689}"/>
    <cellStyle name="20% - Accent1 2 5 2 4" xfId="20120" xr:uid="{C5C96B69-4F9F-4D3B-A60B-4DD13DD42898}"/>
    <cellStyle name="20% - Accent1 2 5 3" xfId="5335" xr:uid="{00000000-0005-0000-0000-000046000000}"/>
    <cellStyle name="20% - Accent1 2 5 3 2" xfId="13764" xr:uid="{3B692EE1-9366-4E5E-A726-A26DFDD93C25}"/>
    <cellStyle name="20% - Accent1 2 5 3 3" xfId="26397" xr:uid="{6DC1BFD3-49A8-4AC7-A591-E99124CF5D29}"/>
    <cellStyle name="20% - Accent1 2 5 4" xfId="9546" xr:uid="{66FC6645-B439-433B-8670-17B5518B3AF2}"/>
    <cellStyle name="20% - Accent1 2 5 4 2" xfId="22186" xr:uid="{BBFED7D9-2235-4F2B-AA63-19B0276B0AA7}"/>
    <cellStyle name="20% - Accent1 2 5 5" xfId="17975" xr:uid="{B6ACEBFB-7979-4E0F-9A96-4352D8C57E33}"/>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F0736684-3BE1-4165-A91A-8B84F68FEF84}"/>
    <cellStyle name="20% - Accent1 2 6 2 2 3" xfId="28955" xr:uid="{706BA325-F983-4A48-8752-6817DDC302E5}"/>
    <cellStyle name="20% - Accent1 2 6 2 3" xfId="12104" xr:uid="{E4EA0558-8DFE-4EF1-A783-F66FDA51D2E6}"/>
    <cellStyle name="20% - Accent1 2 6 2 3 2" xfId="24744" xr:uid="{CE4F87A3-6D11-40C2-B6C9-4E33B446D240}"/>
    <cellStyle name="20% - Accent1 2 6 2 4" xfId="20533" xr:uid="{5DC0A8C6-A45A-4C96-B4AD-489BACB9F9DA}"/>
    <cellStyle name="20% - Accent1 2 6 3" xfId="5748" xr:uid="{00000000-0005-0000-0000-00004A000000}"/>
    <cellStyle name="20% - Accent1 2 6 3 2" xfId="14177" xr:uid="{267B208E-B081-46BD-A218-1AD842E2B58C}"/>
    <cellStyle name="20% - Accent1 2 6 3 3" xfId="26810" xr:uid="{7981AF09-C5C7-48FE-A745-2BB337D2EEC8}"/>
    <cellStyle name="20% - Accent1 2 6 4" xfId="9959" xr:uid="{FB92B14D-3509-4FBC-928C-872078105EB8}"/>
    <cellStyle name="20% - Accent1 2 6 4 2" xfId="22599" xr:uid="{38115737-1FB4-4473-8702-2DE424CC14C9}"/>
    <cellStyle name="20% - Accent1 2 6 5" xfId="18388" xr:uid="{5370624B-AD6A-4A9B-8113-1A12992ACF37}"/>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1A8D85A2-041D-401C-BE46-2ADDCD13B10A}"/>
    <cellStyle name="20% - Accent1 2 7 2 2 3" xfId="29368" xr:uid="{313C2D35-1240-4F4C-967C-8B6880E9A39A}"/>
    <cellStyle name="20% - Accent1 2 7 2 3" xfId="12517" xr:uid="{E2CEAEF7-CE74-4185-ABEC-583414B7FFB3}"/>
    <cellStyle name="20% - Accent1 2 7 2 3 2" xfId="25157" xr:uid="{4DD815C2-6536-456B-A98C-A5EC585E56EA}"/>
    <cellStyle name="20% - Accent1 2 7 2 4" xfId="20946" xr:uid="{D9D62671-782E-433C-9537-1882AF7784B2}"/>
    <cellStyle name="20% - Accent1 2 7 3" xfId="6161" xr:uid="{00000000-0005-0000-0000-00004E000000}"/>
    <cellStyle name="20% - Accent1 2 7 3 2" xfId="14590" xr:uid="{21A3B892-BA5E-4C64-B6D9-0EB61A586530}"/>
    <cellStyle name="20% - Accent1 2 7 3 3" xfId="27223" xr:uid="{5532AD79-EF56-446D-96CB-EEFC00CA0566}"/>
    <cellStyle name="20% - Accent1 2 7 4" xfId="10372" xr:uid="{33ECB3D8-90D9-4D91-ACF6-3A65018A6386}"/>
    <cellStyle name="20% - Accent1 2 7 4 2" xfId="23012" xr:uid="{AEEFBEB5-C1F6-4BE5-B470-E77BF8C55CA2}"/>
    <cellStyle name="20% - Accent1 2 7 5" xfId="18801" xr:uid="{D8E7B269-8F0C-43D7-BCD4-DDDD26E971D4}"/>
    <cellStyle name="20% - Accent1 2 8" xfId="2266" xr:uid="{00000000-0005-0000-0000-00004F000000}"/>
    <cellStyle name="20% - Accent1 2 8 2" xfId="6574" xr:uid="{00000000-0005-0000-0000-000050000000}"/>
    <cellStyle name="20% - Accent1 2 8 2 2" xfId="15003" xr:uid="{DD7F3603-AE05-4CFF-97F2-83F71C64C92D}"/>
    <cellStyle name="20% - Accent1 2 8 2 3" xfId="27636" xr:uid="{EFA20B1D-C082-4B7A-BF97-3A8E522D70C1}"/>
    <cellStyle name="20% - Accent1 2 8 3" xfId="10785" xr:uid="{C3D7BC0E-1DD2-4569-8B71-215873E27FE5}"/>
    <cellStyle name="20% - Accent1 2 8 3 2" xfId="23425" xr:uid="{2CEA548A-21AD-4801-9B4E-0A6BB3AC5D3E}"/>
    <cellStyle name="20% - Accent1 2 8 4" xfId="19214" xr:uid="{EFAF1EAB-9250-49D1-B925-B1C03538CC58}"/>
    <cellStyle name="20% - Accent1 2 9" xfId="4508" xr:uid="{00000000-0005-0000-0000-000051000000}"/>
    <cellStyle name="20% - Accent1 2 9 2" xfId="12937" xr:uid="{C754C299-8394-45A3-8F1D-7935B6560C20}"/>
    <cellStyle name="20% - Accent1 2 9 3" xfId="25570" xr:uid="{AA1D5E11-A8EC-40EE-A400-B9F0C682B4C7}"/>
    <cellStyle name="20% - Accent1 3" xfId="6" xr:uid="{00000000-0005-0000-0000-000052000000}"/>
    <cellStyle name="20% - Accent1 3 10" xfId="17152" xr:uid="{1D42ED95-438F-4442-9D2D-8A707F9F90FC}"/>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DFC1B938-4CA8-4E0E-AB67-927C0ED65403}"/>
    <cellStyle name="20% - Accent1 3 2 2 2 2 3" xfId="28134" xr:uid="{367BC845-CBC0-4271-B8EB-8BB6A904388A}"/>
    <cellStyle name="20% - Accent1 3 2 2 2 3" xfId="11283" xr:uid="{ED7DA43F-F52E-449E-97EA-E18EF613902B}"/>
    <cellStyle name="20% - Accent1 3 2 2 2 3 2" xfId="23923" xr:uid="{4CF7CA33-5B0D-4560-A855-043F26CFAED6}"/>
    <cellStyle name="20% - Accent1 3 2 2 2 4" xfId="19712" xr:uid="{19C324B3-C8F2-46D8-AE95-CA76A13E0580}"/>
    <cellStyle name="20% - Accent1 3 2 2 3" xfId="4927" xr:uid="{00000000-0005-0000-0000-000057000000}"/>
    <cellStyle name="20% - Accent1 3 2 2 3 2" xfId="13356" xr:uid="{4D5C6539-E12C-4DB1-894C-1E3B6E92FB8F}"/>
    <cellStyle name="20% - Accent1 3 2 2 3 3" xfId="25989" xr:uid="{9B1BAA0C-DED7-4DFE-B891-FFA89BCF4E8F}"/>
    <cellStyle name="20% - Accent1 3 2 2 4" xfId="9138" xr:uid="{4EB5322A-2C23-4C63-9067-D2D92D6B7688}"/>
    <cellStyle name="20% - Accent1 3 2 2 4 2" xfId="21778" xr:uid="{535149D9-C5A7-47BE-AF34-E576F8080533}"/>
    <cellStyle name="20% - Accent1 3 2 2 5" xfId="17567" xr:uid="{17908488-F58B-40D5-B1DB-6544CBB64F5C}"/>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204B8FC2-D330-4B02-B9D9-A17B42DE3AE5}"/>
    <cellStyle name="20% - Accent1 3 2 3 2 2 3" xfId="28547" xr:uid="{CE3AA1BE-E28E-4C69-8705-F67429E03388}"/>
    <cellStyle name="20% - Accent1 3 2 3 2 3" xfId="11696" xr:uid="{D15FBE45-A3A8-4D5A-90F9-5AA4E1A4B4F1}"/>
    <cellStyle name="20% - Accent1 3 2 3 2 3 2" xfId="24336" xr:uid="{0B4A01E3-F7A5-4511-A397-D6EC3A21C8FA}"/>
    <cellStyle name="20% - Accent1 3 2 3 2 4" xfId="20125" xr:uid="{C8D95912-8B82-477F-ABE8-3AE516A6F455}"/>
    <cellStyle name="20% - Accent1 3 2 3 3" xfId="5340" xr:uid="{00000000-0005-0000-0000-00005B000000}"/>
    <cellStyle name="20% - Accent1 3 2 3 3 2" xfId="13769" xr:uid="{1A287059-1CE6-4DBD-91C3-F2230618F7DC}"/>
    <cellStyle name="20% - Accent1 3 2 3 3 3" xfId="26402" xr:uid="{0B13550E-27E7-4AEA-A40D-AC50DBFE65AD}"/>
    <cellStyle name="20% - Accent1 3 2 3 4" xfId="9551" xr:uid="{99FAE50A-BD63-49AF-8DCD-4B98342AEF0B}"/>
    <cellStyle name="20% - Accent1 3 2 3 4 2" xfId="22191" xr:uid="{0FD9EBFB-ECC9-4A7F-A50F-FF3CA4D53D2C}"/>
    <cellStyle name="20% - Accent1 3 2 3 5" xfId="17980" xr:uid="{A4DD7661-2184-41FC-BE26-FD8CD8C3AC52}"/>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88E1D085-C861-4718-912D-D5D26FD70B7F}"/>
    <cellStyle name="20% - Accent1 3 2 4 2 2 3" xfId="28960" xr:uid="{AD89B026-3E74-4A83-AE67-757C3CA1E048}"/>
    <cellStyle name="20% - Accent1 3 2 4 2 3" xfId="12109" xr:uid="{7BC4B5B3-4545-48D9-99BC-4277DCCCA3D4}"/>
    <cellStyle name="20% - Accent1 3 2 4 2 3 2" xfId="24749" xr:uid="{6051343E-60DC-4127-8164-0A91F28EA79F}"/>
    <cellStyle name="20% - Accent1 3 2 4 2 4" xfId="20538" xr:uid="{C566D89E-ABE0-4942-8FA2-B63614C60C86}"/>
    <cellStyle name="20% - Accent1 3 2 4 3" xfId="5753" xr:uid="{00000000-0005-0000-0000-00005F000000}"/>
    <cellStyle name="20% - Accent1 3 2 4 3 2" xfId="14182" xr:uid="{9B70DF31-B1DA-4E73-808E-41B001943972}"/>
    <cellStyle name="20% - Accent1 3 2 4 3 3" xfId="26815" xr:uid="{40214BBA-3141-47B4-A91A-A9E176463B57}"/>
    <cellStyle name="20% - Accent1 3 2 4 4" xfId="9964" xr:uid="{A56E68B1-9FED-4FDC-9201-875846ABB138}"/>
    <cellStyle name="20% - Accent1 3 2 4 4 2" xfId="22604" xr:uid="{3B21DA36-EBEF-4F90-9EEE-8E59C6D0F534}"/>
    <cellStyle name="20% - Accent1 3 2 4 5" xfId="18393" xr:uid="{C22C7D58-67D7-435F-A987-BAFF0DDE9232}"/>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276CFF65-B56D-43C8-A0C3-BA27ABE5D4C3}"/>
    <cellStyle name="20% - Accent1 3 2 5 2 2 3" xfId="29373" xr:uid="{F8A2CD07-A034-45EF-98AD-985656BA8EEC}"/>
    <cellStyle name="20% - Accent1 3 2 5 2 3" xfId="12522" xr:uid="{D6483FB1-BDBE-4CE5-A749-01E5BE37B155}"/>
    <cellStyle name="20% - Accent1 3 2 5 2 3 2" xfId="25162" xr:uid="{5687418E-1B7A-4A3C-A993-ED114636EB0B}"/>
    <cellStyle name="20% - Accent1 3 2 5 2 4" xfId="20951" xr:uid="{F4918FA9-D54F-4C49-8D23-C7F76BD4F42A}"/>
    <cellStyle name="20% - Accent1 3 2 5 3" xfId="6166" xr:uid="{00000000-0005-0000-0000-000063000000}"/>
    <cellStyle name="20% - Accent1 3 2 5 3 2" xfId="14595" xr:uid="{50335DC9-246D-4F49-8220-3289B5BE6CFA}"/>
    <cellStyle name="20% - Accent1 3 2 5 3 3" xfId="27228" xr:uid="{791C870D-3152-4D4B-88F7-DB0535A36DCE}"/>
    <cellStyle name="20% - Accent1 3 2 5 4" xfId="10377" xr:uid="{F2E54544-F045-4FA5-8091-D9B4E260FF9C}"/>
    <cellStyle name="20% - Accent1 3 2 5 4 2" xfId="23017" xr:uid="{12928000-A7E8-4D7C-B010-D09C7298DD7B}"/>
    <cellStyle name="20% - Accent1 3 2 5 5" xfId="18806" xr:uid="{108E51FD-06D6-43FF-88E8-8D7B2DB8C97D}"/>
    <cellStyle name="20% - Accent1 3 2 6" xfId="2271" xr:uid="{00000000-0005-0000-0000-000064000000}"/>
    <cellStyle name="20% - Accent1 3 2 6 2" xfId="6579" xr:uid="{00000000-0005-0000-0000-000065000000}"/>
    <cellStyle name="20% - Accent1 3 2 6 2 2" xfId="15008" xr:uid="{57943F70-7D3D-4DCD-8190-FF487229D8E7}"/>
    <cellStyle name="20% - Accent1 3 2 6 2 3" xfId="27641" xr:uid="{39CE7964-A6EB-4359-B53D-41E49ABBBCCE}"/>
    <cellStyle name="20% - Accent1 3 2 6 3" xfId="10790" xr:uid="{555EDB61-A7B7-4FBE-B43E-9EECF93C6686}"/>
    <cellStyle name="20% - Accent1 3 2 6 3 2" xfId="23430" xr:uid="{51E26ECF-5606-418A-898F-BC7234DB6208}"/>
    <cellStyle name="20% - Accent1 3 2 6 4" xfId="19219" xr:uid="{CDACFDF2-EFAB-4C9E-96B7-6D73A8D6F876}"/>
    <cellStyle name="20% - Accent1 3 2 7" xfId="4513" xr:uid="{00000000-0005-0000-0000-000066000000}"/>
    <cellStyle name="20% - Accent1 3 2 7 2" xfId="12942" xr:uid="{04C268F2-EA1C-4158-80B3-05A89C4EF85C}"/>
    <cellStyle name="20% - Accent1 3 2 7 3" xfId="25575" xr:uid="{9FB4D8C2-6E80-4BBA-96CD-7D4B15FCD491}"/>
    <cellStyle name="20% - Accent1 3 2 8" xfId="8724" xr:uid="{B8658ABD-24B9-4FED-B5E5-F76C8CEFF1FF}"/>
    <cellStyle name="20% - Accent1 3 2 8 2" xfId="21364" xr:uid="{D00422A1-1BA1-4E0E-A35A-9765CF5FACEE}"/>
    <cellStyle name="20% - Accent1 3 2 9" xfId="17153" xr:uid="{C232035F-F728-42E2-AB0B-14567E8A6799}"/>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FF079AC9-EB37-4357-B73E-1E477D78E208}"/>
    <cellStyle name="20% - Accent1 3 3 2 2 3" xfId="28133" xr:uid="{589900D0-242B-4602-9636-CBC290847D24}"/>
    <cellStyle name="20% - Accent1 3 3 2 3" xfId="11282" xr:uid="{9DBB7674-EEA8-433F-9A31-23816A222FC6}"/>
    <cellStyle name="20% - Accent1 3 3 2 3 2" xfId="23922" xr:uid="{8DECBE4B-421B-4630-96AE-B91FC47F7334}"/>
    <cellStyle name="20% - Accent1 3 3 2 4" xfId="19711" xr:uid="{6677089E-4993-45B6-B012-9D2D10102850}"/>
    <cellStyle name="20% - Accent1 3 3 3" xfId="4926" xr:uid="{00000000-0005-0000-0000-00006A000000}"/>
    <cellStyle name="20% - Accent1 3 3 3 2" xfId="13355" xr:uid="{C70CD34A-BA27-4519-83E5-2E8DFE59C660}"/>
    <cellStyle name="20% - Accent1 3 3 3 3" xfId="25988" xr:uid="{A9FF9804-0486-429C-A306-B3711E1DDF3C}"/>
    <cellStyle name="20% - Accent1 3 3 4" xfId="9137" xr:uid="{87EC61F1-ADDD-4953-B7CD-EE6E462CF95A}"/>
    <cellStyle name="20% - Accent1 3 3 4 2" xfId="21777" xr:uid="{39BC516E-C40D-493C-AEA7-8ABC13E3C133}"/>
    <cellStyle name="20% - Accent1 3 3 5" xfId="17566" xr:uid="{4045BA6A-5472-4334-BC26-B643B6EDB539}"/>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C0F20A95-E0D4-4DFD-9E9A-650000434DC6}"/>
    <cellStyle name="20% - Accent1 3 4 2 2 3" xfId="28546" xr:uid="{3658493F-638B-487F-9821-852AFFD24539}"/>
    <cellStyle name="20% - Accent1 3 4 2 3" xfId="11695" xr:uid="{A6C0B861-717D-449D-AC9C-91B5C4C131CB}"/>
    <cellStyle name="20% - Accent1 3 4 2 3 2" xfId="24335" xr:uid="{E64F5C67-570C-40B3-BB79-63372E21C036}"/>
    <cellStyle name="20% - Accent1 3 4 2 4" xfId="20124" xr:uid="{8EA4ED6B-6520-4567-8873-1D793DF14AAD}"/>
    <cellStyle name="20% - Accent1 3 4 3" xfId="5339" xr:uid="{00000000-0005-0000-0000-00006E000000}"/>
    <cellStyle name="20% - Accent1 3 4 3 2" xfId="13768" xr:uid="{64953792-0ABF-4740-9A6C-03CDDAFB8D77}"/>
    <cellStyle name="20% - Accent1 3 4 3 3" xfId="26401" xr:uid="{BD031C1E-5D0E-4E09-8B99-C2E953B4A5F3}"/>
    <cellStyle name="20% - Accent1 3 4 4" xfId="9550" xr:uid="{57D1B2B0-B557-4F4C-8D89-469EDD17EF6A}"/>
    <cellStyle name="20% - Accent1 3 4 4 2" xfId="22190" xr:uid="{46DAA2EC-084A-418F-9209-F77A2192BA59}"/>
    <cellStyle name="20% - Accent1 3 4 5" xfId="17979" xr:uid="{649DAC06-32A4-4795-BF2D-D09396CF207E}"/>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60FD60EF-C521-43DD-8303-FC17E75084F4}"/>
    <cellStyle name="20% - Accent1 3 5 2 2 3" xfId="28959" xr:uid="{65E06D26-1929-4C29-81BE-026D37DA0D61}"/>
    <cellStyle name="20% - Accent1 3 5 2 3" xfId="12108" xr:uid="{C41138D7-191A-4679-912A-EB61BDB3F223}"/>
    <cellStyle name="20% - Accent1 3 5 2 3 2" xfId="24748" xr:uid="{5371F8EA-679D-424B-8464-5BB108774F41}"/>
    <cellStyle name="20% - Accent1 3 5 2 4" xfId="20537" xr:uid="{39E31B59-82B4-475A-86FA-ADBC4E1E5338}"/>
    <cellStyle name="20% - Accent1 3 5 3" xfId="5752" xr:uid="{00000000-0005-0000-0000-000072000000}"/>
    <cellStyle name="20% - Accent1 3 5 3 2" xfId="14181" xr:uid="{92A3115E-11B2-47B5-881B-8DEC6021E74D}"/>
    <cellStyle name="20% - Accent1 3 5 3 3" xfId="26814" xr:uid="{603F6BD6-CD4D-4B02-8A37-DE8C339EE64D}"/>
    <cellStyle name="20% - Accent1 3 5 4" xfId="9963" xr:uid="{8480A776-E29D-464A-86F2-35019DA8CEA5}"/>
    <cellStyle name="20% - Accent1 3 5 4 2" xfId="22603" xr:uid="{2E13A4BD-D55C-402E-BFC0-612AFC581613}"/>
    <cellStyle name="20% - Accent1 3 5 5" xfId="18392" xr:uid="{EF7E7B97-698D-486D-93D3-60E34CDE8F31}"/>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7B2F387F-3A58-4A66-B0D3-81E12BEC1738}"/>
    <cellStyle name="20% - Accent1 3 6 2 2 3" xfId="29372" xr:uid="{B6D8E9AA-D9E0-4FBB-9706-E370CE4A7822}"/>
    <cellStyle name="20% - Accent1 3 6 2 3" xfId="12521" xr:uid="{345B3F9A-04E5-4E86-91D5-A14045AEDE40}"/>
    <cellStyle name="20% - Accent1 3 6 2 3 2" xfId="25161" xr:uid="{9558670A-CF4D-4884-A726-3B12C1EECD50}"/>
    <cellStyle name="20% - Accent1 3 6 2 4" xfId="20950" xr:uid="{44FC1EDC-957A-4059-911A-AD850FE28F37}"/>
    <cellStyle name="20% - Accent1 3 6 3" xfId="6165" xr:uid="{00000000-0005-0000-0000-000076000000}"/>
    <cellStyle name="20% - Accent1 3 6 3 2" xfId="14594" xr:uid="{42694CBC-B759-4A58-92A4-61EBFA8B0C22}"/>
    <cellStyle name="20% - Accent1 3 6 3 3" xfId="27227" xr:uid="{4790D356-8151-4EB5-9726-1A4C0506E8E8}"/>
    <cellStyle name="20% - Accent1 3 6 4" xfId="10376" xr:uid="{C2BC7050-709B-49F1-94AC-4F5BEDEA6218}"/>
    <cellStyle name="20% - Accent1 3 6 4 2" xfId="23016" xr:uid="{2C994390-2508-4A19-8541-F06660F7B86F}"/>
    <cellStyle name="20% - Accent1 3 6 5" xfId="18805" xr:uid="{7EE9922A-019E-4369-9227-A7E75FA3E51A}"/>
    <cellStyle name="20% - Accent1 3 7" xfId="2270" xr:uid="{00000000-0005-0000-0000-000077000000}"/>
    <cellStyle name="20% - Accent1 3 7 2" xfId="6578" xr:uid="{00000000-0005-0000-0000-000078000000}"/>
    <cellStyle name="20% - Accent1 3 7 2 2" xfId="15007" xr:uid="{964082F5-5A4D-48F6-A395-55322D7E9E98}"/>
    <cellStyle name="20% - Accent1 3 7 2 3" xfId="27640" xr:uid="{B84869DE-6BE4-4454-AB6C-21A803532CE9}"/>
    <cellStyle name="20% - Accent1 3 7 3" xfId="10789" xr:uid="{C0DA8C70-239E-4FC8-9984-B1907E369C52}"/>
    <cellStyle name="20% - Accent1 3 7 3 2" xfId="23429" xr:uid="{3D6D5F0E-87F8-4427-8BE8-FBD90D226C48}"/>
    <cellStyle name="20% - Accent1 3 7 4" xfId="19218" xr:uid="{A1FD598D-3B87-4780-AF30-BA84E5822974}"/>
    <cellStyle name="20% - Accent1 3 8" xfId="4512" xr:uid="{00000000-0005-0000-0000-000079000000}"/>
    <cellStyle name="20% - Accent1 3 8 2" xfId="12941" xr:uid="{0410896A-735E-4AC7-A77C-48047902DB59}"/>
    <cellStyle name="20% - Accent1 3 8 3" xfId="25574" xr:uid="{DD032BA6-870B-46B7-BB42-DD6C29ECDF17}"/>
    <cellStyle name="20% - Accent1 3 9" xfId="8723" xr:uid="{63638993-3C22-47BE-A30D-55D02454007E}"/>
    <cellStyle name="20% - Accent1 3 9 2" xfId="21363" xr:uid="{DDB77D9D-6F0C-40F0-89F6-9F4ADA0059EB}"/>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10C3166D-4D6F-4EE0-AF30-880E98D03ACE}"/>
    <cellStyle name="20% - Accent1 4 2 2 2 3" xfId="28135" xr:uid="{97A97AB8-54B7-4725-9560-4ED6D073826A}"/>
    <cellStyle name="20% - Accent1 4 2 2 3" xfId="11284" xr:uid="{E856502E-6A91-48DF-ACBC-0B32E37CA29C}"/>
    <cellStyle name="20% - Accent1 4 2 2 3 2" xfId="23924" xr:uid="{FED9F5FC-96AD-4919-874B-E6352743CC9D}"/>
    <cellStyle name="20% - Accent1 4 2 2 4" xfId="19713" xr:uid="{D89434D8-C9E3-4934-AB30-25369CF9F919}"/>
    <cellStyle name="20% - Accent1 4 2 3" xfId="4928" xr:uid="{00000000-0005-0000-0000-00007E000000}"/>
    <cellStyle name="20% - Accent1 4 2 3 2" xfId="13357" xr:uid="{AB81ABD6-0E3D-4BB3-A106-1F54EC95BCE0}"/>
    <cellStyle name="20% - Accent1 4 2 3 3" xfId="25990" xr:uid="{040E1B30-B080-4721-88AA-F586837369C9}"/>
    <cellStyle name="20% - Accent1 4 2 4" xfId="9139" xr:uid="{BCEB9A77-6D7F-4870-A06A-EBAC521812E1}"/>
    <cellStyle name="20% - Accent1 4 2 4 2" xfId="21779" xr:uid="{008F52D5-71B0-4943-924F-0967B40CE3B4}"/>
    <cellStyle name="20% - Accent1 4 2 5" xfId="17568" xr:uid="{E1073353-38E8-4F0F-BFD6-4A094364D9CD}"/>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8F12EFF4-D984-446B-8E3B-333F9CE317BB}"/>
    <cellStyle name="20% - Accent1 4 3 2 2 3" xfId="28548" xr:uid="{ED32E7D8-5B1A-4DAE-B997-8A9CB7820A1B}"/>
    <cellStyle name="20% - Accent1 4 3 2 3" xfId="11697" xr:uid="{D6084BB7-0EE0-47DE-B2B6-7088BF28641C}"/>
    <cellStyle name="20% - Accent1 4 3 2 3 2" xfId="24337" xr:uid="{48AA22C8-1AD6-4FF1-9F5C-53F1C92E5CFD}"/>
    <cellStyle name="20% - Accent1 4 3 2 4" xfId="20126" xr:uid="{FF7A21BB-93EC-4CB2-BBEB-33FA1E4985E5}"/>
    <cellStyle name="20% - Accent1 4 3 3" xfId="5341" xr:uid="{00000000-0005-0000-0000-000082000000}"/>
    <cellStyle name="20% - Accent1 4 3 3 2" xfId="13770" xr:uid="{FEB74D91-5471-4AD6-97DD-418445788B8E}"/>
    <cellStyle name="20% - Accent1 4 3 3 3" xfId="26403" xr:uid="{8740378E-E72A-4B13-8ED8-C58BCC446B0E}"/>
    <cellStyle name="20% - Accent1 4 3 4" xfId="9552" xr:uid="{0557D5B1-E8FB-4109-A9C7-70BF1F4A0AE2}"/>
    <cellStyle name="20% - Accent1 4 3 4 2" xfId="22192" xr:uid="{1F85EED1-2255-49FB-A00B-9961B380212C}"/>
    <cellStyle name="20% - Accent1 4 3 5" xfId="17981" xr:uid="{F95AA29C-FD13-4C4D-9058-FA87C7B917E8}"/>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AA46FEFC-5D8E-496C-97B0-73CF41472A34}"/>
    <cellStyle name="20% - Accent1 4 4 2 2 3" xfId="28961" xr:uid="{5D9714B4-972A-4D59-AF6C-4030C681FC49}"/>
    <cellStyle name="20% - Accent1 4 4 2 3" xfId="12110" xr:uid="{F2A10DBA-3308-4B63-915F-C3F3B3701161}"/>
    <cellStyle name="20% - Accent1 4 4 2 3 2" xfId="24750" xr:uid="{A7EFA764-D60A-404F-AB4C-2CEF3F42C5AD}"/>
    <cellStyle name="20% - Accent1 4 4 2 4" xfId="20539" xr:uid="{8FFF6591-ABE9-4974-8140-3276CCFAA46B}"/>
    <cellStyle name="20% - Accent1 4 4 3" xfId="5754" xr:uid="{00000000-0005-0000-0000-000086000000}"/>
    <cellStyle name="20% - Accent1 4 4 3 2" xfId="14183" xr:uid="{F654546F-0F9D-4EE6-B103-B633ABACA3C3}"/>
    <cellStyle name="20% - Accent1 4 4 3 3" xfId="26816" xr:uid="{465FA96A-1094-4C54-9649-BD46708D2E57}"/>
    <cellStyle name="20% - Accent1 4 4 4" xfId="9965" xr:uid="{ECB6B4ED-0D2E-41D4-AD33-CCFD15C45D82}"/>
    <cellStyle name="20% - Accent1 4 4 4 2" xfId="22605" xr:uid="{AD9A58CF-5E95-4E7C-904D-4560A696BE7B}"/>
    <cellStyle name="20% - Accent1 4 4 5" xfId="18394" xr:uid="{2431DC42-961C-488D-9F59-1DF197BBF23B}"/>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D9B3E903-ABFB-4026-B4B5-CE6A02BF1053}"/>
    <cellStyle name="20% - Accent1 4 5 2 2 3" xfId="29374" xr:uid="{D9FFE895-4999-4C18-B28E-C24383CF26B2}"/>
    <cellStyle name="20% - Accent1 4 5 2 3" xfId="12523" xr:uid="{B26EB904-C021-4231-AC3E-5F43D9064CBC}"/>
    <cellStyle name="20% - Accent1 4 5 2 3 2" xfId="25163" xr:uid="{29A171AF-E52A-4E57-A76C-324D14A9CAC2}"/>
    <cellStyle name="20% - Accent1 4 5 2 4" xfId="20952" xr:uid="{451CC533-C2E8-4EC8-8778-08312B3430FB}"/>
    <cellStyle name="20% - Accent1 4 5 3" xfId="6167" xr:uid="{00000000-0005-0000-0000-00008A000000}"/>
    <cellStyle name="20% - Accent1 4 5 3 2" xfId="14596" xr:uid="{238911CC-2A28-4984-A59B-31112ADFA823}"/>
    <cellStyle name="20% - Accent1 4 5 3 3" xfId="27229" xr:uid="{D192FE0F-631C-4595-9476-FE5A4F7EDC7B}"/>
    <cellStyle name="20% - Accent1 4 5 4" xfId="10378" xr:uid="{217C9F7E-7932-45DA-9ED0-D6A542F6AA3A}"/>
    <cellStyle name="20% - Accent1 4 5 4 2" xfId="23018" xr:uid="{64B00A89-A848-4FCE-80F7-205ECBC2B3DD}"/>
    <cellStyle name="20% - Accent1 4 5 5" xfId="18807" xr:uid="{276B02AE-886C-4E2D-811B-201EB76A39AC}"/>
    <cellStyle name="20% - Accent1 4 6" xfId="2272" xr:uid="{00000000-0005-0000-0000-00008B000000}"/>
    <cellStyle name="20% - Accent1 4 6 2" xfId="6580" xr:uid="{00000000-0005-0000-0000-00008C000000}"/>
    <cellStyle name="20% - Accent1 4 6 2 2" xfId="15009" xr:uid="{6E327738-F1FF-4B7C-9E83-9A6950B558D6}"/>
    <cellStyle name="20% - Accent1 4 6 2 3" xfId="27642" xr:uid="{F70C5228-55B7-47B7-AAC0-F14633F0D958}"/>
    <cellStyle name="20% - Accent1 4 6 3" xfId="10791" xr:uid="{77345CAB-6EDE-41A4-95E0-AE3A7066757A}"/>
    <cellStyle name="20% - Accent1 4 6 3 2" xfId="23431" xr:uid="{0C087D08-CCFE-4634-8405-B6CECAD0C142}"/>
    <cellStyle name="20% - Accent1 4 6 4" xfId="19220" xr:uid="{5D3B62E2-1C24-4727-9ED4-435973A41EA7}"/>
    <cellStyle name="20% - Accent1 4 7" xfId="4514" xr:uid="{00000000-0005-0000-0000-00008D000000}"/>
    <cellStyle name="20% - Accent1 4 7 2" xfId="12943" xr:uid="{275B4C41-D434-4BD4-BCF6-9D24D5631982}"/>
    <cellStyle name="20% - Accent1 4 7 3" xfId="25576" xr:uid="{7531CA86-927F-40F1-A5FA-6E8854085F65}"/>
    <cellStyle name="20% - Accent1 4 8" xfId="8725" xr:uid="{F8AFEAB8-D284-4E85-8DED-66B83BFCCA73}"/>
    <cellStyle name="20% - Accent1 4 8 2" xfId="21365" xr:uid="{7A8EC876-4E41-4277-930B-9BDB12D4BE5C}"/>
    <cellStyle name="20% - Accent1 4 9" xfId="17154" xr:uid="{410C771A-05FD-419B-81A9-D4F9FD4CDA98}"/>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B62716C8-B5AE-47B2-9B8A-C9106A1F0DA6}"/>
    <cellStyle name="20% - Accent1 5 2 2 3" xfId="28128" xr:uid="{4BDD22CE-DCF2-4EFB-A742-22FEEBEFC8A2}"/>
    <cellStyle name="20% - Accent1 5 2 3" xfId="11277" xr:uid="{73D3643F-35F7-4167-9516-3C98B0F4D640}"/>
    <cellStyle name="20% - Accent1 5 2 3 2" xfId="23917" xr:uid="{E3DD2BCB-2AC9-49A8-8D43-BB15CBF7465B}"/>
    <cellStyle name="20% - Accent1 5 2 4" xfId="19706" xr:uid="{C9DACC1D-0B04-4384-AB8C-A9E6191DAEA4}"/>
    <cellStyle name="20% - Accent1 5 3" xfId="4921" xr:uid="{00000000-0005-0000-0000-000091000000}"/>
    <cellStyle name="20% - Accent1 5 3 2" xfId="13350" xr:uid="{810C1CB5-4D6B-4BA6-B792-24379F7B0572}"/>
    <cellStyle name="20% - Accent1 5 3 3" xfId="25983" xr:uid="{B626031F-2DE9-430F-8B3E-B032AD94CF21}"/>
    <cellStyle name="20% - Accent1 5 4" xfId="9132" xr:uid="{313BB777-EB13-4FDA-8442-C63F2F8AB47F}"/>
    <cellStyle name="20% - Accent1 5 4 2" xfId="21772" xr:uid="{74A40603-5D89-4DA8-BC31-230666383123}"/>
    <cellStyle name="20% - Accent1 5 5" xfId="17561" xr:uid="{D2C8EB3E-86BE-4009-9A92-047AE08544F0}"/>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F725701D-622D-45D2-97AE-8ED1F430527E}"/>
    <cellStyle name="20% - Accent1 6 2 2 3" xfId="28541" xr:uid="{5529CF61-BD90-4651-9218-36F6901069AE}"/>
    <cellStyle name="20% - Accent1 6 2 3" xfId="11690" xr:uid="{CAF997CA-AC30-47E3-BBE3-7CC269790270}"/>
    <cellStyle name="20% - Accent1 6 2 3 2" xfId="24330" xr:uid="{D04DE84D-2C9D-46B8-B745-2466B03D8221}"/>
    <cellStyle name="20% - Accent1 6 2 4" xfId="20119" xr:uid="{C79A19E1-A344-4629-B38E-88333B99E0AF}"/>
    <cellStyle name="20% - Accent1 6 3" xfId="5334" xr:uid="{00000000-0005-0000-0000-000095000000}"/>
    <cellStyle name="20% - Accent1 6 3 2" xfId="13763" xr:uid="{08A66609-AC52-47C1-B2C4-95AD42F28426}"/>
    <cellStyle name="20% - Accent1 6 3 3" xfId="26396" xr:uid="{E4E32FE6-1813-4ED4-B633-78868F127DDF}"/>
    <cellStyle name="20% - Accent1 6 4" xfId="9545" xr:uid="{C3339DAE-3C85-4C9E-B735-0EA79EF5ECA9}"/>
    <cellStyle name="20% - Accent1 6 4 2" xfId="22185" xr:uid="{DBC7E872-32E6-4624-AADC-FB0D2B788D44}"/>
    <cellStyle name="20% - Accent1 6 5" xfId="17974" xr:uid="{24CF9F97-4506-4AE5-A732-BE042EEF70A3}"/>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87B20A56-8EB1-4BD7-ABB8-01E866A91CAA}"/>
    <cellStyle name="20% - Accent1 7 2 2 3" xfId="28954" xr:uid="{DCD8F09C-E8D3-4696-9E20-C03B4420DA37}"/>
    <cellStyle name="20% - Accent1 7 2 3" xfId="12103" xr:uid="{DD142985-3179-4CE2-A430-0663FAC38A35}"/>
    <cellStyle name="20% - Accent1 7 2 3 2" xfId="24743" xr:uid="{B8CE8C2B-C487-401B-B033-4508A83B07C3}"/>
    <cellStyle name="20% - Accent1 7 2 4" xfId="20532" xr:uid="{5A6EE975-DF9A-41D9-8F20-25601A603DC0}"/>
    <cellStyle name="20% - Accent1 7 3" xfId="5747" xr:uid="{00000000-0005-0000-0000-000099000000}"/>
    <cellStyle name="20% - Accent1 7 3 2" xfId="14176" xr:uid="{5A889991-61BB-43B5-B414-DFF05F416D6D}"/>
    <cellStyle name="20% - Accent1 7 3 3" xfId="26809" xr:uid="{0F7EBA8C-BED0-4525-BB43-0890520BA59A}"/>
    <cellStyle name="20% - Accent1 7 4" xfId="9958" xr:uid="{7BC4FD68-9EC0-4134-B13C-095F22E42203}"/>
    <cellStyle name="20% - Accent1 7 4 2" xfId="22598" xr:uid="{E7CDE20B-9961-437B-A125-8FABE3DD1D68}"/>
    <cellStyle name="20% - Accent1 7 5" xfId="18387" xr:uid="{BA71AF0C-51FB-497B-9F81-96E4E81A601F}"/>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B2F53305-6BC5-481D-9E31-73381F816495}"/>
    <cellStyle name="20% - Accent1 8 2 2 3" xfId="29367" xr:uid="{EBC33FA5-E7B4-43B9-8E24-9D75B456867B}"/>
    <cellStyle name="20% - Accent1 8 2 3" xfId="12516" xr:uid="{C7F976C0-AE9A-4C69-8D26-18802205CCEE}"/>
    <cellStyle name="20% - Accent1 8 2 3 2" xfId="25156" xr:uid="{2CB9143C-0FE7-49B3-B589-E57166F14B09}"/>
    <cellStyle name="20% - Accent1 8 2 4" xfId="20945" xr:uid="{3E84310B-1351-4076-9702-285F2E7FBD1D}"/>
    <cellStyle name="20% - Accent1 8 3" xfId="6160" xr:uid="{00000000-0005-0000-0000-00009D000000}"/>
    <cellStyle name="20% - Accent1 8 3 2" xfId="14589" xr:uid="{CDE048D3-BB51-4CFA-8D4C-89B606DD7FC4}"/>
    <cellStyle name="20% - Accent1 8 3 3" xfId="27222" xr:uid="{00169E20-1390-411F-BE4A-4A55A242BC7A}"/>
    <cellStyle name="20% - Accent1 8 4" xfId="10371" xr:uid="{D7B22F60-D79F-4F89-BE49-DA7F8E787620}"/>
    <cellStyle name="20% - Accent1 8 4 2" xfId="23011" xr:uid="{02ED618F-7A4D-4F58-AA13-FEEC113D4897}"/>
    <cellStyle name="20% - Accent1 8 5" xfId="18800" xr:uid="{F21A1326-B890-4780-8334-10B63705326A}"/>
    <cellStyle name="20% - Accent1 9" xfId="2265" xr:uid="{00000000-0005-0000-0000-00009E000000}"/>
    <cellStyle name="20% - Accent1 9 2" xfId="6573" xr:uid="{00000000-0005-0000-0000-00009F000000}"/>
    <cellStyle name="20% - Accent1 9 2 2" xfId="15002" xr:uid="{E9F74B37-72D3-4879-85E1-BDC4CD0F9B21}"/>
    <cellStyle name="20% - Accent1 9 2 3" xfId="27635" xr:uid="{B58584B6-0759-4D6C-8AEB-5BD0E3FF21C4}"/>
    <cellStyle name="20% - Accent1 9 3" xfId="10784" xr:uid="{42EF0232-2140-43C2-AF46-11CB9CFE804D}"/>
    <cellStyle name="20% - Accent1 9 3 2" xfId="23424" xr:uid="{E218956F-9876-4D4C-8B8D-63B618551ECA}"/>
    <cellStyle name="20% - Accent1 9 4" xfId="19213" xr:uid="{D9718981-3BE2-4B33-BFC9-082F3EFB6A0A}"/>
    <cellStyle name="20% - Accent2" xfId="9" builtinId="34" customBuiltin="1"/>
    <cellStyle name="20% - Accent2 10" xfId="4515" xr:uid="{00000000-0005-0000-0000-0000A1000000}"/>
    <cellStyle name="20% - Accent2 10 2" xfId="12944" xr:uid="{3C0588B7-4A1C-4355-9587-94AC1B92C93B}"/>
    <cellStyle name="20% - Accent2 10 3" xfId="25577" xr:uid="{1102ADBA-E666-4B4B-9FE9-54B87D4BDB63}"/>
    <cellStyle name="20% - Accent2 11" xfId="8726" xr:uid="{32749C09-6235-49C2-B2B8-D7EF524E5BDD}"/>
    <cellStyle name="20% - Accent2 11 2" xfId="21366" xr:uid="{8A383034-8506-4878-BEA5-37F41178BE99}"/>
    <cellStyle name="20% - Accent2 12" xfId="17155" xr:uid="{72A4AA18-DCA6-405A-9EC9-EBED7FBB5AF6}"/>
    <cellStyle name="20% - Accent2 2" xfId="10" xr:uid="{00000000-0005-0000-0000-0000A2000000}"/>
    <cellStyle name="20% - Accent2 2 10" xfId="8727" xr:uid="{E99443D5-731F-4298-B8F5-FAB305EFDCEA}"/>
    <cellStyle name="20% - Accent2 2 10 2" xfId="21367" xr:uid="{9358D36D-1758-4400-B8E9-5943573AF38C}"/>
    <cellStyle name="20% - Accent2 2 11" xfId="17156" xr:uid="{D6682813-1DE8-4663-B132-793033A9F705}"/>
    <cellStyle name="20% - Accent2 2 2" xfId="11" xr:uid="{00000000-0005-0000-0000-0000A3000000}"/>
    <cellStyle name="20% - Accent2 2 2 10" xfId="17157" xr:uid="{C3C6A6A8-5B24-426D-BCA0-6B73E0E7535B}"/>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1D7FEBCC-0A93-4652-A04E-6FF0E482DA04}"/>
    <cellStyle name="20% - Accent2 2 2 2 2 2 2 3" xfId="28139" xr:uid="{B5E2273B-D7B9-41D5-8F94-EA69B36C0016}"/>
    <cellStyle name="20% - Accent2 2 2 2 2 2 3" xfId="11288" xr:uid="{91AB56D4-7610-4A7D-8A40-32CA8748A90B}"/>
    <cellStyle name="20% - Accent2 2 2 2 2 2 3 2" xfId="23928" xr:uid="{4105F528-22B4-4F91-BDA7-7C02FEFE8EFE}"/>
    <cellStyle name="20% - Accent2 2 2 2 2 2 4" xfId="19717" xr:uid="{691CAE0A-E043-4291-97B0-5C0498FCD512}"/>
    <cellStyle name="20% - Accent2 2 2 2 2 3" xfId="4932" xr:uid="{00000000-0005-0000-0000-0000A8000000}"/>
    <cellStyle name="20% - Accent2 2 2 2 2 3 2" xfId="13361" xr:uid="{5D83A7F9-E0F5-4393-9E06-21EA443323CB}"/>
    <cellStyle name="20% - Accent2 2 2 2 2 3 3" xfId="25994" xr:uid="{6E36706C-49F8-43FA-B280-BFA3FCC87693}"/>
    <cellStyle name="20% - Accent2 2 2 2 2 4" xfId="9143" xr:uid="{9332F6AF-BC95-4AE2-9207-2787D5566AE2}"/>
    <cellStyle name="20% - Accent2 2 2 2 2 4 2" xfId="21783" xr:uid="{EC093582-FF19-472D-854F-6CB6DB39CD76}"/>
    <cellStyle name="20% - Accent2 2 2 2 2 5" xfId="17572" xr:uid="{80765449-620D-4449-BAA3-AEB774FEE42D}"/>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4E8CD855-B5A7-45F3-86F7-94FADF89EC26}"/>
    <cellStyle name="20% - Accent2 2 2 2 3 2 2 3" xfId="28552" xr:uid="{B5039DF3-5586-418E-BF86-D7ECDFC99C7C}"/>
    <cellStyle name="20% - Accent2 2 2 2 3 2 3" xfId="11701" xr:uid="{D6014803-5A76-4EAC-9180-5FC3038888F7}"/>
    <cellStyle name="20% - Accent2 2 2 2 3 2 3 2" xfId="24341" xr:uid="{E4EDCE7E-B8EF-4B9F-B27C-3A66F85549E2}"/>
    <cellStyle name="20% - Accent2 2 2 2 3 2 4" xfId="20130" xr:uid="{3396F37F-C27D-49B2-B2E6-122C30A34F6E}"/>
    <cellStyle name="20% - Accent2 2 2 2 3 3" xfId="5345" xr:uid="{00000000-0005-0000-0000-0000AC000000}"/>
    <cellStyle name="20% - Accent2 2 2 2 3 3 2" xfId="13774" xr:uid="{E57F0503-B812-4CC9-AC44-FEF28875BBEF}"/>
    <cellStyle name="20% - Accent2 2 2 2 3 3 3" xfId="26407" xr:uid="{6497B47F-47CC-40F9-A6AE-76A5908074D3}"/>
    <cellStyle name="20% - Accent2 2 2 2 3 4" xfId="9556" xr:uid="{89520622-DDD7-4F5C-A8DA-7C586C2CD617}"/>
    <cellStyle name="20% - Accent2 2 2 2 3 4 2" xfId="22196" xr:uid="{4D3DD575-F047-4AFE-9184-1FD6F9338645}"/>
    <cellStyle name="20% - Accent2 2 2 2 3 5" xfId="17985" xr:uid="{968A327F-5D14-406A-B69D-3D66C0F0D80A}"/>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45CECE03-2AC3-4C54-9FAE-4F54BBB38C05}"/>
    <cellStyle name="20% - Accent2 2 2 2 4 2 2 3" xfId="28965" xr:uid="{8D242A3A-6D83-4F77-9CA6-9C56CAED98A1}"/>
    <cellStyle name="20% - Accent2 2 2 2 4 2 3" xfId="12114" xr:uid="{69480EB8-522A-44BA-AD40-E3BCB8F1D4E8}"/>
    <cellStyle name="20% - Accent2 2 2 2 4 2 3 2" xfId="24754" xr:uid="{361D0643-4FEC-47D5-AB45-1ECCFD26D8BC}"/>
    <cellStyle name="20% - Accent2 2 2 2 4 2 4" xfId="20543" xr:uid="{13B3FB43-28B1-4B75-86C6-9C09D8EEC7B4}"/>
    <cellStyle name="20% - Accent2 2 2 2 4 3" xfId="5758" xr:uid="{00000000-0005-0000-0000-0000B0000000}"/>
    <cellStyle name="20% - Accent2 2 2 2 4 3 2" xfId="14187" xr:uid="{F0BDD559-92C9-47BA-859C-28F052EC90E3}"/>
    <cellStyle name="20% - Accent2 2 2 2 4 3 3" xfId="26820" xr:uid="{ADA97045-70F7-488F-AAFB-C4BF901C6A9E}"/>
    <cellStyle name="20% - Accent2 2 2 2 4 4" xfId="9969" xr:uid="{9D1E5634-5D50-418A-A348-2A3F17A1049C}"/>
    <cellStyle name="20% - Accent2 2 2 2 4 4 2" xfId="22609" xr:uid="{E4A38D69-C9E4-4E26-A3EA-9A0887A39E04}"/>
    <cellStyle name="20% - Accent2 2 2 2 4 5" xfId="18398" xr:uid="{93BD68F3-6827-4BAE-B7BE-5F57382F044D}"/>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01E00F4C-803B-46C8-B17C-D215172CBF47}"/>
    <cellStyle name="20% - Accent2 2 2 2 5 2 2 3" xfId="29378" xr:uid="{313EEE82-AEF7-4929-945D-A3B29CB28B95}"/>
    <cellStyle name="20% - Accent2 2 2 2 5 2 3" xfId="12527" xr:uid="{8CCBC886-F437-40BB-90DE-2E150EF7F5BC}"/>
    <cellStyle name="20% - Accent2 2 2 2 5 2 3 2" xfId="25167" xr:uid="{FDD233B6-8787-4736-A68E-3D50AB851A1D}"/>
    <cellStyle name="20% - Accent2 2 2 2 5 2 4" xfId="20956" xr:uid="{EE04A7C1-EC98-4C31-8CEF-E75D40F7739B}"/>
    <cellStyle name="20% - Accent2 2 2 2 5 3" xfId="6171" xr:uid="{00000000-0005-0000-0000-0000B4000000}"/>
    <cellStyle name="20% - Accent2 2 2 2 5 3 2" xfId="14600" xr:uid="{24B43606-836E-454A-BC58-080C075098B1}"/>
    <cellStyle name="20% - Accent2 2 2 2 5 3 3" xfId="27233" xr:uid="{68109C75-89D8-426C-B7FC-6F108346ACD3}"/>
    <cellStyle name="20% - Accent2 2 2 2 5 4" xfId="10382" xr:uid="{2B1BF1A3-4645-4A06-B8E9-7EEB23E49120}"/>
    <cellStyle name="20% - Accent2 2 2 2 5 4 2" xfId="23022" xr:uid="{013122E3-73BC-4953-84AE-CB1E1C22DF61}"/>
    <cellStyle name="20% - Accent2 2 2 2 5 5" xfId="18811" xr:uid="{2C7C819C-7F5A-4FCB-A71E-2619AC5081AC}"/>
    <cellStyle name="20% - Accent2 2 2 2 6" xfId="2276" xr:uid="{00000000-0005-0000-0000-0000B5000000}"/>
    <cellStyle name="20% - Accent2 2 2 2 6 2" xfId="6584" xr:uid="{00000000-0005-0000-0000-0000B6000000}"/>
    <cellStyle name="20% - Accent2 2 2 2 6 2 2" xfId="15013" xr:uid="{CB301160-CE27-4D6F-AAC6-3513000B075A}"/>
    <cellStyle name="20% - Accent2 2 2 2 6 2 3" xfId="27646" xr:uid="{778C8F1A-4F25-45B6-8904-92C5CDEC652D}"/>
    <cellStyle name="20% - Accent2 2 2 2 6 3" xfId="10795" xr:uid="{A959EEBF-ED49-426E-BCE8-5D10E7FAB67A}"/>
    <cellStyle name="20% - Accent2 2 2 2 6 3 2" xfId="23435" xr:uid="{2B360C9B-492D-4E8F-9524-E16EFB5E6A5E}"/>
    <cellStyle name="20% - Accent2 2 2 2 6 4" xfId="19224" xr:uid="{0C86ABC3-43B5-49E8-B3F2-F619E64C9568}"/>
    <cellStyle name="20% - Accent2 2 2 2 7" xfId="4518" xr:uid="{00000000-0005-0000-0000-0000B7000000}"/>
    <cellStyle name="20% - Accent2 2 2 2 7 2" xfId="12947" xr:uid="{73FDF498-5205-4DA2-BDC9-307D8C3D4801}"/>
    <cellStyle name="20% - Accent2 2 2 2 7 3" xfId="25580" xr:uid="{D47B69A7-56D8-4B22-AC99-4FA88528EABB}"/>
    <cellStyle name="20% - Accent2 2 2 2 8" xfId="8729" xr:uid="{54C0C036-29A6-48A5-9645-BD11BDCCFBC1}"/>
    <cellStyle name="20% - Accent2 2 2 2 8 2" xfId="21369" xr:uid="{F53CA0A0-A645-42E6-96F9-805BB3681891}"/>
    <cellStyle name="20% - Accent2 2 2 2 9" xfId="17158" xr:uid="{D2F60EB7-23EB-4CB5-B6AA-59204DDAB9FA}"/>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35548B65-F14C-4F81-96B3-385B8C89F34D}"/>
    <cellStyle name="20% - Accent2 2 2 3 2 2 3" xfId="28138" xr:uid="{476EDC7D-5E19-42CC-9EE8-ED517E645F70}"/>
    <cellStyle name="20% - Accent2 2 2 3 2 3" xfId="11287" xr:uid="{43429AF8-3EA4-474C-83F5-67689F387599}"/>
    <cellStyle name="20% - Accent2 2 2 3 2 3 2" xfId="23927" xr:uid="{D4975EF8-D888-4572-928A-8F803779C743}"/>
    <cellStyle name="20% - Accent2 2 2 3 2 4" xfId="19716" xr:uid="{9780BD2C-B18A-4837-8C7D-2354BE7BB389}"/>
    <cellStyle name="20% - Accent2 2 2 3 3" xfId="4931" xr:uid="{00000000-0005-0000-0000-0000BB000000}"/>
    <cellStyle name="20% - Accent2 2 2 3 3 2" xfId="13360" xr:uid="{5A2B4830-FE4C-478B-8844-87960BE31F6B}"/>
    <cellStyle name="20% - Accent2 2 2 3 3 3" xfId="25993" xr:uid="{B5166364-21BA-494E-8EA8-842350F48886}"/>
    <cellStyle name="20% - Accent2 2 2 3 4" xfId="9142" xr:uid="{7A26B695-2E0A-42C4-8331-B586EDCE48D9}"/>
    <cellStyle name="20% - Accent2 2 2 3 4 2" xfId="21782" xr:uid="{6DFAB6F5-4713-4A80-B9FB-3141578836B1}"/>
    <cellStyle name="20% - Accent2 2 2 3 5" xfId="17571" xr:uid="{3B80666E-72E5-43BB-9407-9626F47D5A5C}"/>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23BDB452-C43B-4AC3-AFF4-6DA12B6CA9EC}"/>
    <cellStyle name="20% - Accent2 2 2 4 2 2 3" xfId="28551" xr:uid="{46F2244C-A1A2-426A-AACE-8FBF8B646506}"/>
    <cellStyle name="20% - Accent2 2 2 4 2 3" xfId="11700" xr:uid="{6E312E4C-F5FB-4BC7-A0C8-74C9A1B2C2CA}"/>
    <cellStyle name="20% - Accent2 2 2 4 2 3 2" xfId="24340" xr:uid="{BFC8E215-4D79-4E2F-8FD7-BE88A3936E97}"/>
    <cellStyle name="20% - Accent2 2 2 4 2 4" xfId="20129" xr:uid="{BBEE5A05-74A4-4D26-80DA-D9876A2E2733}"/>
    <cellStyle name="20% - Accent2 2 2 4 3" xfId="5344" xr:uid="{00000000-0005-0000-0000-0000BF000000}"/>
    <cellStyle name="20% - Accent2 2 2 4 3 2" xfId="13773" xr:uid="{70D6C8B7-437E-497F-8CCB-D8AD5B4681C8}"/>
    <cellStyle name="20% - Accent2 2 2 4 3 3" xfId="26406" xr:uid="{8100FE2E-924C-478F-9C2D-704BD7A47A73}"/>
    <cellStyle name="20% - Accent2 2 2 4 4" xfId="9555" xr:uid="{B83F0CCF-14AC-4818-BACA-E14186EBEB05}"/>
    <cellStyle name="20% - Accent2 2 2 4 4 2" xfId="22195" xr:uid="{8A780F74-20DA-4E02-8548-9BED8AEC2B47}"/>
    <cellStyle name="20% - Accent2 2 2 4 5" xfId="17984" xr:uid="{C096704F-2B23-4098-AA13-630B768B120A}"/>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72E0E86C-B36D-4C4F-9887-59B74ECC6B44}"/>
    <cellStyle name="20% - Accent2 2 2 5 2 2 3" xfId="28964" xr:uid="{A4DC40AC-2AEA-4D14-AC83-4D30E61F0FA3}"/>
    <cellStyle name="20% - Accent2 2 2 5 2 3" xfId="12113" xr:uid="{4A0469E9-C0DE-4D20-801A-3FA2989429D1}"/>
    <cellStyle name="20% - Accent2 2 2 5 2 3 2" xfId="24753" xr:uid="{D7AF22C8-5ABF-4C95-B44C-FADF0177E2FA}"/>
    <cellStyle name="20% - Accent2 2 2 5 2 4" xfId="20542" xr:uid="{2CDCB5BD-7F11-4B6F-8E6E-DE7B64235D62}"/>
    <cellStyle name="20% - Accent2 2 2 5 3" xfId="5757" xr:uid="{00000000-0005-0000-0000-0000C3000000}"/>
    <cellStyle name="20% - Accent2 2 2 5 3 2" xfId="14186" xr:uid="{89BAED82-DD8F-465C-AC85-D59D2D62C68A}"/>
    <cellStyle name="20% - Accent2 2 2 5 3 3" xfId="26819" xr:uid="{6458333E-66DC-42F1-815C-F514C475540C}"/>
    <cellStyle name="20% - Accent2 2 2 5 4" xfId="9968" xr:uid="{30916D31-2B59-4BF9-AD12-4BE7648A98EF}"/>
    <cellStyle name="20% - Accent2 2 2 5 4 2" xfId="22608" xr:uid="{F3C58EAE-7BAC-4AD8-BCE9-EB7F7CD87A54}"/>
    <cellStyle name="20% - Accent2 2 2 5 5" xfId="18397" xr:uid="{2BFBEAE9-6888-4DC4-94A1-3FB57E345602}"/>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21910292-E71B-4343-B8D6-8007773FE5EF}"/>
    <cellStyle name="20% - Accent2 2 2 6 2 2 3" xfId="29377" xr:uid="{ADFCD7D3-BD17-4207-8D42-5F0145E8AB34}"/>
    <cellStyle name="20% - Accent2 2 2 6 2 3" xfId="12526" xr:uid="{F506E14B-32DB-41DA-9D50-D75013D48B09}"/>
    <cellStyle name="20% - Accent2 2 2 6 2 3 2" xfId="25166" xr:uid="{CFF4C28C-4643-4677-B49A-CC6DB5E2DD82}"/>
    <cellStyle name="20% - Accent2 2 2 6 2 4" xfId="20955" xr:uid="{246B42E3-7950-4CFD-B724-A66931729264}"/>
    <cellStyle name="20% - Accent2 2 2 6 3" xfId="6170" xr:uid="{00000000-0005-0000-0000-0000C7000000}"/>
    <cellStyle name="20% - Accent2 2 2 6 3 2" xfId="14599" xr:uid="{1B4F7D1F-C83E-4576-9D6F-825A87EC5549}"/>
    <cellStyle name="20% - Accent2 2 2 6 3 3" xfId="27232" xr:uid="{3D1BAD30-29F1-4657-AEA7-E6D14B36626E}"/>
    <cellStyle name="20% - Accent2 2 2 6 4" xfId="10381" xr:uid="{3DA0C9C7-ADA1-446C-879B-E3C373D94519}"/>
    <cellStyle name="20% - Accent2 2 2 6 4 2" xfId="23021" xr:uid="{22B7BAF8-B54D-4745-9549-B45F6E288D20}"/>
    <cellStyle name="20% - Accent2 2 2 6 5" xfId="18810" xr:uid="{32220327-3DD3-4CF9-8D73-AE9D4B465097}"/>
    <cellStyle name="20% - Accent2 2 2 7" xfId="2275" xr:uid="{00000000-0005-0000-0000-0000C8000000}"/>
    <cellStyle name="20% - Accent2 2 2 7 2" xfId="6583" xr:uid="{00000000-0005-0000-0000-0000C9000000}"/>
    <cellStyle name="20% - Accent2 2 2 7 2 2" xfId="15012" xr:uid="{139CE781-71DA-42F0-B49B-D964331298B2}"/>
    <cellStyle name="20% - Accent2 2 2 7 2 3" xfId="27645" xr:uid="{26D88575-52E0-46FB-B136-3DD30D87E2EC}"/>
    <cellStyle name="20% - Accent2 2 2 7 3" xfId="10794" xr:uid="{7B82782B-3B2D-4B0F-BCBA-95F537DFF0EA}"/>
    <cellStyle name="20% - Accent2 2 2 7 3 2" xfId="23434" xr:uid="{7F6E0FBC-FD6F-414A-B83D-FEA52F5E8CBC}"/>
    <cellStyle name="20% - Accent2 2 2 7 4" xfId="19223" xr:uid="{D52E827E-F365-40BE-B0BA-9314B5B7B743}"/>
    <cellStyle name="20% - Accent2 2 2 8" xfId="4517" xr:uid="{00000000-0005-0000-0000-0000CA000000}"/>
    <cellStyle name="20% - Accent2 2 2 8 2" xfId="12946" xr:uid="{61FBC4F0-62C5-4B73-9344-7D700AB91913}"/>
    <cellStyle name="20% - Accent2 2 2 8 3" xfId="25579" xr:uid="{F9DDEB6C-7300-40E2-9DDC-82514B40B7A9}"/>
    <cellStyle name="20% - Accent2 2 2 9" xfId="8728" xr:uid="{15C807BB-A5A4-453D-93B0-CD40CC49689B}"/>
    <cellStyle name="20% - Accent2 2 2 9 2" xfId="21368" xr:uid="{6277267A-2AC3-43B2-82DC-CB9756695FF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86E58382-A363-44BA-95D8-A0312CD99655}"/>
    <cellStyle name="20% - Accent2 2 3 2 2 2 3" xfId="28140" xr:uid="{93AF8E0E-EE6D-4C15-879A-0892154D10CF}"/>
    <cellStyle name="20% - Accent2 2 3 2 2 3" xfId="11289" xr:uid="{B71649F5-79A6-4C02-A434-8C8516694042}"/>
    <cellStyle name="20% - Accent2 2 3 2 2 3 2" xfId="23929" xr:uid="{C064E561-98AC-4738-AFC4-B3428562F529}"/>
    <cellStyle name="20% - Accent2 2 3 2 2 4" xfId="19718" xr:uid="{4772FB3B-A467-435B-A6D1-9B9984AA68CD}"/>
    <cellStyle name="20% - Accent2 2 3 2 3" xfId="4933" xr:uid="{00000000-0005-0000-0000-0000CF000000}"/>
    <cellStyle name="20% - Accent2 2 3 2 3 2" xfId="13362" xr:uid="{1544088D-BC57-4117-82C2-34142762E262}"/>
    <cellStyle name="20% - Accent2 2 3 2 3 3" xfId="25995" xr:uid="{CFE9D53B-3792-469F-90C9-7398265E34A2}"/>
    <cellStyle name="20% - Accent2 2 3 2 4" xfId="9144" xr:uid="{9EA18198-FE61-4CEE-89CA-34BCE0B237A1}"/>
    <cellStyle name="20% - Accent2 2 3 2 4 2" xfId="21784" xr:uid="{4754E964-1DCC-48F3-8A7D-82EADDF8E5CE}"/>
    <cellStyle name="20% - Accent2 2 3 2 5" xfId="17573" xr:uid="{8D5D3B66-8351-4728-BB67-66347613F615}"/>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540BCF78-4824-4023-AA0A-C8EF0BD9DDE7}"/>
    <cellStyle name="20% - Accent2 2 3 3 2 2 3" xfId="28553" xr:uid="{34446394-C64F-4337-831E-535B7FE12ED8}"/>
    <cellStyle name="20% - Accent2 2 3 3 2 3" xfId="11702" xr:uid="{65501FA1-AB36-4D03-A2C8-F6ED2027CB44}"/>
    <cellStyle name="20% - Accent2 2 3 3 2 3 2" xfId="24342" xr:uid="{EF578019-50E7-486E-92DD-AE631917A9DD}"/>
    <cellStyle name="20% - Accent2 2 3 3 2 4" xfId="20131" xr:uid="{B09D9A59-B968-48BC-8281-66A145BC2E9D}"/>
    <cellStyle name="20% - Accent2 2 3 3 3" xfId="5346" xr:uid="{00000000-0005-0000-0000-0000D3000000}"/>
    <cellStyle name="20% - Accent2 2 3 3 3 2" xfId="13775" xr:uid="{4D41AB60-6CAE-45FC-8A7B-230C0C24B8B9}"/>
    <cellStyle name="20% - Accent2 2 3 3 3 3" xfId="26408" xr:uid="{0286008A-F8A5-4218-9A97-09214CE7C1D0}"/>
    <cellStyle name="20% - Accent2 2 3 3 4" xfId="9557" xr:uid="{F25728A9-B2BE-40D5-B2FD-C71E7CE129AC}"/>
    <cellStyle name="20% - Accent2 2 3 3 4 2" xfId="22197" xr:uid="{B78B26C3-1E27-4408-813E-6F0A17EE9078}"/>
    <cellStyle name="20% - Accent2 2 3 3 5" xfId="17986" xr:uid="{63663A6C-F3A8-4509-99AE-746633A26DF0}"/>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F14B8587-AD18-4CC8-8963-2084FD6CEDA4}"/>
    <cellStyle name="20% - Accent2 2 3 4 2 2 3" xfId="28966" xr:uid="{38D7AE32-81B3-4E7B-BFCD-A2100C7A6E28}"/>
    <cellStyle name="20% - Accent2 2 3 4 2 3" xfId="12115" xr:uid="{02609D28-092C-44E7-A1C3-261EDB25BE1A}"/>
    <cellStyle name="20% - Accent2 2 3 4 2 3 2" xfId="24755" xr:uid="{F4624A67-87D3-4A5E-8057-C198D40742FA}"/>
    <cellStyle name="20% - Accent2 2 3 4 2 4" xfId="20544" xr:uid="{F68F1BEB-9676-4CC6-AE1C-45A5B0E58F63}"/>
    <cellStyle name="20% - Accent2 2 3 4 3" xfId="5759" xr:uid="{00000000-0005-0000-0000-0000D7000000}"/>
    <cellStyle name="20% - Accent2 2 3 4 3 2" xfId="14188" xr:uid="{74702B8A-3CE9-4E74-BFCC-24F4AB00B31B}"/>
    <cellStyle name="20% - Accent2 2 3 4 3 3" xfId="26821" xr:uid="{F3FA1D2A-3DF5-4980-AB0B-824E4757AB5A}"/>
    <cellStyle name="20% - Accent2 2 3 4 4" xfId="9970" xr:uid="{306E3C1F-BDCF-4EB2-8DED-041458F51AC0}"/>
    <cellStyle name="20% - Accent2 2 3 4 4 2" xfId="22610" xr:uid="{581514AB-6AAB-443B-81F8-A6B388A9C316}"/>
    <cellStyle name="20% - Accent2 2 3 4 5" xfId="18399" xr:uid="{836B19D4-E4DD-4EF1-AAEA-C303256588CB}"/>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94073041-2732-4DFD-B2EF-1284A4D02F81}"/>
    <cellStyle name="20% - Accent2 2 3 5 2 2 3" xfId="29379" xr:uid="{C25ABC98-8D0A-433C-A750-032BC61AD198}"/>
    <cellStyle name="20% - Accent2 2 3 5 2 3" xfId="12528" xr:uid="{443C8C82-1A70-4438-B91A-DCA629115841}"/>
    <cellStyle name="20% - Accent2 2 3 5 2 3 2" xfId="25168" xr:uid="{1705DB58-21E3-4AEC-B8D1-A0BF2F2E5837}"/>
    <cellStyle name="20% - Accent2 2 3 5 2 4" xfId="20957" xr:uid="{7FE93ED5-9B78-4C4D-8629-D93037D79CE6}"/>
    <cellStyle name="20% - Accent2 2 3 5 3" xfId="6172" xr:uid="{00000000-0005-0000-0000-0000DB000000}"/>
    <cellStyle name="20% - Accent2 2 3 5 3 2" xfId="14601" xr:uid="{67FFFA32-41D8-481F-9812-CF50B9BEF397}"/>
    <cellStyle name="20% - Accent2 2 3 5 3 3" xfId="27234" xr:uid="{A4794F76-8149-4015-A531-AE09C9E141B5}"/>
    <cellStyle name="20% - Accent2 2 3 5 4" xfId="10383" xr:uid="{33AAE261-6862-4039-9748-A10C19C74E1E}"/>
    <cellStyle name="20% - Accent2 2 3 5 4 2" xfId="23023" xr:uid="{605180FB-6E4C-4F90-AC0B-E297C1A47CCB}"/>
    <cellStyle name="20% - Accent2 2 3 5 5" xfId="18812" xr:uid="{B3A412C5-76B2-47E6-AEA2-3D939D89923D}"/>
    <cellStyle name="20% - Accent2 2 3 6" xfId="2277" xr:uid="{00000000-0005-0000-0000-0000DC000000}"/>
    <cellStyle name="20% - Accent2 2 3 6 2" xfId="6585" xr:uid="{00000000-0005-0000-0000-0000DD000000}"/>
    <cellStyle name="20% - Accent2 2 3 6 2 2" xfId="15014" xr:uid="{232135A9-401C-44CE-8BA5-0B9F3F718FDA}"/>
    <cellStyle name="20% - Accent2 2 3 6 2 3" xfId="27647" xr:uid="{D63343CC-4D8F-402B-A166-4C0EC0594FAC}"/>
    <cellStyle name="20% - Accent2 2 3 6 3" xfId="10796" xr:uid="{7743A6B0-5BC0-4E68-9E73-D621866E8CBD}"/>
    <cellStyle name="20% - Accent2 2 3 6 3 2" xfId="23436" xr:uid="{9D2A98EB-521A-4856-8401-E6E287A13A21}"/>
    <cellStyle name="20% - Accent2 2 3 6 4" xfId="19225" xr:uid="{56722499-6DE9-4DDF-B262-564912CFA8B5}"/>
    <cellStyle name="20% - Accent2 2 3 7" xfId="4519" xr:uid="{00000000-0005-0000-0000-0000DE000000}"/>
    <cellStyle name="20% - Accent2 2 3 7 2" xfId="12948" xr:uid="{BFBF28EF-9150-4511-A34E-1D8CD3330710}"/>
    <cellStyle name="20% - Accent2 2 3 7 3" xfId="25581" xr:uid="{6EAAFE12-B750-4D40-A02A-46F0EE9168DA}"/>
    <cellStyle name="20% - Accent2 2 3 8" xfId="8730" xr:uid="{B6C7EFED-B5F6-4C34-A0A7-8AE57911B034}"/>
    <cellStyle name="20% - Accent2 2 3 8 2" xfId="21370" xr:uid="{F5637BED-C823-4C13-B251-7CD5C607D3D8}"/>
    <cellStyle name="20% - Accent2 2 3 9" xfId="17159" xr:uid="{B0CC1D07-5257-423D-BE67-5A105B4F6C49}"/>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7CA04D99-A171-4FC1-B57D-D3097C9301CD}"/>
    <cellStyle name="20% - Accent2 2 4 2 2 3" xfId="28137" xr:uid="{1A62014B-9FD8-495C-800F-B32E41715879}"/>
    <cellStyle name="20% - Accent2 2 4 2 3" xfId="11286" xr:uid="{862E8F67-5804-4BAF-AE09-60FB77DB5457}"/>
    <cellStyle name="20% - Accent2 2 4 2 3 2" xfId="23926" xr:uid="{E0BC1147-64BE-4D9E-8167-A6294D7739FF}"/>
    <cellStyle name="20% - Accent2 2 4 2 4" xfId="19715" xr:uid="{B9F47F5A-7B64-4053-A612-9D57AA9C3D62}"/>
    <cellStyle name="20% - Accent2 2 4 3" xfId="4930" xr:uid="{00000000-0005-0000-0000-0000E2000000}"/>
    <cellStyle name="20% - Accent2 2 4 3 2" xfId="13359" xr:uid="{78202B82-8EE8-4BFA-B5B6-107D83D5F27E}"/>
    <cellStyle name="20% - Accent2 2 4 3 3" xfId="25992" xr:uid="{9795B75F-F595-491C-BE24-99E39CE61A3C}"/>
    <cellStyle name="20% - Accent2 2 4 4" xfId="9141" xr:uid="{F85BB7F5-BC78-42A0-ACBA-B704E16BC178}"/>
    <cellStyle name="20% - Accent2 2 4 4 2" xfId="21781" xr:uid="{055E12C6-F45C-4B02-BD95-9DF183704055}"/>
    <cellStyle name="20% - Accent2 2 4 5" xfId="17570" xr:uid="{3959B71C-C620-4565-B4EB-6DD2B3B80077}"/>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B591C3EF-D311-4449-933E-FA467A86CF64}"/>
    <cellStyle name="20% - Accent2 2 5 2 2 3" xfId="28550" xr:uid="{984E6549-BFA2-4AA3-9586-A40CCFDA66C1}"/>
    <cellStyle name="20% - Accent2 2 5 2 3" xfId="11699" xr:uid="{54D664F5-C121-433B-AF15-DFF2C34FA84A}"/>
    <cellStyle name="20% - Accent2 2 5 2 3 2" xfId="24339" xr:uid="{C47E68C6-611B-49A5-B36C-2FE9B7300C0F}"/>
    <cellStyle name="20% - Accent2 2 5 2 4" xfId="20128" xr:uid="{91BA949D-5533-4E9F-BBE5-11006E9ADE11}"/>
    <cellStyle name="20% - Accent2 2 5 3" xfId="5343" xr:uid="{00000000-0005-0000-0000-0000E6000000}"/>
    <cellStyle name="20% - Accent2 2 5 3 2" xfId="13772" xr:uid="{6A8B1E1B-6E55-4467-AC0F-A6CD625D7642}"/>
    <cellStyle name="20% - Accent2 2 5 3 3" xfId="26405" xr:uid="{F7A35738-1046-4CDE-A5F6-F6194B688C1F}"/>
    <cellStyle name="20% - Accent2 2 5 4" xfId="9554" xr:uid="{8CD1D3C3-C677-456F-B6DD-DE91BD2AB008}"/>
    <cellStyle name="20% - Accent2 2 5 4 2" xfId="22194" xr:uid="{F909F3AF-83B3-455E-BDD8-5010328D0711}"/>
    <cellStyle name="20% - Accent2 2 5 5" xfId="17983" xr:uid="{F766A378-3832-4A7C-AE51-E4F3FE5E83A5}"/>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F9B0C28D-C1BC-491A-976A-66F33065441D}"/>
    <cellStyle name="20% - Accent2 2 6 2 2 3" xfId="28963" xr:uid="{521171BF-2070-4415-934B-8363AA79AC80}"/>
    <cellStyle name="20% - Accent2 2 6 2 3" xfId="12112" xr:uid="{E7860E80-9903-4942-B393-901CA6AD7633}"/>
    <cellStyle name="20% - Accent2 2 6 2 3 2" xfId="24752" xr:uid="{1B545690-9F2F-4AFC-8E36-4C723BDC5445}"/>
    <cellStyle name="20% - Accent2 2 6 2 4" xfId="20541" xr:uid="{9E45055C-2C74-4712-B726-9325A07DA89B}"/>
    <cellStyle name="20% - Accent2 2 6 3" xfId="5756" xr:uid="{00000000-0005-0000-0000-0000EA000000}"/>
    <cellStyle name="20% - Accent2 2 6 3 2" xfId="14185" xr:uid="{C0674A4C-620B-44BF-AE9D-6D45707461C5}"/>
    <cellStyle name="20% - Accent2 2 6 3 3" xfId="26818" xr:uid="{B623463D-450C-49BA-B6C4-892ECD7E7A24}"/>
    <cellStyle name="20% - Accent2 2 6 4" xfId="9967" xr:uid="{05501F54-27ED-48FA-B6B3-092A039F196C}"/>
    <cellStyle name="20% - Accent2 2 6 4 2" xfId="22607" xr:uid="{3D2D949F-19E3-4FCF-B4B9-CEE010F33E97}"/>
    <cellStyle name="20% - Accent2 2 6 5" xfId="18396" xr:uid="{287F3FCA-11D6-4799-9D1E-6AA1F706F6D8}"/>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F306BB4A-4557-430A-84E0-FCBBE3DE6AA7}"/>
    <cellStyle name="20% - Accent2 2 7 2 2 3" xfId="29376" xr:uid="{ED41D08D-C084-48C2-91B7-88222D29C41C}"/>
    <cellStyle name="20% - Accent2 2 7 2 3" xfId="12525" xr:uid="{C4E0FEB4-D9EC-4C75-9598-CA0D5B8630AC}"/>
    <cellStyle name="20% - Accent2 2 7 2 3 2" xfId="25165" xr:uid="{692DD46D-E652-474F-930E-5EF43D83D061}"/>
    <cellStyle name="20% - Accent2 2 7 2 4" xfId="20954" xr:uid="{E2B2271A-1573-43ED-8228-C7CA3C52D168}"/>
    <cellStyle name="20% - Accent2 2 7 3" xfId="6169" xr:uid="{00000000-0005-0000-0000-0000EE000000}"/>
    <cellStyle name="20% - Accent2 2 7 3 2" xfId="14598" xr:uid="{FDE38C39-21E0-445D-8584-7AE40C19FBB2}"/>
    <cellStyle name="20% - Accent2 2 7 3 3" xfId="27231" xr:uid="{1C7BC566-C478-442F-A532-6BEF0BAAC09F}"/>
    <cellStyle name="20% - Accent2 2 7 4" xfId="10380" xr:uid="{2501F549-6D60-46AC-88D0-10D22D5B7A3D}"/>
    <cellStyle name="20% - Accent2 2 7 4 2" xfId="23020" xr:uid="{DBF4AEA1-D334-47D7-8755-0D5F5F908F7B}"/>
    <cellStyle name="20% - Accent2 2 7 5" xfId="18809" xr:uid="{DCBAEA43-0FB7-481D-9587-3C6687C7607F}"/>
    <cellStyle name="20% - Accent2 2 8" xfId="2274" xr:uid="{00000000-0005-0000-0000-0000EF000000}"/>
    <cellStyle name="20% - Accent2 2 8 2" xfId="6582" xr:uid="{00000000-0005-0000-0000-0000F0000000}"/>
    <cellStyle name="20% - Accent2 2 8 2 2" xfId="15011" xr:uid="{F637BED7-237B-43A7-A462-B7E1FC0BB057}"/>
    <cellStyle name="20% - Accent2 2 8 2 3" xfId="27644" xr:uid="{93AD569E-A9B3-4672-B0E5-FE9FB11A70B8}"/>
    <cellStyle name="20% - Accent2 2 8 3" xfId="10793" xr:uid="{22FFF337-49C7-415C-92B4-CC4138809A4F}"/>
    <cellStyle name="20% - Accent2 2 8 3 2" xfId="23433" xr:uid="{178C3F69-3670-4D7C-B101-0EFA0104691A}"/>
    <cellStyle name="20% - Accent2 2 8 4" xfId="19222" xr:uid="{9D160ABB-72EA-462E-9EC7-19429CB87427}"/>
    <cellStyle name="20% - Accent2 2 9" xfId="4516" xr:uid="{00000000-0005-0000-0000-0000F1000000}"/>
    <cellStyle name="20% - Accent2 2 9 2" xfId="12945" xr:uid="{17FC3162-E658-41C6-A8B3-F9E76EF91702}"/>
    <cellStyle name="20% - Accent2 2 9 3" xfId="25578" xr:uid="{C24933B2-0ABC-4BD1-8148-2E381F801000}"/>
    <cellStyle name="20% - Accent2 3" xfId="14" xr:uid="{00000000-0005-0000-0000-0000F2000000}"/>
    <cellStyle name="20% - Accent2 3 10" xfId="17160" xr:uid="{A3769196-C10E-4B3D-AD1C-94F49D663063}"/>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C3E1BB25-8EA6-42F2-94B1-CE096C95C3D2}"/>
    <cellStyle name="20% - Accent2 3 2 2 2 2 3" xfId="28142" xr:uid="{17E772D6-72E5-4038-A692-0C6147D24CD9}"/>
    <cellStyle name="20% - Accent2 3 2 2 2 3" xfId="11291" xr:uid="{A4A1FB26-8E9F-462B-8C1B-FB1D1C7908F8}"/>
    <cellStyle name="20% - Accent2 3 2 2 2 3 2" xfId="23931" xr:uid="{942530F8-8A02-4A9E-A9D0-60776095158A}"/>
    <cellStyle name="20% - Accent2 3 2 2 2 4" xfId="19720" xr:uid="{55B511ED-CDC7-4A67-88F5-7A01FEBAC704}"/>
    <cellStyle name="20% - Accent2 3 2 2 3" xfId="4935" xr:uid="{00000000-0005-0000-0000-0000F7000000}"/>
    <cellStyle name="20% - Accent2 3 2 2 3 2" xfId="13364" xr:uid="{62E5CB85-1599-4733-A22A-1DD76C77EDE5}"/>
    <cellStyle name="20% - Accent2 3 2 2 3 3" xfId="25997" xr:uid="{4DAEB56D-D660-4F18-BD29-51F1B86238FC}"/>
    <cellStyle name="20% - Accent2 3 2 2 4" xfId="9146" xr:uid="{BA6C6955-67A2-4391-995B-08D59B8BBD98}"/>
    <cellStyle name="20% - Accent2 3 2 2 4 2" xfId="21786" xr:uid="{1122A7F7-ACEC-40A3-A8C9-E2A28228DE41}"/>
    <cellStyle name="20% - Accent2 3 2 2 5" xfId="17575" xr:uid="{AF183360-F102-4331-990C-24E09B07F475}"/>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6129D4B4-7610-42BD-BC7D-830B7BF75FA3}"/>
    <cellStyle name="20% - Accent2 3 2 3 2 2 3" xfId="28555" xr:uid="{B9AD973C-F6DA-4E7A-8529-F244CD2A8EC7}"/>
    <cellStyle name="20% - Accent2 3 2 3 2 3" xfId="11704" xr:uid="{DFC53EDB-BD18-456F-A4A9-ECA4E6869C05}"/>
    <cellStyle name="20% - Accent2 3 2 3 2 3 2" xfId="24344" xr:uid="{2329B377-C7D3-43B6-9923-913AC13F6E5B}"/>
    <cellStyle name="20% - Accent2 3 2 3 2 4" xfId="20133" xr:uid="{DF151E04-84A2-4EBC-8701-FD3C16376F96}"/>
    <cellStyle name="20% - Accent2 3 2 3 3" xfId="5348" xr:uid="{00000000-0005-0000-0000-0000FB000000}"/>
    <cellStyle name="20% - Accent2 3 2 3 3 2" xfId="13777" xr:uid="{8442BED0-FC23-4F6B-AD68-145ADFD55AAD}"/>
    <cellStyle name="20% - Accent2 3 2 3 3 3" xfId="26410" xr:uid="{886DB50C-354C-4011-A22B-6F60515C3199}"/>
    <cellStyle name="20% - Accent2 3 2 3 4" xfId="9559" xr:uid="{61C9C104-CD9D-441B-B111-E345DCE0A6AA}"/>
    <cellStyle name="20% - Accent2 3 2 3 4 2" xfId="22199" xr:uid="{86E141D6-6CE0-4069-88EB-1EACDFC86D6A}"/>
    <cellStyle name="20% - Accent2 3 2 3 5" xfId="17988" xr:uid="{86493421-8FF2-4000-8375-2B46CABB3403}"/>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D06E6D33-0FF8-45C8-814E-E5B15CB648E6}"/>
    <cellStyle name="20% - Accent2 3 2 4 2 2 3" xfId="28968" xr:uid="{FBE2FE5C-25EF-41BB-83BB-BBB6E19634C8}"/>
    <cellStyle name="20% - Accent2 3 2 4 2 3" xfId="12117" xr:uid="{256F3181-30B5-43C6-84D5-26FD4BE8A558}"/>
    <cellStyle name="20% - Accent2 3 2 4 2 3 2" xfId="24757" xr:uid="{2DB0804A-093B-463F-A32A-70EE25C528F7}"/>
    <cellStyle name="20% - Accent2 3 2 4 2 4" xfId="20546" xr:uid="{076B91E5-CDF4-4FC0-AC41-FC8B7044A9E8}"/>
    <cellStyle name="20% - Accent2 3 2 4 3" xfId="5761" xr:uid="{00000000-0005-0000-0000-0000FF000000}"/>
    <cellStyle name="20% - Accent2 3 2 4 3 2" xfId="14190" xr:uid="{192E87E5-D3D9-40BD-94DD-E71A656D5095}"/>
    <cellStyle name="20% - Accent2 3 2 4 3 3" xfId="26823" xr:uid="{E6E3BDC4-DD80-4F7E-B57F-1FA5C1765941}"/>
    <cellStyle name="20% - Accent2 3 2 4 4" xfId="9972" xr:uid="{69B89189-FCF5-41C6-8146-3E5FE40A6DBA}"/>
    <cellStyle name="20% - Accent2 3 2 4 4 2" xfId="22612" xr:uid="{78B965BC-0741-41DC-B4FA-7C2BBAA1098B}"/>
    <cellStyle name="20% - Accent2 3 2 4 5" xfId="18401" xr:uid="{AFD07A53-D748-4D32-9FE8-41EFE2E55E14}"/>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1426EC9C-1DFD-4990-BEA7-CFFF56E8A645}"/>
    <cellStyle name="20% - Accent2 3 2 5 2 2 3" xfId="29381" xr:uid="{819D57FD-68BE-4A2D-9B68-A3E126D9E5FC}"/>
    <cellStyle name="20% - Accent2 3 2 5 2 3" xfId="12530" xr:uid="{C4F241C3-E44E-4FAD-B1CF-877AEFBEBAD2}"/>
    <cellStyle name="20% - Accent2 3 2 5 2 3 2" xfId="25170" xr:uid="{A204EF7C-811A-4FF7-A116-B576AD7F97A7}"/>
    <cellStyle name="20% - Accent2 3 2 5 2 4" xfId="20959" xr:uid="{A19D2C18-7B08-401F-AEB0-192637FC803D}"/>
    <cellStyle name="20% - Accent2 3 2 5 3" xfId="6174" xr:uid="{00000000-0005-0000-0000-000003010000}"/>
    <cellStyle name="20% - Accent2 3 2 5 3 2" xfId="14603" xr:uid="{B07B2EB2-FE3D-471A-AB27-87B0980A3D36}"/>
    <cellStyle name="20% - Accent2 3 2 5 3 3" xfId="27236" xr:uid="{42F3BA40-7E5C-4686-AF63-1D3195D15879}"/>
    <cellStyle name="20% - Accent2 3 2 5 4" xfId="10385" xr:uid="{46972A63-D559-40E4-9A4B-3EE1F01ECF72}"/>
    <cellStyle name="20% - Accent2 3 2 5 4 2" xfId="23025" xr:uid="{8BAAC800-AD4C-44FF-BDAF-D45CDBBDC5F3}"/>
    <cellStyle name="20% - Accent2 3 2 5 5" xfId="18814" xr:uid="{7134FD50-E9C8-4C77-8812-D48C2AC2E100}"/>
    <cellStyle name="20% - Accent2 3 2 6" xfId="2279" xr:uid="{00000000-0005-0000-0000-000004010000}"/>
    <cellStyle name="20% - Accent2 3 2 6 2" xfId="6587" xr:uid="{00000000-0005-0000-0000-000005010000}"/>
    <cellStyle name="20% - Accent2 3 2 6 2 2" xfId="15016" xr:uid="{3C1D4BE1-307F-4DDE-8397-CED023A59A86}"/>
    <cellStyle name="20% - Accent2 3 2 6 2 3" xfId="27649" xr:uid="{F2F82FA6-0A9E-4C07-A9DF-DD0D291D86E2}"/>
    <cellStyle name="20% - Accent2 3 2 6 3" xfId="10798" xr:uid="{064B4669-BD9D-4C64-A4A9-01EA64449DC8}"/>
    <cellStyle name="20% - Accent2 3 2 6 3 2" xfId="23438" xr:uid="{CB0014F7-F9B9-4F9F-9610-2823145859C9}"/>
    <cellStyle name="20% - Accent2 3 2 6 4" xfId="19227" xr:uid="{B39067B7-D5DD-4F8B-BE9E-5C591A444836}"/>
    <cellStyle name="20% - Accent2 3 2 7" xfId="4521" xr:uid="{00000000-0005-0000-0000-000006010000}"/>
    <cellStyle name="20% - Accent2 3 2 7 2" xfId="12950" xr:uid="{B4988E09-345C-49FC-AE23-7F02E5EED40B}"/>
    <cellStyle name="20% - Accent2 3 2 7 3" xfId="25583" xr:uid="{8ECA7301-4317-41A9-BE71-0942DC931C90}"/>
    <cellStyle name="20% - Accent2 3 2 8" xfId="8732" xr:uid="{700D9989-CBA4-4F6A-A122-29EC6667FC0F}"/>
    <cellStyle name="20% - Accent2 3 2 8 2" xfId="21372" xr:uid="{D01CDD5B-10BA-473A-AA96-1D9642C8B5A6}"/>
    <cellStyle name="20% - Accent2 3 2 9" xfId="17161" xr:uid="{01194FCD-09E5-45E7-AACE-436993551A90}"/>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E7569F44-0A72-4A62-9565-5E0B93981F74}"/>
    <cellStyle name="20% - Accent2 3 3 2 2 3" xfId="28141" xr:uid="{3BC5DA37-D320-424A-9538-A5A4F27A7EBF}"/>
    <cellStyle name="20% - Accent2 3 3 2 3" xfId="11290" xr:uid="{1A3B65CD-B1AC-4A6E-8DF9-3FBF298E27E7}"/>
    <cellStyle name="20% - Accent2 3 3 2 3 2" xfId="23930" xr:uid="{78FEDB0F-E95C-4882-8724-B9DD9D693B5D}"/>
    <cellStyle name="20% - Accent2 3 3 2 4" xfId="19719" xr:uid="{BC5E9F07-EDAD-4AB2-9833-308336F9A6A3}"/>
    <cellStyle name="20% - Accent2 3 3 3" xfId="4934" xr:uid="{00000000-0005-0000-0000-00000A010000}"/>
    <cellStyle name="20% - Accent2 3 3 3 2" xfId="13363" xr:uid="{94879875-627B-481D-8AC9-A21ED6F5ADCC}"/>
    <cellStyle name="20% - Accent2 3 3 3 3" xfId="25996" xr:uid="{577F1CE4-1AE1-447D-8637-2CA0DC89D89E}"/>
    <cellStyle name="20% - Accent2 3 3 4" xfId="9145" xr:uid="{1A989AB0-AE3E-480C-9A2F-51022AB31AFA}"/>
    <cellStyle name="20% - Accent2 3 3 4 2" xfId="21785" xr:uid="{D0D30F69-BCB9-423C-9D70-FDB53ACAD394}"/>
    <cellStyle name="20% - Accent2 3 3 5" xfId="17574" xr:uid="{933FC75E-502B-49F8-BD28-BA0FDC3F7643}"/>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29DAB27A-7635-4C18-AC75-1E171D3FE7F6}"/>
    <cellStyle name="20% - Accent2 3 4 2 2 3" xfId="28554" xr:uid="{5740D8C2-E60D-458C-A9FD-0ACACD4385E7}"/>
    <cellStyle name="20% - Accent2 3 4 2 3" xfId="11703" xr:uid="{0D3549D3-3AD1-415E-BA0E-798076F223FC}"/>
    <cellStyle name="20% - Accent2 3 4 2 3 2" xfId="24343" xr:uid="{70E91E82-CC52-4902-A32B-BB684B567BA0}"/>
    <cellStyle name="20% - Accent2 3 4 2 4" xfId="20132" xr:uid="{12469909-25B7-486D-B49C-AD4EFC805052}"/>
    <cellStyle name="20% - Accent2 3 4 3" xfId="5347" xr:uid="{00000000-0005-0000-0000-00000E010000}"/>
    <cellStyle name="20% - Accent2 3 4 3 2" xfId="13776" xr:uid="{642ED085-6D14-4AA3-A0E5-31E8217FA062}"/>
    <cellStyle name="20% - Accent2 3 4 3 3" xfId="26409" xr:uid="{6FB513BD-E50A-498C-9BA5-389867AAE6A7}"/>
    <cellStyle name="20% - Accent2 3 4 4" xfId="9558" xr:uid="{64A85B55-F0CE-4755-BA9D-EC26D125B923}"/>
    <cellStyle name="20% - Accent2 3 4 4 2" xfId="22198" xr:uid="{E40A040D-BEDD-4E43-A157-4B8C31254E84}"/>
    <cellStyle name="20% - Accent2 3 4 5" xfId="17987" xr:uid="{2A283818-78B6-47A2-8129-78C4E9864AEC}"/>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8D414F45-1382-48A2-B0F5-2D952EE6D09D}"/>
    <cellStyle name="20% - Accent2 3 5 2 2 3" xfId="28967" xr:uid="{5A732060-0AE7-4D62-9A38-44F0974FF739}"/>
    <cellStyle name="20% - Accent2 3 5 2 3" xfId="12116" xr:uid="{84095203-7D0E-40C8-B336-88966AA3C61F}"/>
    <cellStyle name="20% - Accent2 3 5 2 3 2" xfId="24756" xr:uid="{8262994A-02DC-4E81-A0E1-C4112F2FD8A2}"/>
    <cellStyle name="20% - Accent2 3 5 2 4" xfId="20545" xr:uid="{51943370-7087-4B58-AFD6-E3A861A13E5F}"/>
    <cellStyle name="20% - Accent2 3 5 3" xfId="5760" xr:uid="{00000000-0005-0000-0000-000012010000}"/>
    <cellStyle name="20% - Accent2 3 5 3 2" xfId="14189" xr:uid="{163DBF66-FA6A-42D9-BDFD-E560084D6B45}"/>
    <cellStyle name="20% - Accent2 3 5 3 3" xfId="26822" xr:uid="{2E3AA322-2B33-4E3D-A932-B78D4AF33E48}"/>
    <cellStyle name="20% - Accent2 3 5 4" xfId="9971" xr:uid="{B47FDCB8-4AD9-42DC-8D37-0FE9C423D999}"/>
    <cellStyle name="20% - Accent2 3 5 4 2" xfId="22611" xr:uid="{5B6DB429-D5E2-4A4F-890F-B2509317C57B}"/>
    <cellStyle name="20% - Accent2 3 5 5" xfId="18400" xr:uid="{9E59CD94-8BEF-4C6F-AC7B-5CC92B28378A}"/>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377080FD-0977-4B0B-8C6E-DEB4DB4C95BC}"/>
    <cellStyle name="20% - Accent2 3 6 2 2 3" xfId="29380" xr:uid="{C2716373-14DE-4FE5-A3F7-17DC75C0734D}"/>
    <cellStyle name="20% - Accent2 3 6 2 3" xfId="12529" xr:uid="{25193A38-7BFB-4E63-9D70-A6DAE24E685F}"/>
    <cellStyle name="20% - Accent2 3 6 2 3 2" xfId="25169" xr:uid="{319F8DAE-5C0C-4634-97FB-934296EF3B74}"/>
    <cellStyle name="20% - Accent2 3 6 2 4" xfId="20958" xr:uid="{CF15D861-566B-4F2F-B95C-4216CF69FF29}"/>
    <cellStyle name="20% - Accent2 3 6 3" xfId="6173" xr:uid="{00000000-0005-0000-0000-000016010000}"/>
    <cellStyle name="20% - Accent2 3 6 3 2" xfId="14602" xr:uid="{A999B270-BDE6-4275-A67E-DD0E7CF72303}"/>
    <cellStyle name="20% - Accent2 3 6 3 3" xfId="27235" xr:uid="{8905C799-7588-4B89-84A4-749B663037DA}"/>
    <cellStyle name="20% - Accent2 3 6 4" xfId="10384" xr:uid="{BD43F616-5678-4F26-AB0D-FAC5220A8DF7}"/>
    <cellStyle name="20% - Accent2 3 6 4 2" xfId="23024" xr:uid="{028D007B-B8C8-4E7E-B97B-B0263C5559F1}"/>
    <cellStyle name="20% - Accent2 3 6 5" xfId="18813" xr:uid="{8200F554-8F9B-4EAF-BBD7-8024BB36280F}"/>
    <cellStyle name="20% - Accent2 3 7" xfId="2278" xr:uid="{00000000-0005-0000-0000-000017010000}"/>
    <cellStyle name="20% - Accent2 3 7 2" xfId="6586" xr:uid="{00000000-0005-0000-0000-000018010000}"/>
    <cellStyle name="20% - Accent2 3 7 2 2" xfId="15015" xr:uid="{9DE9FACC-5B61-4D9D-83BD-50CDFC5801A8}"/>
    <cellStyle name="20% - Accent2 3 7 2 3" xfId="27648" xr:uid="{DD7AF573-C665-463A-A8C3-9068E8CF8B14}"/>
    <cellStyle name="20% - Accent2 3 7 3" xfId="10797" xr:uid="{55B23F1E-CB09-4695-A7DE-4782C29133B0}"/>
    <cellStyle name="20% - Accent2 3 7 3 2" xfId="23437" xr:uid="{61C011C5-0BB2-4583-946B-5EFED084A6CF}"/>
    <cellStyle name="20% - Accent2 3 7 4" xfId="19226" xr:uid="{B1C451D6-DCAE-4B3A-87B0-013B432FBCA8}"/>
    <cellStyle name="20% - Accent2 3 8" xfId="4520" xr:uid="{00000000-0005-0000-0000-000019010000}"/>
    <cellStyle name="20% - Accent2 3 8 2" xfId="12949" xr:uid="{E755B7BA-5BF2-4E11-B53D-C167247F5648}"/>
    <cellStyle name="20% - Accent2 3 8 3" xfId="25582" xr:uid="{86004572-7085-4A1E-A623-6E0C46B535B1}"/>
    <cellStyle name="20% - Accent2 3 9" xfId="8731" xr:uid="{178A14CD-E375-44DD-B9E6-5F0342A9C358}"/>
    <cellStyle name="20% - Accent2 3 9 2" xfId="21371" xr:uid="{8D32485E-1EF8-498C-88B9-05FAB453919F}"/>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FD2A4987-C432-4114-8C6F-C63AA0A693E2}"/>
    <cellStyle name="20% - Accent2 4 2 2 2 3" xfId="28143" xr:uid="{A09A99ED-D8C5-45F3-92E1-2F4723AFB9E4}"/>
    <cellStyle name="20% - Accent2 4 2 2 3" xfId="11292" xr:uid="{5F37FE97-D365-470D-998F-DD15462BD28D}"/>
    <cellStyle name="20% - Accent2 4 2 2 3 2" xfId="23932" xr:uid="{B38D9F43-05F9-4D0D-A590-B94581660D05}"/>
    <cellStyle name="20% - Accent2 4 2 2 4" xfId="19721" xr:uid="{50168032-0B2E-4944-A156-F80357C4351D}"/>
    <cellStyle name="20% - Accent2 4 2 3" xfId="4936" xr:uid="{00000000-0005-0000-0000-00001E010000}"/>
    <cellStyle name="20% - Accent2 4 2 3 2" xfId="13365" xr:uid="{6B6B8282-3FC1-43AA-BD06-2F350D4A93ED}"/>
    <cellStyle name="20% - Accent2 4 2 3 3" xfId="25998" xr:uid="{A4D3D8DB-B8FD-46DC-9287-39B48131EEAA}"/>
    <cellStyle name="20% - Accent2 4 2 4" xfId="9147" xr:uid="{0363E564-AB4C-42FA-BEFD-1404F521C4D4}"/>
    <cellStyle name="20% - Accent2 4 2 4 2" xfId="21787" xr:uid="{BF99D624-576A-429C-A935-3A350E1DB091}"/>
    <cellStyle name="20% - Accent2 4 2 5" xfId="17576" xr:uid="{356AFD48-4839-46C3-AFDA-BD8F29C2A7E3}"/>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2FBD2787-E1C8-4EA7-990A-0A62073D3DB7}"/>
    <cellStyle name="20% - Accent2 4 3 2 2 3" xfId="28556" xr:uid="{94DA1E55-9C31-47B2-B767-A1E6981DA02F}"/>
    <cellStyle name="20% - Accent2 4 3 2 3" xfId="11705" xr:uid="{B7CF2057-AF78-4850-88B1-ECCB429F5686}"/>
    <cellStyle name="20% - Accent2 4 3 2 3 2" xfId="24345" xr:uid="{F89D250D-D876-49A1-88D0-1A28CA5F5629}"/>
    <cellStyle name="20% - Accent2 4 3 2 4" xfId="20134" xr:uid="{E127313D-0401-4B26-9236-38286C1768BE}"/>
    <cellStyle name="20% - Accent2 4 3 3" xfId="5349" xr:uid="{00000000-0005-0000-0000-000022010000}"/>
    <cellStyle name="20% - Accent2 4 3 3 2" xfId="13778" xr:uid="{928DE883-523A-4EBE-8CB8-13E591106F01}"/>
    <cellStyle name="20% - Accent2 4 3 3 3" xfId="26411" xr:uid="{4A2B88E5-A997-473F-A89F-C5DA9C0F2FAE}"/>
    <cellStyle name="20% - Accent2 4 3 4" xfId="9560" xr:uid="{67B7C660-F3A8-4132-906E-6C463958969B}"/>
    <cellStyle name="20% - Accent2 4 3 4 2" xfId="22200" xr:uid="{F38E6621-AF73-4EBB-B993-D46E8D319531}"/>
    <cellStyle name="20% - Accent2 4 3 5" xfId="17989" xr:uid="{8409A312-89CA-410F-8564-C631E1845CB0}"/>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BE2C0D9D-F403-488E-A3B8-263DD83E6784}"/>
    <cellStyle name="20% - Accent2 4 4 2 2 3" xfId="28969" xr:uid="{5D195E63-0920-4D69-B941-7B2CF5CAF88B}"/>
    <cellStyle name="20% - Accent2 4 4 2 3" xfId="12118" xr:uid="{563C6EDD-F778-4AF7-A2D7-8AB528C4F8FA}"/>
    <cellStyle name="20% - Accent2 4 4 2 3 2" xfId="24758" xr:uid="{2103E689-BBE0-4B0C-8259-6067069AD6C7}"/>
    <cellStyle name="20% - Accent2 4 4 2 4" xfId="20547" xr:uid="{2BA81DD2-29CE-41D2-B9FF-AF5E59CC9D4D}"/>
    <cellStyle name="20% - Accent2 4 4 3" xfId="5762" xr:uid="{00000000-0005-0000-0000-000026010000}"/>
    <cellStyle name="20% - Accent2 4 4 3 2" xfId="14191" xr:uid="{3C1ECBD2-9609-4CB0-934B-5FEA71688ED9}"/>
    <cellStyle name="20% - Accent2 4 4 3 3" xfId="26824" xr:uid="{241C960B-E8E4-4B08-9A47-DF398C6469EF}"/>
    <cellStyle name="20% - Accent2 4 4 4" xfId="9973" xr:uid="{2B1D655C-661B-45BC-9DB6-11F96B2B2BE0}"/>
    <cellStyle name="20% - Accent2 4 4 4 2" xfId="22613" xr:uid="{6473E2CE-F135-46E7-8B59-78CACED50DB8}"/>
    <cellStyle name="20% - Accent2 4 4 5" xfId="18402" xr:uid="{2CCB9B78-6F59-4577-BBF4-C3D1F68DA0E7}"/>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E155BF50-F0FA-41C9-B196-19F63A89D968}"/>
    <cellStyle name="20% - Accent2 4 5 2 2 3" xfId="29382" xr:uid="{49D6E1F0-7469-42CF-9BFD-D9964F7C236F}"/>
    <cellStyle name="20% - Accent2 4 5 2 3" xfId="12531" xr:uid="{89FE31D8-3D85-431E-9528-01A521E89620}"/>
    <cellStyle name="20% - Accent2 4 5 2 3 2" xfId="25171" xr:uid="{6E15E21B-CA63-4058-8B11-0620921E0BA5}"/>
    <cellStyle name="20% - Accent2 4 5 2 4" xfId="20960" xr:uid="{3ED011EF-FE06-40BE-AB05-30A2C2B20EDA}"/>
    <cellStyle name="20% - Accent2 4 5 3" xfId="6175" xr:uid="{00000000-0005-0000-0000-00002A010000}"/>
    <cellStyle name="20% - Accent2 4 5 3 2" xfId="14604" xr:uid="{B813465B-3024-45BC-816D-70AB1C51F93F}"/>
    <cellStyle name="20% - Accent2 4 5 3 3" xfId="27237" xr:uid="{B06C2D74-9FBD-4EE7-AECF-EAFCA3ABDDF5}"/>
    <cellStyle name="20% - Accent2 4 5 4" xfId="10386" xr:uid="{FFB8A1FA-E83C-48E5-ABE9-16EC302B3AC3}"/>
    <cellStyle name="20% - Accent2 4 5 4 2" xfId="23026" xr:uid="{72BF6E6B-EA9F-43FF-AFEB-693338D9B5B9}"/>
    <cellStyle name="20% - Accent2 4 5 5" xfId="18815" xr:uid="{301C470E-0B1E-45FF-B619-3CDE489E2C86}"/>
    <cellStyle name="20% - Accent2 4 6" xfId="2280" xr:uid="{00000000-0005-0000-0000-00002B010000}"/>
    <cellStyle name="20% - Accent2 4 6 2" xfId="6588" xr:uid="{00000000-0005-0000-0000-00002C010000}"/>
    <cellStyle name="20% - Accent2 4 6 2 2" xfId="15017" xr:uid="{7BC3B16A-0410-43CC-9A3B-E6A85C0B5A14}"/>
    <cellStyle name="20% - Accent2 4 6 2 3" xfId="27650" xr:uid="{B42F78D0-73CA-4D7F-9182-D3C5BFB511DE}"/>
    <cellStyle name="20% - Accent2 4 6 3" xfId="10799" xr:uid="{CDAE47AF-948A-481B-B792-7069975F511D}"/>
    <cellStyle name="20% - Accent2 4 6 3 2" xfId="23439" xr:uid="{23154C55-774A-428F-9BC7-5BBBFEEE6E4D}"/>
    <cellStyle name="20% - Accent2 4 6 4" xfId="19228" xr:uid="{06EFFA2C-A63F-4D46-AA12-71B8B2E44757}"/>
    <cellStyle name="20% - Accent2 4 7" xfId="4522" xr:uid="{00000000-0005-0000-0000-00002D010000}"/>
    <cellStyle name="20% - Accent2 4 7 2" xfId="12951" xr:uid="{923138B6-2563-41E1-BE7A-0793076C02E6}"/>
    <cellStyle name="20% - Accent2 4 7 3" xfId="25584" xr:uid="{1C5989BD-6FF6-4374-8A0C-A8A472522355}"/>
    <cellStyle name="20% - Accent2 4 8" xfId="8733" xr:uid="{AF701EEE-A201-459A-A713-A6F7EF5A5EFD}"/>
    <cellStyle name="20% - Accent2 4 8 2" xfId="21373" xr:uid="{9092AEC9-398C-4F48-B52A-CF39F9BCB3FB}"/>
    <cellStyle name="20% - Accent2 4 9" xfId="17162" xr:uid="{CDDE09F3-3F7B-48DA-B412-8A33D38DAACA}"/>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85B0BC81-F380-42A4-8ECE-9C1D8B2627ED}"/>
    <cellStyle name="20% - Accent2 5 2 2 3" xfId="28136" xr:uid="{B726BA94-2A99-4B86-A97F-D69C5BA506DF}"/>
    <cellStyle name="20% - Accent2 5 2 3" xfId="11285" xr:uid="{69E66363-1D37-40F8-8700-624EB4B7DB2A}"/>
    <cellStyle name="20% - Accent2 5 2 3 2" xfId="23925" xr:uid="{59BC8B58-FC85-4E3C-A1E5-6828C639413C}"/>
    <cellStyle name="20% - Accent2 5 2 4" xfId="19714" xr:uid="{80D0F2B1-4B70-449B-8EA3-7DB7578B79D2}"/>
    <cellStyle name="20% - Accent2 5 3" xfId="4929" xr:uid="{00000000-0005-0000-0000-000031010000}"/>
    <cellStyle name="20% - Accent2 5 3 2" xfId="13358" xr:uid="{D146C09E-AE48-40FF-9FCD-15D3FB07BD37}"/>
    <cellStyle name="20% - Accent2 5 3 3" xfId="25991" xr:uid="{D6ADD494-B42D-463A-A0A6-FF24908E56F1}"/>
    <cellStyle name="20% - Accent2 5 4" xfId="9140" xr:uid="{13146448-FAFC-453F-8EDC-6C1A9D903185}"/>
    <cellStyle name="20% - Accent2 5 4 2" xfId="21780" xr:uid="{8A7B2604-FB1F-4FB5-ADDC-0E8A83505D5D}"/>
    <cellStyle name="20% - Accent2 5 5" xfId="17569" xr:uid="{F69B01FB-1B32-4724-B255-A18820822F53}"/>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E21AD8AC-2CEE-4DB5-9369-E87D6972F01B}"/>
    <cellStyle name="20% - Accent2 6 2 2 3" xfId="28549" xr:uid="{961DBADD-3C63-46AF-A335-250F8230ABBF}"/>
    <cellStyle name="20% - Accent2 6 2 3" xfId="11698" xr:uid="{B3A3ABF0-A935-48BE-BBE0-530BC60EF229}"/>
    <cellStyle name="20% - Accent2 6 2 3 2" xfId="24338" xr:uid="{E1D5A2C1-0FB2-42FD-A158-1127192154F0}"/>
    <cellStyle name="20% - Accent2 6 2 4" xfId="20127" xr:uid="{850F0B56-05F5-43ED-9E89-E4791EE42713}"/>
    <cellStyle name="20% - Accent2 6 3" xfId="5342" xr:uid="{00000000-0005-0000-0000-000035010000}"/>
    <cellStyle name="20% - Accent2 6 3 2" xfId="13771" xr:uid="{F6BA0197-7D12-4118-884C-2C529FC3CA0E}"/>
    <cellStyle name="20% - Accent2 6 3 3" xfId="26404" xr:uid="{E4B229A3-EBC5-4D63-8BC1-2BA434405BD6}"/>
    <cellStyle name="20% - Accent2 6 4" xfId="9553" xr:uid="{9AD9987F-5740-44C7-8C2F-6BE269E02ED8}"/>
    <cellStyle name="20% - Accent2 6 4 2" xfId="22193" xr:uid="{133ABA98-74D5-4F35-A5A0-3B7F89FA7605}"/>
    <cellStyle name="20% - Accent2 6 5" xfId="17982" xr:uid="{EBC7D0E5-8938-4BEB-8CAC-1E79C6E6D18E}"/>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E7FBC812-4BA3-4458-A78E-5C3223711D02}"/>
    <cellStyle name="20% - Accent2 7 2 2 3" xfId="28962" xr:uid="{B1CFCAD4-B64B-4DF8-82B8-C803CEF0F3B7}"/>
    <cellStyle name="20% - Accent2 7 2 3" xfId="12111" xr:uid="{B69C1C4D-A191-4FFF-BE2E-61319BAF97B0}"/>
    <cellStyle name="20% - Accent2 7 2 3 2" xfId="24751" xr:uid="{9B566427-BD62-4861-A6DF-DB72A3C09106}"/>
    <cellStyle name="20% - Accent2 7 2 4" xfId="20540" xr:uid="{6DCD4002-12DE-4A67-9947-31B90629ACB3}"/>
    <cellStyle name="20% - Accent2 7 3" xfId="5755" xr:uid="{00000000-0005-0000-0000-000039010000}"/>
    <cellStyle name="20% - Accent2 7 3 2" xfId="14184" xr:uid="{97AAB9E4-DFFB-48FF-9EFC-279970D3523A}"/>
    <cellStyle name="20% - Accent2 7 3 3" xfId="26817" xr:uid="{249C794A-59B8-4BE2-9527-B8A0DA65A717}"/>
    <cellStyle name="20% - Accent2 7 4" xfId="9966" xr:uid="{DB23888C-5117-4BEA-A216-12AF8515602B}"/>
    <cellStyle name="20% - Accent2 7 4 2" xfId="22606" xr:uid="{764B6CB5-4039-4FEA-AE65-1EA39CF03DB7}"/>
    <cellStyle name="20% - Accent2 7 5" xfId="18395" xr:uid="{9E047601-1C76-4EB3-92B2-5D32CF7274C9}"/>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82D9943C-3810-4AF6-A8AA-67170AEA8A6A}"/>
    <cellStyle name="20% - Accent2 8 2 2 3" xfId="29375" xr:uid="{427872C7-ACAE-49B7-A985-720C150DDFF8}"/>
    <cellStyle name="20% - Accent2 8 2 3" xfId="12524" xr:uid="{B23C0B9E-1D35-43EF-A6A7-0D8B842741A1}"/>
    <cellStyle name="20% - Accent2 8 2 3 2" xfId="25164" xr:uid="{4ABEF622-537A-4A44-884B-2EA698D0FC22}"/>
    <cellStyle name="20% - Accent2 8 2 4" xfId="20953" xr:uid="{FCD789E0-40D9-4CEA-9059-19739F10CA97}"/>
    <cellStyle name="20% - Accent2 8 3" xfId="6168" xr:uid="{00000000-0005-0000-0000-00003D010000}"/>
    <cellStyle name="20% - Accent2 8 3 2" xfId="14597" xr:uid="{58271648-B577-4CA7-8662-46A5C3099CBE}"/>
    <cellStyle name="20% - Accent2 8 3 3" xfId="27230" xr:uid="{7B61899C-B77D-400E-8290-2F2E8F9AFA04}"/>
    <cellStyle name="20% - Accent2 8 4" xfId="10379" xr:uid="{2A4B68FA-36BF-43F8-90AA-5DE5EA86E3BA}"/>
    <cellStyle name="20% - Accent2 8 4 2" xfId="23019" xr:uid="{85C173A4-5074-42A5-B391-7A37EC2E09D8}"/>
    <cellStyle name="20% - Accent2 8 5" xfId="18808" xr:uid="{A135DAF2-9475-4563-B576-84B9E1BCCFD5}"/>
    <cellStyle name="20% - Accent2 9" xfId="2273" xr:uid="{00000000-0005-0000-0000-00003E010000}"/>
    <cellStyle name="20% - Accent2 9 2" xfId="6581" xr:uid="{00000000-0005-0000-0000-00003F010000}"/>
    <cellStyle name="20% - Accent2 9 2 2" xfId="15010" xr:uid="{F398560D-D9ED-4A2D-A998-02988AF1FFAE}"/>
    <cellStyle name="20% - Accent2 9 2 3" xfId="27643" xr:uid="{FE4CDF92-3951-4966-BC1C-40B49ED9E93C}"/>
    <cellStyle name="20% - Accent2 9 3" xfId="10792" xr:uid="{D8138DA3-B346-4D2B-AC95-0F82410129E4}"/>
    <cellStyle name="20% - Accent2 9 3 2" xfId="23432" xr:uid="{C632A9E6-1855-43C2-B048-93CA5D75AF9C}"/>
    <cellStyle name="20% - Accent2 9 4" xfId="19221" xr:uid="{A6C22D12-2520-45AF-8BBE-694CF35FABAB}"/>
    <cellStyle name="20% - Accent3" xfId="17" builtinId="38" customBuiltin="1"/>
    <cellStyle name="20% - Accent3 10" xfId="4523" xr:uid="{00000000-0005-0000-0000-000041010000}"/>
    <cellStyle name="20% - Accent3 10 2" xfId="12952" xr:uid="{125E9152-8CBD-4C89-A0AB-7BECF9AAE4EA}"/>
    <cellStyle name="20% - Accent3 10 3" xfId="25585" xr:uid="{6767507E-BC56-4339-A944-0E56B7B8BC3D}"/>
    <cellStyle name="20% - Accent3 11" xfId="8734" xr:uid="{2E58B948-8883-4982-8B75-4AFE4A149E04}"/>
    <cellStyle name="20% - Accent3 11 2" xfId="21374" xr:uid="{3E7855C3-2BE6-44D8-9B63-E05BE7ACA920}"/>
    <cellStyle name="20% - Accent3 12" xfId="17163" xr:uid="{DED7EDD1-285E-4B7A-BF16-653B1BB69A98}"/>
    <cellStyle name="20% - Accent3 2" xfId="18" xr:uid="{00000000-0005-0000-0000-000042010000}"/>
    <cellStyle name="20% - Accent3 2 10" xfId="8735" xr:uid="{0CDCB8A8-7640-4102-B772-086321CE91BA}"/>
    <cellStyle name="20% - Accent3 2 10 2" xfId="21375" xr:uid="{65199A89-471D-44A8-8B0A-31E1BFB5A6A9}"/>
    <cellStyle name="20% - Accent3 2 11" xfId="17164" xr:uid="{AEAEBFCE-BF68-4DD6-9319-6BF9479F5099}"/>
    <cellStyle name="20% - Accent3 2 2" xfId="19" xr:uid="{00000000-0005-0000-0000-000043010000}"/>
    <cellStyle name="20% - Accent3 2 2 10" xfId="17165" xr:uid="{DD9755EC-ED01-419D-8078-6B28387FFE9E}"/>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7CF5CA67-3B94-42C9-ABFA-30BE82E061BE}"/>
    <cellStyle name="20% - Accent3 2 2 2 2 2 2 3" xfId="28147" xr:uid="{78830957-7489-43A0-9BB4-C507D407D6E1}"/>
    <cellStyle name="20% - Accent3 2 2 2 2 2 3" xfId="11296" xr:uid="{48B7BF76-99E8-4B30-806D-622D670D675D}"/>
    <cellStyle name="20% - Accent3 2 2 2 2 2 3 2" xfId="23936" xr:uid="{AA6543F1-5012-43EB-ABC6-EBCADBC3822F}"/>
    <cellStyle name="20% - Accent3 2 2 2 2 2 4" xfId="19725" xr:uid="{98B5B686-A242-4242-B881-97F9D4FEE34B}"/>
    <cellStyle name="20% - Accent3 2 2 2 2 3" xfId="4940" xr:uid="{00000000-0005-0000-0000-000048010000}"/>
    <cellStyle name="20% - Accent3 2 2 2 2 3 2" xfId="13369" xr:uid="{3AE88C8B-6EBF-4500-8985-E1802949067B}"/>
    <cellStyle name="20% - Accent3 2 2 2 2 3 3" xfId="26002" xr:uid="{B2B647AC-051E-4AC9-AEDD-085BCFC752AB}"/>
    <cellStyle name="20% - Accent3 2 2 2 2 4" xfId="9151" xr:uid="{E29D745F-2AE9-4B3B-878D-5784A0FB2D43}"/>
    <cellStyle name="20% - Accent3 2 2 2 2 4 2" xfId="21791" xr:uid="{A1F5BF65-F7D5-463B-ADD1-049675A9C262}"/>
    <cellStyle name="20% - Accent3 2 2 2 2 5" xfId="17580" xr:uid="{C8ADDBC0-E39C-4B40-8400-0A492F4851CF}"/>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62F00793-175D-429D-836C-ABC9F38F442B}"/>
    <cellStyle name="20% - Accent3 2 2 2 3 2 2 3" xfId="28560" xr:uid="{364592DB-2E1B-45BF-AF96-24FA82A2CFA4}"/>
    <cellStyle name="20% - Accent3 2 2 2 3 2 3" xfId="11709" xr:uid="{599E4036-C4E9-4DC1-82E6-12484458D493}"/>
    <cellStyle name="20% - Accent3 2 2 2 3 2 3 2" xfId="24349" xr:uid="{079C167C-99E6-45BF-A1B5-F62EEED4B1F8}"/>
    <cellStyle name="20% - Accent3 2 2 2 3 2 4" xfId="20138" xr:uid="{5F9EC840-B935-465B-B013-7222F4E022BE}"/>
    <cellStyle name="20% - Accent3 2 2 2 3 3" xfId="5353" xr:uid="{00000000-0005-0000-0000-00004C010000}"/>
    <cellStyle name="20% - Accent3 2 2 2 3 3 2" xfId="13782" xr:uid="{34214973-FE3B-4935-8C52-263FD8CA8AAE}"/>
    <cellStyle name="20% - Accent3 2 2 2 3 3 3" xfId="26415" xr:uid="{15CF8B5E-850B-42A5-B030-80047C2CF5BF}"/>
    <cellStyle name="20% - Accent3 2 2 2 3 4" xfId="9564" xr:uid="{CDD63FD3-13FB-4EC7-BDFB-1DD65CD1751E}"/>
    <cellStyle name="20% - Accent3 2 2 2 3 4 2" xfId="22204" xr:uid="{2BB1EAB2-0F72-406B-9EC2-C67AF969CE34}"/>
    <cellStyle name="20% - Accent3 2 2 2 3 5" xfId="17993" xr:uid="{A91F0379-5CA4-47D9-B54E-04F95DDF5CE8}"/>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2E6BC519-25E9-4389-8988-553671FD8C23}"/>
    <cellStyle name="20% - Accent3 2 2 2 4 2 2 3" xfId="28973" xr:uid="{9D3602A7-77D1-4412-9953-E1F3F1B0C4AA}"/>
    <cellStyle name="20% - Accent3 2 2 2 4 2 3" xfId="12122" xr:uid="{46F56EBC-0BA8-4972-AF7A-8EA3318E7C95}"/>
    <cellStyle name="20% - Accent3 2 2 2 4 2 3 2" xfId="24762" xr:uid="{837A8630-D444-41C3-AD37-8A2F8482C645}"/>
    <cellStyle name="20% - Accent3 2 2 2 4 2 4" xfId="20551" xr:uid="{9FBF5A8C-F37C-4965-B805-012E37783923}"/>
    <cellStyle name="20% - Accent3 2 2 2 4 3" xfId="5766" xr:uid="{00000000-0005-0000-0000-000050010000}"/>
    <cellStyle name="20% - Accent3 2 2 2 4 3 2" xfId="14195" xr:uid="{3E706610-CA1B-4397-AA31-CB265DC1707A}"/>
    <cellStyle name="20% - Accent3 2 2 2 4 3 3" xfId="26828" xr:uid="{E565F8C5-1E25-4AE9-8778-6B2483153473}"/>
    <cellStyle name="20% - Accent3 2 2 2 4 4" xfId="9977" xr:uid="{F4A36EE0-7147-4C99-B304-55C75977DEA4}"/>
    <cellStyle name="20% - Accent3 2 2 2 4 4 2" xfId="22617" xr:uid="{59FEABE2-349F-4F7D-A76E-E5C761C0431C}"/>
    <cellStyle name="20% - Accent3 2 2 2 4 5" xfId="18406" xr:uid="{CCDB587C-9BF8-40DA-9EF0-55155D5DCB13}"/>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8640D35C-8889-4E91-859B-A02F943F4B02}"/>
    <cellStyle name="20% - Accent3 2 2 2 5 2 2 3" xfId="29386" xr:uid="{52C67B48-BF04-4D46-8A55-BBA6CD2FA4B8}"/>
    <cellStyle name="20% - Accent3 2 2 2 5 2 3" xfId="12535" xr:uid="{268E8724-CEEF-409E-96EF-7C778478C091}"/>
    <cellStyle name="20% - Accent3 2 2 2 5 2 3 2" xfId="25175" xr:uid="{9208E561-B997-4E32-AE3C-98BFB7349C56}"/>
    <cellStyle name="20% - Accent3 2 2 2 5 2 4" xfId="20964" xr:uid="{D97A0D04-2174-4A81-8F00-565EA85AD8C3}"/>
    <cellStyle name="20% - Accent3 2 2 2 5 3" xfId="6179" xr:uid="{00000000-0005-0000-0000-000054010000}"/>
    <cellStyle name="20% - Accent3 2 2 2 5 3 2" xfId="14608" xr:uid="{7FD94F53-B72E-4013-AF03-1DEC9B43A7D5}"/>
    <cellStyle name="20% - Accent3 2 2 2 5 3 3" xfId="27241" xr:uid="{4637F6C8-4CC2-4B99-9D5E-968723DCAEA9}"/>
    <cellStyle name="20% - Accent3 2 2 2 5 4" xfId="10390" xr:uid="{2BC8EBF9-C69F-4349-B3C8-A17174827854}"/>
    <cellStyle name="20% - Accent3 2 2 2 5 4 2" xfId="23030" xr:uid="{9919685E-5267-4942-BB90-91E6C4791F9A}"/>
    <cellStyle name="20% - Accent3 2 2 2 5 5" xfId="18819" xr:uid="{81D17742-94C2-4928-B038-C3C5116DF6A3}"/>
    <cellStyle name="20% - Accent3 2 2 2 6" xfId="2284" xr:uid="{00000000-0005-0000-0000-000055010000}"/>
    <cellStyle name="20% - Accent3 2 2 2 6 2" xfId="6592" xr:uid="{00000000-0005-0000-0000-000056010000}"/>
    <cellStyle name="20% - Accent3 2 2 2 6 2 2" xfId="15021" xr:uid="{C9C5395D-E389-4C0E-B130-1BE92E413038}"/>
    <cellStyle name="20% - Accent3 2 2 2 6 2 3" xfId="27654" xr:uid="{687BB376-D5FA-4F30-8CAA-F2A101F25B84}"/>
    <cellStyle name="20% - Accent3 2 2 2 6 3" xfId="10803" xr:uid="{ADF5E4B9-47CD-4A2B-8FF0-3D287B100173}"/>
    <cellStyle name="20% - Accent3 2 2 2 6 3 2" xfId="23443" xr:uid="{7C5E4BA0-F53C-4D4C-A54E-A1D10D308E80}"/>
    <cellStyle name="20% - Accent3 2 2 2 6 4" xfId="19232" xr:uid="{6F834FB4-E4ED-497D-BD23-DF8FC01894BD}"/>
    <cellStyle name="20% - Accent3 2 2 2 7" xfId="4526" xr:uid="{00000000-0005-0000-0000-000057010000}"/>
    <cellStyle name="20% - Accent3 2 2 2 7 2" xfId="12955" xr:uid="{3E031AD0-26E0-45CA-9735-B098468FF583}"/>
    <cellStyle name="20% - Accent3 2 2 2 7 3" xfId="25588" xr:uid="{B5A00C1B-CC5D-4A47-9D5A-A2BB488DDAF9}"/>
    <cellStyle name="20% - Accent3 2 2 2 8" xfId="8737" xr:uid="{F78909FD-3C88-4732-9A4A-4733065990DA}"/>
    <cellStyle name="20% - Accent3 2 2 2 8 2" xfId="21377" xr:uid="{3A9FB156-BB13-4605-B826-F52EB092269E}"/>
    <cellStyle name="20% - Accent3 2 2 2 9" xfId="17166" xr:uid="{9796B15B-619A-4C66-A0C3-30623B944A49}"/>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0EB528F3-1F8D-4F9E-92E0-D0DACCC4855D}"/>
    <cellStyle name="20% - Accent3 2 2 3 2 2 3" xfId="28146" xr:uid="{05643349-6210-4A24-8B37-649F7A6C452B}"/>
    <cellStyle name="20% - Accent3 2 2 3 2 3" xfId="11295" xr:uid="{9CC69A10-9C9C-43F3-AF19-4EB4DC876571}"/>
    <cellStyle name="20% - Accent3 2 2 3 2 3 2" xfId="23935" xr:uid="{841D22CC-FA1D-4C33-B9CD-200C1AB67465}"/>
    <cellStyle name="20% - Accent3 2 2 3 2 4" xfId="19724" xr:uid="{68231FD8-61A0-4128-A4C4-5D6B8C386134}"/>
    <cellStyle name="20% - Accent3 2 2 3 3" xfId="4939" xr:uid="{00000000-0005-0000-0000-00005B010000}"/>
    <cellStyle name="20% - Accent3 2 2 3 3 2" xfId="13368" xr:uid="{B3A20634-3CDC-4266-A5B5-190ACD9DF042}"/>
    <cellStyle name="20% - Accent3 2 2 3 3 3" xfId="26001" xr:uid="{D4AB0FE7-6ED9-42A2-8CBA-CBCB328D5421}"/>
    <cellStyle name="20% - Accent3 2 2 3 4" xfId="9150" xr:uid="{32126487-7AF5-4B10-8E41-8FCDADFBC16B}"/>
    <cellStyle name="20% - Accent3 2 2 3 4 2" xfId="21790" xr:uid="{14B7E2B7-9946-4915-9338-90060E897B0A}"/>
    <cellStyle name="20% - Accent3 2 2 3 5" xfId="17579" xr:uid="{D6B3E5C1-944B-45A4-A81C-0A63B833C64F}"/>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0D9A2B47-F388-4F78-A975-2C01CA11C625}"/>
    <cellStyle name="20% - Accent3 2 2 4 2 2 3" xfId="28559" xr:uid="{4C175EF3-C670-4FFA-AA0C-D9CAA7B1C22C}"/>
    <cellStyle name="20% - Accent3 2 2 4 2 3" xfId="11708" xr:uid="{00048D8A-EB58-4D55-AC03-5B5921E6C1FF}"/>
    <cellStyle name="20% - Accent3 2 2 4 2 3 2" xfId="24348" xr:uid="{04615A20-A488-4134-BE21-3C49564B6788}"/>
    <cellStyle name="20% - Accent3 2 2 4 2 4" xfId="20137" xr:uid="{F9064F8B-8A03-4261-8B4C-F528B642DA5D}"/>
    <cellStyle name="20% - Accent3 2 2 4 3" xfId="5352" xr:uid="{00000000-0005-0000-0000-00005F010000}"/>
    <cellStyle name="20% - Accent3 2 2 4 3 2" xfId="13781" xr:uid="{4B7FBA5B-C4C3-48A8-A9B0-77ED35B44C07}"/>
    <cellStyle name="20% - Accent3 2 2 4 3 3" xfId="26414" xr:uid="{BA5F3C55-7BF9-4FB4-98E4-6598D26A4B3A}"/>
    <cellStyle name="20% - Accent3 2 2 4 4" xfId="9563" xr:uid="{F1388CF3-571C-4B2F-B6C0-BDEEC2D990D3}"/>
    <cellStyle name="20% - Accent3 2 2 4 4 2" xfId="22203" xr:uid="{E519CEFA-9F45-426A-9B0E-31FF963BC7D7}"/>
    <cellStyle name="20% - Accent3 2 2 4 5" xfId="17992" xr:uid="{E0C334CA-4CD3-4947-A1B2-39E1FC3CE001}"/>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600D1397-56C6-4B4B-8738-380CC7B6608D}"/>
    <cellStyle name="20% - Accent3 2 2 5 2 2 3" xfId="28972" xr:uid="{61D81DD1-F84C-484F-A9E7-F6E45E6C305C}"/>
    <cellStyle name="20% - Accent3 2 2 5 2 3" xfId="12121" xr:uid="{D686AD0F-169B-4EE4-8A8A-129AEB394422}"/>
    <cellStyle name="20% - Accent3 2 2 5 2 3 2" xfId="24761" xr:uid="{83379742-FBFA-47D1-AEB4-22254A696AC3}"/>
    <cellStyle name="20% - Accent3 2 2 5 2 4" xfId="20550" xr:uid="{352C8233-014B-48A1-B3C6-9F6E7C11DE75}"/>
    <cellStyle name="20% - Accent3 2 2 5 3" xfId="5765" xr:uid="{00000000-0005-0000-0000-000063010000}"/>
    <cellStyle name="20% - Accent3 2 2 5 3 2" xfId="14194" xr:uid="{FEB69B53-9D1B-4449-8582-889DBF97F145}"/>
    <cellStyle name="20% - Accent3 2 2 5 3 3" xfId="26827" xr:uid="{00CF1805-EF54-435E-AA1B-FA4D5D7C7FC5}"/>
    <cellStyle name="20% - Accent3 2 2 5 4" xfId="9976" xr:uid="{F2705908-8915-421C-8F4E-AB13D6249006}"/>
    <cellStyle name="20% - Accent3 2 2 5 4 2" xfId="22616" xr:uid="{DE0DBDCE-EFC6-4F65-A0F5-3BAD5E8BF2EE}"/>
    <cellStyle name="20% - Accent3 2 2 5 5" xfId="18405" xr:uid="{A51C35A3-6DBF-478E-90F5-CC206BB4BB66}"/>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924D32EB-960F-42EC-9DF9-8F0FADD579E2}"/>
    <cellStyle name="20% - Accent3 2 2 6 2 2 3" xfId="29385" xr:uid="{12440DC1-9FFA-4CF6-B4C9-A4144B4BC4E6}"/>
    <cellStyle name="20% - Accent3 2 2 6 2 3" xfId="12534" xr:uid="{20907FC9-AADB-4345-964A-C4D7B6F20AF5}"/>
    <cellStyle name="20% - Accent3 2 2 6 2 3 2" xfId="25174" xr:uid="{5A6C7B49-E16A-4F4F-BE89-4F2224888B0C}"/>
    <cellStyle name="20% - Accent3 2 2 6 2 4" xfId="20963" xr:uid="{3D49BE76-C2EF-418D-94E8-44890D6F9C09}"/>
    <cellStyle name="20% - Accent3 2 2 6 3" xfId="6178" xr:uid="{00000000-0005-0000-0000-000067010000}"/>
    <cellStyle name="20% - Accent3 2 2 6 3 2" xfId="14607" xr:uid="{5EA29988-9891-439E-9728-7208A6353827}"/>
    <cellStyle name="20% - Accent3 2 2 6 3 3" xfId="27240" xr:uid="{250BB661-2840-4337-B31B-AA73A1D75175}"/>
    <cellStyle name="20% - Accent3 2 2 6 4" xfId="10389" xr:uid="{BB59675F-BEEF-44F0-9081-8B3E673184A4}"/>
    <cellStyle name="20% - Accent3 2 2 6 4 2" xfId="23029" xr:uid="{DCD98C42-0183-4C7A-85B4-95A8B0469F27}"/>
    <cellStyle name="20% - Accent3 2 2 6 5" xfId="18818" xr:uid="{1D1B4E42-4139-4241-87FF-7859C5B26C76}"/>
    <cellStyle name="20% - Accent3 2 2 7" xfId="2283" xr:uid="{00000000-0005-0000-0000-000068010000}"/>
    <cellStyle name="20% - Accent3 2 2 7 2" xfId="6591" xr:uid="{00000000-0005-0000-0000-000069010000}"/>
    <cellStyle name="20% - Accent3 2 2 7 2 2" xfId="15020" xr:uid="{4870012F-DEF5-4C1D-9EC8-1E1B5D167C33}"/>
    <cellStyle name="20% - Accent3 2 2 7 2 3" xfId="27653" xr:uid="{3839C592-B194-435B-A203-BEF9D2806F5D}"/>
    <cellStyle name="20% - Accent3 2 2 7 3" xfId="10802" xr:uid="{4331492A-0149-4B04-970A-1AE9158264CE}"/>
    <cellStyle name="20% - Accent3 2 2 7 3 2" xfId="23442" xr:uid="{D9153130-16FE-43C4-955A-2F72F8C5A077}"/>
    <cellStyle name="20% - Accent3 2 2 7 4" xfId="19231" xr:uid="{71536EE8-2289-4FD9-A9BC-A7670BC0E6FE}"/>
    <cellStyle name="20% - Accent3 2 2 8" xfId="4525" xr:uid="{00000000-0005-0000-0000-00006A010000}"/>
    <cellStyle name="20% - Accent3 2 2 8 2" xfId="12954" xr:uid="{E5685264-09FD-4EC6-BBEC-FC8F85168FDF}"/>
    <cellStyle name="20% - Accent3 2 2 8 3" xfId="25587" xr:uid="{FBEF2A6A-E835-4376-B0C7-EFFF0C88CE94}"/>
    <cellStyle name="20% - Accent3 2 2 9" xfId="8736" xr:uid="{5C358576-26DE-4AEC-B4E9-C75374DC4972}"/>
    <cellStyle name="20% - Accent3 2 2 9 2" xfId="21376" xr:uid="{8D7D180C-3DE2-4381-ADEA-883F80C4450E}"/>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A01761CA-61F6-4BD4-9F3A-C37B3DB82AAF}"/>
    <cellStyle name="20% - Accent3 2 3 2 2 2 3" xfId="28148" xr:uid="{E41A449A-4C53-4D10-A72A-17B0A7FF2926}"/>
    <cellStyle name="20% - Accent3 2 3 2 2 3" xfId="11297" xr:uid="{AC0724CA-4EC7-47EA-9F98-F35A09FE879B}"/>
    <cellStyle name="20% - Accent3 2 3 2 2 3 2" xfId="23937" xr:uid="{9C28B515-8748-4A6F-9229-B9F5380DFB55}"/>
    <cellStyle name="20% - Accent3 2 3 2 2 4" xfId="19726" xr:uid="{1D9A80C2-BB93-472A-BC8A-A6AEEDD4D98A}"/>
    <cellStyle name="20% - Accent3 2 3 2 3" xfId="4941" xr:uid="{00000000-0005-0000-0000-00006F010000}"/>
    <cellStyle name="20% - Accent3 2 3 2 3 2" xfId="13370" xr:uid="{1E8CBC33-F24C-4727-A4D4-E7FC29B4398E}"/>
    <cellStyle name="20% - Accent3 2 3 2 3 3" xfId="26003" xr:uid="{53CDB582-9989-4117-90D5-1F0F83DB8CFD}"/>
    <cellStyle name="20% - Accent3 2 3 2 4" xfId="9152" xr:uid="{BBDB92E2-CA25-426D-B041-4116E1EE961E}"/>
    <cellStyle name="20% - Accent3 2 3 2 4 2" xfId="21792" xr:uid="{046AE5EF-B9F0-4F1D-8E02-929BA0E9DC1A}"/>
    <cellStyle name="20% - Accent3 2 3 2 5" xfId="17581" xr:uid="{0C028524-1967-462C-9AB0-8F406337F486}"/>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FE685D48-EFBB-4C28-A5DA-210D1A28E549}"/>
    <cellStyle name="20% - Accent3 2 3 3 2 2 3" xfId="28561" xr:uid="{A9BD5568-C875-4A1E-AFFE-C435EB291A17}"/>
    <cellStyle name="20% - Accent3 2 3 3 2 3" xfId="11710" xr:uid="{AACD1E6C-849C-4D20-A96C-FD62F62F1DBC}"/>
    <cellStyle name="20% - Accent3 2 3 3 2 3 2" xfId="24350" xr:uid="{51C27ED2-54DE-4233-A446-52D11CBE0759}"/>
    <cellStyle name="20% - Accent3 2 3 3 2 4" xfId="20139" xr:uid="{B61F66A2-953E-4289-BF1F-48C59432A68F}"/>
    <cellStyle name="20% - Accent3 2 3 3 3" xfId="5354" xr:uid="{00000000-0005-0000-0000-000073010000}"/>
    <cellStyle name="20% - Accent3 2 3 3 3 2" xfId="13783" xr:uid="{96DB6F6C-8785-42DD-9AC0-07084E26DCD8}"/>
    <cellStyle name="20% - Accent3 2 3 3 3 3" xfId="26416" xr:uid="{7022AE57-1DB2-4BDE-9EA5-67C23C0521B6}"/>
    <cellStyle name="20% - Accent3 2 3 3 4" xfId="9565" xr:uid="{BE1FD405-67CD-4323-9365-FE1D12AD52E1}"/>
    <cellStyle name="20% - Accent3 2 3 3 4 2" xfId="22205" xr:uid="{B5F53156-6A2E-4BB5-B1EE-73DC8C255995}"/>
    <cellStyle name="20% - Accent3 2 3 3 5" xfId="17994" xr:uid="{F72665C6-3CAF-41F8-8EC0-B89D37E5293A}"/>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25D6E2E2-EF79-4078-92DA-D1C94B50EC3A}"/>
    <cellStyle name="20% - Accent3 2 3 4 2 2 3" xfId="28974" xr:uid="{168EC239-6776-48A3-B507-6CE54AE55F32}"/>
    <cellStyle name="20% - Accent3 2 3 4 2 3" xfId="12123" xr:uid="{5863EC2E-3939-4206-B101-344DFA330309}"/>
    <cellStyle name="20% - Accent3 2 3 4 2 3 2" xfId="24763" xr:uid="{DA747DB1-2B90-408B-99D7-50B1336AD0BF}"/>
    <cellStyle name="20% - Accent3 2 3 4 2 4" xfId="20552" xr:uid="{E62D4715-FD62-4125-A3C6-1D8E4D60B127}"/>
    <cellStyle name="20% - Accent3 2 3 4 3" xfId="5767" xr:uid="{00000000-0005-0000-0000-000077010000}"/>
    <cellStyle name="20% - Accent3 2 3 4 3 2" xfId="14196" xr:uid="{79B8B6E0-741E-440C-BCD9-CB56F5CC2709}"/>
    <cellStyle name="20% - Accent3 2 3 4 3 3" xfId="26829" xr:uid="{1AA45073-6D6E-4518-B3D5-70FF19939A3A}"/>
    <cellStyle name="20% - Accent3 2 3 4 4" xfId="9978" xr:uid="{CC021524-C08C-4D54-ABD1-A13E7EDAC6B7}"/>
    <cellStyle name="20% - Accent3 2 3 4 4 2" xfId="22618" xr:uid="{22CA7783-6331-4953-812A-37FC9FB8E685}"/>
    <cellStyle name="20% - Accent3 2 3 4 5" xfId="18407" xr:uid="{814F93FA-0B91-451D-B74C-540463829782}"/>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92CD4890-8CBE-4A70-8524-CE80A61413DB}"/>
    <cellStyle name="20% - Accent3 2 3 5 2 2 3" xfId="29387" xr:uid="{34DED8A2-4279-4127-9F7A-57F9FC32A9F4}"/>
    <cellStyle name="20% - Accent3 2 3 5 2 3" xfId="12536" xr:uid="{4F7D39DF-CD6D-43A5-9CFF-8C8547C2B263}"/>
    <cellStyle name="20% - Accent3 2 3 5 2 3 2" xfId="25176" xr:uid="{47DB3DAC-6AC5-46E7-8DF5-C27E707B0866}"/>
    <cellStyle name="20% - Accent3 2 3 5 2 4" xfId="20965" xr:uid="{88986C56-7111-4D6F-83E7-C28D487CFE7C}"/>
    <cellStyle name="20% - Accent3 2 3 5 3" xfId="6180" xr:uid="{00000000-0005-0000-0000-00007B010000}"/>
    <cellStyle name="20% - Accent3 2 3 5 3 2" xfId="14609" xr:uid="{59FC281C-9163-4F48-8A9B-ECA8ED1D0050}"/>
    <cellStyle name="20% - Accent3 2 3 5 3 3" xfId="27242" xr:uid="{8EDB80DE-CCCB-4B53-A289-F748AEAD24FC}"/>
    <cellStyle name="20% - Accent3 2 3 5 4" xfId="10391" xr:uid="{F48EBE7C-337D-4B5D-9D2B-3267E50CE571}"/>
    <cellStyle name="20% - Accent3 2 3 5 4 2" xfId="23031" xr:uid="{0EF81A5D-E5F9-4164-84A0-E30DB8FBF631}"/>
    <cellStyle name="20% - Accent3 2 3 5 5" xfId="18820" xr:uid="{CB6F42C9-E864-4691-873B-38169BD515F0}"/>
    <cellStyle name="20% - Accent3 2 3 6" xfId="2285" xr:uid="{00000000-0005-0000-0000-00007C010000}"/>
    <cellStyle name="20% - Accent3 2 3 6 2" xfId="6593" xr:uid="{00000000-0005-0000-0000-00007D010000}"/>
    <cellStyle name="20% - Accent3 2 3 6 2 2" xfId="15022" xr:uid="{0DF5B11F-62F6-4C4D-81B6-0A9D37BD3185}"/>
    <cellStyle name="20% - Accent3 2 3 6 2 3" xfId="27655" xr:uid="{20AC57F8-155D-41B7-8685-464E15FE33DF}"/>
    <cellStyle name="20% - Accent3 2 3 6 3" xfId="10804" xr:uid="{7EFA1391-6D3F-4665-A427-33A870CB257B}"/>
    <cellStyle name="20% - Accent3 2 3 6 3 2" xfId="23444" xr:uid="{059B38B5-BC6F-47CA-8A42-753DBB604990}"/>
    <cellStyle name="20% - Accent3 2 3 6 4" xfId="19233" xr:uid="{26F5AAEF-D687-4EDA-BF62-9EF583C0CB3D}"/>
    <cellStyle name="20% - Accent3 2 3 7" xfId="4527" xr:uid="{00000000-0005-0000-0000-00007E010000}"/>
    <cellStyle name="20% - Accent3 2 3 7 2" xfId="12956" xr:uid="{CF975A2C-D284-4485-8C4C-FDF7440F04C4}"/>
    <cellStyle name="20% - Accent3 2 3 7 3" xfId="25589" xr:uid="{12491325-3060-4D8C-A091-482D217091A7}"/>
    <cellStyle name="20% - Accent3 2 3 8" xfId="8738" xr:uid="{3CE16BE3-7C92-447A-A364-A48C032867E4}"/>
    <cellStyle name="20% - Accent3 2 3 8 2" xfId="21378" xr:uid="{A1373E04-E6B4-41F9-B570-129AE9F39A38}"/>
    <cellStyle name="20% - Accent3 2 3 9" xfId="17167" xr:uid="{DC65E1EE-B9FD-4ECF-AC54-8949DC5DC78C}"/>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160D9959-5BE7-4BA8-9E07-F1B748F99DF2}"/>
    <cellStyle name="20% - Accent3 2 4 2 2 3" xfId="28145" xr:uid="{855EEB24-54D9-496A-9501-630FF3A96009}"/>
    <cellStyle name="20% - Accent3 2 4 2 3" xfId="11294" xr:uid="{77C464EC-A107-46BA-9846-4FEBABCEFA0E}"/>
    <cellStyle name="20% - Accent3 2 4 2 3 2" xfId="23934" xr:uid="{EA3BB854-2454-42B1-811E-E18EAF521F61}"/>
    <cellStyle name="20% - Accent3 2 4 2 4" xfId="19723" xr:uid="{E7196590-9959-4C4B-8756-B254C3D1D65C}"/>
    <cellStyle name="20% - Accent3 2 4 3" xfId="4938" xr:uid="{00000000-0005-0000-0000-000082010000}"/>
    <cellStyle name="20% - Accent3 2 4 3 2" xfId="13367" xr:uid="{04E507B2-DB5A-4D6B-8D1D-EE7FE4A5F11F}"/>
    <cellStyle name="20% - Accent3 2 4 3 3" xfId="26000" xr:uid="{3C019C83-E8F7-41C7-8AEE-ECFE3D31E432}"/>
    <cellStyle name="20% - Accent3 2 4 4" xfId="9149" xr:uid="{0C96EF6D-F395-4A72-AD12-66521D35C482}"/>
    <cellStyle name="20% - Accent3 2 4 4 2" xfId="21789" xr:uid="{EE81D61C-995B-4486-A972-84F3042F848A}"/>
    <cellStyle name="20% - Accent3 2 4 5" xfId="17578" xr:uid="{7DDF05A8-AF11-4B5F-8B75-09C2F0B79445}"/>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10C0B9B0-566F-4A0C-B960-AEAB9C1BAAA1}"/>
    <cellStyle name="20% - Accent3 2 5 2 2 3" xfId="28558" xr:uid="{A3CC9820-CFFC-449B-9D64-B1D06F6005A9}"/>
    <cellStyle name="20% - Accent3 2 5 2 3" xfId="11707" xr:uid="{BB7412D2-046E-471A-9B78-1CFCB201991B}"/>
    <cellStyle name="20% - Accent3 2 5 2 3 2" xfId="24347" xr:uid="{78587EE4-8644-4E6F-8C7C-8D7DEF5A5EBC}"/>
    <cellStyle name="20% - Accent3 2 5 2 4" xfId="20136" xr:uid="{A5783A65-D2EE-45EA-92EF-B94FCAA27D0C}"/>
    <cellStyle name="20% - Accent3 2 5 3" xfId="5351" xr:uid="{00000000-0005-0000-0000-000086010000}"/>
    <cellStyle name="20% - Accent3 2 5 3 2" xfId="13780" xr:uid="{522F1857-27C5-4FE2-8D6C-B0D16210159A}"/>
    <cellStyle name="20% - Accent3 2 5 3 3" xfId="26413" xr:uid="{DF77E70A-C2D4-40AF-8F52-CC5366197430}"/>
    <cellStyle name="20% - Accent3 2 5 4" xfId="9562" xr:uid="{C9CE05EF-747F-41A2-B57E-86D2E334B407}"/>
    <cellStyle name="20% - Accent3 2 5 4 2" xfId="22202" xr:uid="{09264ABA-E353-4A8E-8C1E-95ACD80A9D8B}"/>
    <cellStyle name="20% - Accent3 2 5 5" xfId="17991" xr:uid="{CA3385FF-E203-470A-B104-A6AEFE793CA0}"/>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619CB95D-7D07-452D-BB0C-F4ED783F5E7E}"/>
    <cellStyle name="20% - Accent3 2 6 2 2 3" xfId="28971" xr:uid="{1BA57424-F818-4548-B5DE-5B5879F9E51D}"/>
    <cellStyle name="20% - Accent3 2 6 2 3" xfId="12120" xr:uid="{53D63895-D7F0-4C52-A18A-B4E5E4877C3A}"/>
    <cellStyle name="20% - Accent3 2 6 2 3 2" xfId="24760" xr:uid="{F96934C5-65BF-4A8C-B4C6-91C7308ED5D0}"/>
    <cellStyle name="20% - Accent3 2 6 2 4" xfId="20549" xr:uid="{F4A7160E-E831-483C-A415-FE181F533CEF}"/>
    <cellStyle name="20% - Accent3 2 6 3" xfId="5764" xr:uid="{00000000-0005-0000-0000-00008A010000}"/>
    <cellStyle name="20% - Accent3 2 6 3 2" xfId="14193" xr:uid="{199B22D6-299F-48BF-95A0-5FFF07EFA097}"/>
    <cellStyle name="20% - Accent3 2 6 3 3" xfId="26826" xr:uid="{E6971D7D-6D8B-4381-BEF6-01237F88BB46}"/>
    <cellStyle name="20% - Accent3 2 6 4" xfId="9975" xr:uid="{51172A1A-F265-4296-B429-9FFBAE50E512}"/>
    <cellStyle name="20% - Accent3 2 6 4 2" xfId="22615" xr:uid="{82697784-75BB-4DCC-9884-D5520615EFBE}"/>
    <cellStyle name="20% - Accent3 2 6 5" xfId="18404" xr:uid="{BBEF2667-F4E2-4187-B741-877F21CA4161}"/>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02AFA7C8-7ED9-4623-918C-B4C343F0AEA0}"/>
    <cellStyle name="20% - Accent3 2 7 2 2 3" xfId="29384" xr:uid="{B9B34E86-EE73-4008-B732-5CB4F6D52DC0}"/>
    <cellStyle name="20% - Accent3 2 7 2 3" xfId="12533" xr:uid="{D8C54870-9F3D-4A98-9932-94B87E264E18}"/>
    <cellStyle name="20% - Accent3 2 7 2 3 2" xfId="25173" xr:uid="{C1F2ECD3-2E49-45E9-A448-4D449786AFF2}"/>
    <cellStyle name="20% - Accent3 2 7 2 4" xfId="20962" xr:uid="{54971D09-E91C-46E6-9275-EBE077E9AFEE}"/>
    <cellStyle name="20% - Accent3 2 7 3" xfId="6177" xr:uid="{00000000-0005-0000-0000-00008E010000}"/>
    <cellStyle name="20% - Accent3 2 7 3 2" xfId="14606" xr:uid="{63AC7D86-1C07-46AE-ACD5-D9F4DA20B15E}"/>
    <cellStyle name="20% - Accent3 2 7 3 3" xfId="27239" xr:uid="{48C9BC8B-EA22-4CE6-954E-E3FF9661B967}"/>
    <cellStyle name="20% - Accent3 2 7 4" xfId="10388" xr:uid="{67800269-AA0D-4FBC-8878-3927BB0DE319}"/>
    <cellStyle name="20% - Accent3 2 7 4 2" xfId="23028" xr:uid="{7B8913FC-7E03-45B6-AAE3-83968CF4EE11}"/>
    <cellStyle name="20% - Accent3 2 7 5" xfId="18817" xr:uid="{18880485-DB50-4B8A-B446-7A7EB6FF6E62}"/>
    <cellStyle name="20% - Accent3 2 8" xfId="2282" xr:uid="{00000000-0005-0000-0000-00008F010000}"/>
    <cellStyle name="20% - Accent3 2 8 2" xfId="6590" xr:uid="{00000000-0005-0000-0000-000090010000}"/>
    <cellStyle name="20% - Accent3 2 8 2 2" xfId="15019" xr:uid="{2C1CDCDD-98C4-40E4-BDAD-4E1F83C6D96F}"/>
    <cellStyle name="20% - Accent3 2 8 2 3" xfId="27652" xr:uid="{7F2CBC76-BB88-4FF4-B164-1ACA8B178EF6}"/>
    <cellStyle name="20% - Accent3 2 8 3" xfId="10801" xr:uid="{6CA043DD-EA68-42FA-A0CC-3CFB561F6811}"/>
    <cellStyle name="20% - Accent3 2 8 3 2" xfId="23441" xr:uid="{08EF7E15-7348-4291-836C-B5819AF29AD7}"/>
    <cellStyle name="20% - Accent3 2 8 4" xfId="19230" xr:uid="{56780F0C-3646-4B60-8801-BABE3EABEA18}"/>
    <cellStyle name="20% - Accent3 2 9" xfId="4524" xr:uid="{00000000-0005-0000-0000-000091010000}"/>
    <cellStyle name="20% - Accent3 2 9 2" xfId="12953" xr:uid="{59F827FB-2420-46F6-BD18-D70FFA25E89D}"/>
    <cellStyle name="20% - Accent3 2 9 3" xfId="25586" xr:uid="{3599B2F8-39D8-49CE-9ED3-A17158DADA97}"/>
    <cellStyle name="20% - Accent3 3" xfId="22" xr:uid="{00000000-0005-0000-0000-000092010000}"/>
    <cellStyle name="20% - Accent3 3 10" xfId="17168" xr:uid="{FB02A567-5B9D-4377-96B9-CF46F6619E22}"/>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FBA13266-80F8-461D-9B49-F633E83E7119}"/>
    <cellStyle name="20% - Accent3 3 2 2 2 2 3" xfId="28150" xr:uid="{9E957A36-DEF3-4B17-9DEA-8FBD1FA18E8B}"/>
    <cellStyle name="20% - Accent3 3 2 2 2 3" xfId="11299" xr:uid="{6D7B6013-B1A0-464F-A7DC-C0CD49E45ED0}"/>
    <cellStyle name="20% - Accent3 3 2 2 2 3 2" xfId="23939" xr:uid="{85B17566-6F48-4B2D-8C22-D9CE5D6FDA13}"/>
    <cellStyle name="20% - Accent3 3 2 2 2 4" xfId="19728" xr:uid="{7D689073-6CE9-46D8-BB49-F0192BF1BE69}"/>
    <cellStyle name="20% - Accent3 3 2 2 3" xfId="4943" xr:uid="{00000000-0005-0000-0000-000097010000}"/>
    <cellStyle name="20% - Accent3 3 2 2 3 2" xfId="13372" xr:uid="{540EFD60-A59D-4BE2-934B-51451615E24C}"/>
    <cellStyle name="20% - Accent3 3 2 2 3 3" xfId="26005" xr:uid="{F12BAACC-B2F8-4740-AD3E-B48F8BA79228}"/>
    <cellStyle name="20% - Accent3 3 2 2 4" xfId="9154" xr:uid="{865D839C-FC15-443A-A7D5-877433501C76}"/>
    <cellStyle name="20% - Accent3 3 2 2 4 2" xfId="21794" xr:uid="{8D5301B0-FDAD-4E9E-9D05-B8DB44458E49}"/>
    <cellStyle name="20% - Accent3 3 2 2 5" xfId="17583" xr:uid="{FB7D9000-E375-44FE-8F73-684FB4B84F5D}"/>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212B6501-BEC5-4164-9DD2-B50DF161CBC5}"/>
    <cellStyle name="20% - Accent3 3 2 3 2 2 3" xfId="28563" xr:uid="{9BC1D79A-89C8-4027-83CA-1D67185C2DB5}"/>
    <cellStyle name="20% - Accent3 3 2 3 2 3" xfId="11712" xr:uid="{CA8306DC-99E3-4FAB-A40C-D888A4D435FE}"/>
    <cellStyle name="20% - Accent3 3 2 3 2 3 2" xfId="24352" xr:uid="{4C981BCD-3BEA-40D3-B5AD-820EA882F22C}"/>
    <cellStyle name="20% - Accent3 3 2 3 2 4" xfId="20141" xr:uid="{EEEB5F73-693B-454A-8BE0-DC6A6BE001B4}"/>
    <cellStyle name="20% - Accent3 3 2 3 3" xfId="5356" xr:uid="{00000000-0005-0000-0000-00009B010000}"/>
    <cellStyle name="20% - Accent3 3 2 3 3 2" xfId="13785" xr:uid="{0349A727-9045-443A-B743-E1F7488BD777}"/>
    <cellStyle name="20% - Accent3 3 2 3 3 3" xfId="26418" xr:uid="{C2355F81-EBFA-4EA6-853B-D087B9C40E26}"/>
    <cellStyle name="20% - Accent3 3 2 3 4" xfId="9567" xr:uid="{097695B4-98DF-4D1F-ABA2-F5E897291795}"/>
    <cellStyle name="20% - Accent3 3 2 3 4 2" xfId="22207" xr:uid="{897C176C-A691-48CF-B21E-701961623CE7}"/>
    <cellStyle name="20% - Accent3 3 2 3 5" xfId="17996" xr:uid="{0E21E2B1-B833-4DAA-B2A1-E6BFFF27A3D6}"/>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E125644C-C085-4BE4-9833-8F242F9BC2ED}"/>
    <cellStyle name="20% - Accent3 3 2 4 2 2 3" xfId="28976" xr:uid="{8D6F443C-69FB-45E4-BD5C-911F3E315088}"/>
    <cellStyle name="20% - Accent3 3 2 4 2 3" xfId="12125" xr:uid="{780A7015-1B9F-43CE-8EB6-1C5B957DA6C8}"/>
    <cellStyle name="20% - Accent3 3 2 4 2 3 2" xfId="24765" xr:uid="{5955CFCB-AA0E-4D3E-83CD-4EB2ED221EB0}"/>
    <cellStyle name="20% - Accent3 3 2 4 2 4" xfId="20554" xr:uid="{204B7B60-83DE-4587-B0B5-FEC479B73D65}"/>
    <cellStyle name="20% - Accent3 3 2 4 3" xfId="5769" xr:uid="{00000000-0005-0000-0000-00009F010000}"/>
    <cellStyle name="20% - Accent3 3 2 4 3 2" xfId="14198" xr:uid="{FC5ED19C-6B6E-431B-818A-BFD8E8DB2FED}"/>
    <cellStyle name="20% - Accent3 3 2 4 3 3" xfId="26831" xr:uid="{FC9FA8C2-2708-431E-8939-EAE67E4C49FD}"/>
    <cellStyle name="20% - Accent3 3 2 4 4" xfId="9980" xr:uid="{7782FDEA-84A1-40DC-A0FF-7540D578199F}"/>
    <cellStyle name="20% - Accent3 3 2 4 4 2" xfId="22620" xr:uid="{AC134F6F-BCEB-4513-81B7-C14DF7F4F136}"/>
    <cellStyle name="20% - Accent3 3 2 4 5" xfId="18409" xr:uid="{B77851B1-C342-48FC-B632-07AA09B6BA93}"/>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F70FAADE-CC6A-4B87-83EB-9399BFD4336B}"/>
    <cellStyle name="20% - Accent3 3 2 5 2 2 3" xfId="29389" xr:uid="{F099CC81-FD5C-4C6F-8C5B-E0C11004C594}"/>
    <cellStyle name="20% - Accent3 3 2 5 2 3" xfId="12538" xr:uid="{5E230974-B01B-4E9E-B8BB-7C305DE6BBC4}"/>
    <cellStyle name="20% - Accent3 3 2 5 2 3 2" xfId="25178" xr:uid="{CD70E47B-F58F-463E-8773-01EFE0F7C63D}"/>
    <cellStyle name="20% - Accent3 3 2 5 2 4" xfId="20967" xr:uid="{4A5F253B-C7D3-47B5-8A30-9354D044552B}"/>
    <cellStyle name="20% - Accent3 3 2 5 3" xfId="6182" xr:uid="{00000000-0005-0000-0000-0000A3010000}"/>
    <cellStyle name="20% - Accent3 3 2 5 3 2" xfId="14611" xr:uid="{AD6D1CA0-B7AF-4425-A52A-066355970BA0}"/>
    <cellStyle name="20% - Accent3 3 2 5 3 3" xfId="27244" xr:uid="{19839F87-7986-4292-BC8B-14D49249D333}"/>
    <cellStyle name="20% - Accent3 3 2 5 4" xfId="10393" xr:uid="{E285C201-8C6B-48EF-BE92-C0F911EBFD16}"/>
    <cellStyle name="20% - Accent3 3 2 5 4 2" xfId="23033" xr:uid="{18FA6B59-96C6-415E-ADC1-6958B932D591}"/>
    <cellStyle name="20% - Accent3 3 2 5 5" xfId="18822" xr:uid="{F4DB08B8-A7B4-4CC7-B2BC-582705CE73D3}"/>
    <cellStyle name="20% - Accent3 3 2 6" xfId="2287" xr:uid="{00000000-0005-0000-0000-0000A4010000}"/>
    <cellStyle name="20% - Accent3 3 2 6 2" xfId="6595" xr:uid="{00000000-0005-0000-0000-0000A5010000}"/>
    <cellStyle name="20% - Accent3 3 2 6 2 2" xfId="15024" xr:uid="{5F28318C-D4A7-44E5-8DED-42A4A789635F}"/>
    <cellStyle name="20% - Accent3 3 2 6 2 3" xfId="27657" xr:uid="{27029B43-A879-4B88-A68D-AD67DB026A08}"/>
    <cellStyle name="20% - Accent3 3 2 6 3" xfId="10806" xr:uid="{11862546-9996-4383-9ABD-A91F7C4ECFBC}"/>
    <cellStyle name="20% - Accent3 3 2 6 3 2" xfId="23446" xr:uid="{2D7F78A6-F961-44A0-9209-7FC87DF803B7}"/>
    <cellStyle name="20% - Accent3 3 2 6 4" xfId="19235" xr:uid="{4167D763-1B6E-4707-8E67-241AF84ECA9D}"/>
    <cellStyle name="20% - Accent3 3 2 7" xfId="4529" xr:uid="{00000000-0005-0000-0000-0000A6010000}"/>
    <cellStyle name="20% - Accent3 3 2 7 2" xfId="12958" xr:uid="{717A2019-D652-4EE9-B9A9-4AD73421A77A}"/>
    <cellStyle name="20% - Accent3 3 2 7 3" xfId="25591" xr:uid="{7850D29D-8728-4420-AA98-A5D091F7F752}"/>
    <cellStyle name="20% - Accent3 3 2 8" xfId="8740" xr:uid="{1F7ED8E6-EB3A-4357-B19D-653B59CF3565}"/>
    <cellStyle name="20% - Accent3 3 2 8 2" xfId="21380" xr:uid="{A6A74AA2-86C4-45F2-B1B9-EBA487C57A32}"/>
    <cellStyle name="20% - Accent3 3 2 9" xfId="17169" xr:uid="{B12473C6-059B-4646-9363-CED5BB64A9B4}"/>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0FF172DB-3799-413B-A960-43ED3DAEC568}"/>
    <cellStyle name="20% - Accent3 3 3 2 2 3" xfId="28149" xr:uid="{78681F0B-DB69-41C1-B809-FBD95CC89131}"/>
    <cellStyle name="20% - Accent3 3 3 2 3" xfId="11298" xr:uid="{791CDC3F-5215-401E-8A38-C6B8235DD158}"/>
    <cellStyle name="20% - Accent3 3 3 2 3 2" xfId="23938" xr:uid="{FB03F9D1-BDDC-43DF-A0CB-FB918B543233}"/>
    <cellStyle name="20% - Accent3 3 3 2 4" xfId="19727" xr:uid="{31D8366B-FA33-485A-87C9-83FDB7584FB0}"/>
    <cellStyle name="20% - Accent3 3 3 3" xfId="4942" xr:uid="{00000000-0005-0000-0000-0000AA010000}"/>
    <cellStyle name="20% - Accent3 3 3 3 2" xfId="13371" xr:uid="{DA688B69-190A-4127-B7FB-35C2F9BEEC9A}"/>
    <cellStyle name="20% - Accent3 3 3 3 3" xfId="26004" xr:uid="{B1209F8D-99C7-4D0E-9E13-1E5992060074}"/>
    <cellStyle name="20% - Accent3 3 3 4" xfId="9153" xr:uid="{DE4E9D79-F1BB-479E-8042-253FA2F8A3AC}"/>
    <cellStyle name="20% - Accent3 3 3 4 2" xfId="21793" xr:uid="{90E01EB1-E228-4ADD-9ADA-652409E82779}"/>
    <cellStyle name="20% - Accent3 3 3 5" xfId="17582" xr:uid="{D312DC5D-AC69-4ED8-B1A3-BDCD821BE183}"/>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FC16FC35-AEC7-4632-8C29-54BD89201CB9}"/>
    <cellStyle name="20% - Accent3 3 4 2 2 3" xfId="28562" xr:uid="{264CBAEC-2365-4506-AF3A-6ECE6675F49D}"/>
    <cellStyle name="20% - Accent3 3 4 2 3" xfId="11711" xr:uid="{43A46CC4-F2A4-4C78-82DD-C0E1EBAF0D57}"/>
    <cellStyle name="20% - Accent3 3 4 2 3 2" xfId="24351" xr:uid="{14B6AC3C-A738-4D3E-9625-A7B0537863A3}"/>
    <cellStyle name="20% - Accent3 3 4 2 4" xfId="20140" xr:uid="{E113E6CB-A50A-43CF-86CB-EA2A893A20A2}"/>
    <cellStyle name="20% - Accent3 3 4 3" xfId="5355" xr:uid="{00000000-0005-0000-0000-0000AE010000}"/>
    <cellStyle name="20% - Accent3 3 4 3 2" xfId="13784" xr:uid="{47CC14D9-2F6B-411D-BCDB-6754FE64D1F4}"/>
    <cellStyle name="20% - Accent3 3 4 3 3" xfId="26417" xr:uid="{D8AA28CE-35F1-4ABF-BAC4-7EFDBC368AEC}"/>
    <cellStyle name="20% - Accent3 3 4 4" xfId="9566" xr:uid="{49357C0A-91C7-4CBB-BAE9-5E6AB06CFCB7}"/>
    <cellStyle name="20% - Accent3 3 4 4 2" xfId="22206" xr:uid="{993F4F3D-C475-41C1-8F0D-B9C9800D035E}"/>
    <cellStyle name="20% - Accent3 3 4 5" xfId="17995" xr:uid="{C9EF609D-635B-4334-94A0-69635ED3AB2A}"/>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AB62DD95-96C6-4194-B563-3510AC605885}"/>
    <cellStyle name="20% - Accent3 3 5 2 2 3" xfId="28975" xr:uid="{540B17BC-43AE-4C77-9A05-285BBE23BEA9}"/>
    <cellStyle name="20% - Accent3 3 5 2 3" xfId="12124" xr:uid="{0AAE34A2-2C5F-4F91-85C1-FFEAC7C25531}"/>
    <cellStyle name="20% - Accent3 3 5 2 3 2" xfId="24764" xr:uid="{6FB8D4DC-4486-4E92-944B-A32A40817A80}"/>
    <cellStyle name="20% - Accent3 3 5 2 4" xfId="20553" xr:uid="{2C3A7314-AA59-4CD3-970C-1ADC5895512F}"/>
    <cellStyle name="20% - Accent3 3 5 3" xfId="5768" xr:uid="{00000000-0005-0000-0000-0000B2010000}"/>
    <cellStyle name="20% - Accent3 3 5 3 2" xfId="14197" xr:uid="{0357A25D-87AC-46ED-AEE9-83B256DDCEB9}"/>
    <cellStyle name="20% - Accent3 3 5 3 3" xfId="26830" xr:uid="{B1A31BBE-1232-4059-9CA3-C537AD3C2B2C}"/>
    <cellStyle name="20% - Accent3 3 5 4" xfId="9979" xr:uid="{948D3E0F-3A05-45EC-835C-96AF6C08B34B}"/>
    <cellStyle name="20% - Accent3 3 5 4 2" xfId="22619" xr:uid="{1B41D460-4A2E-4F91-B312-B0F079663569}"/>
    <cellStyle name="20% - Accent3 3 5 5" xfId="18408" xr:uid="{866B5964-0C1A-4D94-A031-1FDC773B625E}"/>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54182717-CF30-4856-A103-BB6DDAC9AD55}"/>
    <cellStyle name="20% - Accent3 3 6 2 2 3" xfId="29388" xr:uid="{5C58CA64-398E-4B5A-9350-021C2A09937E}"/>
    <cellStyle name="20% - Accent3 3 6 2 3" xfId="12537" xr:uid="{7CA66971-A951-41FC-9BC8-38F7699F5414}"/>
    <cellStyle name="20% - Accent3 3 6 2 3 2" xfId="25177" xr:uid="{F874160A-B2CF-4750-96DC-2044D98185FF}"/>
    <cellStyle name="20% - Accent3 3 6 2 4" xfId="20966" xr:uid="{1347DD08-EA5B-41C3-A14C-31967AE6FF46}"/>
    <cellStyle name="20% - Accent3 3 6 3" xfId="6181" xr:uid="{00000000-0005-0000-0000-0000B6010000}"/>
    <cellStyle name="20% - Accent3 3 6 3 2" xfId="14610" xr:uid="{3B3B1973-E16B-458D-8A4B-A6FD962582D4}"/>
    <cellStyle name="20% - Accent3 3 6 3 3" xfId="27243" xr:uid="{23300D36-9349-4CA0-BD50-16B6DB4A8B8A}"/>
    <cellStyle name="20% - Accent3 3 6 4" xfId="10392" xr:uid="{BAB3D94C-5627-47D5-A6CB-0140EE991E78}"/>
    <cellStyle name="20% - Accent3 3 6 4 2" xfId="23032" xr:uid="{DBC14C57-D520-46CA-BEAA-8534ADDBCCCE}"/>
    <cellStyle name="20% - Accent3 3 6 5" xfId="18821" xr:uid="{47676C95-C802-4537-B211-74E73A336E97}"/>
    <cellStyle name="20% - Accent3 3 7" xfId="2286" xr:uid="{00000000-0005-0000-0000-0000B7010000}"/>
    <cellStyle name="20% - Accent3 3 7 2" xfId="6594" xr:uid="{00000000-0005-0000-0000-0000B8010000}"/>
    <cellStyle name="20% - Accent3 3 7 2 2" xfId="15023" xr:uid="{4E100C34-C8EC-4E00-B7B7-B5DFD802B712}"/>
    <cellStyle name="20% - Accent3 3 7 2 3" xfId="27656" xr:uid="{4E943211-07E5-49E8-86AE-2CDEA6913D30}"/>
    <cellStyle name="20% - Accent3 3 7 3" xfId="10805" xr:uid="{11F3DAEE-1A32-46B0-9A02-ED9E5C8DDA37}"/>
    <cellStyle name="20% - Accent3 3 7 3 2" xfId="23445" xr:uid="{8634BBF3-FE18-4F69-BBDC-7F819E55F4C0}"/>
    <cellStyle name="20% - Accent3 3 7 4" xfId="19234" xr:uid="{E8A81CB7-1A1E-4FAA-A7BA-A6FC961B8595}"/>
    <cellStyle name="20% - Accent3 3 8" xfId="4528" xr:uid="{00000000-0005-0000-0000-0000B9010000}"/>
    <cellStyle name="20% - Accent3 3 8 2" xfId="12957" xr:uid="{6DCC1FA6-16A7-4184-BB78-6EC4F1CCA825}"/>
    <cellStyle name="20% - Accent3 3 8 3" xfId="25590" xr:uid="{192E73B9-95D1-42E7-8BDD-081EB101C5DD}"/>
    <cellStyle name="20% - Accent3 3 9" xfId="8739" xr:uid="{05708CED-834B-4F61-9516-A31606AE5669}"/>
    <cellStyle name="20% - Accent3 3 9 2" xfId="21379" xr:uid="{7886E7D2-95E2-4921-8722-757C69747E23}"/>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277A5C55-BA10-4903-ADE2-841B4F8B28B7}"/>
    <cellStyle name="20% - Accent3 4 2 2 2 3" xfId="28151" xr:uid="{11FA996A-172A-4AB4-A9E7-2C47CB0282CE}"/>
    <cellStyle name="20% - Accent3 4 2 2 3" xfId="11300" xr:uid="{EE1531DC-934F-4126-9538-E5B04F1AD098}"/>
    <cellStyle name="20% - Accent3 4 2 2 3 2" xfId="23940" xr:uid="{F39A06D9-1603-40A0-8787-A0902374C9BF}"/>
    <cellStyle name="20% - Accent3 4 2 2 4" xfId="19729" xr:uid="{EEFE2175-BC97-4847-BB4A-0DA5D1E38E8F}"/>
    <cellStyle name="20% - Accent3 4 2 3" xfId="4944" xr:uid="{00000000-0005-0000-0000-0000BE010000}"/>
    <cellStyle name="20% - Accent3 4 2 3 2" xfId="13373" xr:uid="{7495AE16-9A11-4FF3-987C-47730937260F}"/>
    <cellStyle name="20% - Accent3 4 2 3 3" xfId="26006" xr:uid="{3E973D3A-7353-4297-8511-43CF360061C0}"/>
    <cellStyle name="20% - Accent3 4 2 4" xfId="9155" xr:uid="{2A595A55-28D2-4714-914B-AAC83428606D}"/>
    <cellStyle name="20% - Accent3 4 2 4 2" xfId="21795" xr:uid="{86B26887-9153-4188-9F74-2DE7A7CB842A}"/>
    <cellStyle name="20% - Accent3 4 2 5" xfId="17584" xr:uid="{B80533C0-2D85-4B2A-A4ED-B914CB83E252}"/>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78058651-75D3-44D3-8BB7-45DEC5B9F8B0}"/>
    <cellStyle name="20% - Accent3 4 3 2 2 3" xfId="28564" xr:uid="{13FD82A7-D038-4098-95C7-C44323DB6AD3}"/>
    <cellStyle name="20% - Accent3 4 3 2 3" xfId="11713" xr:uid="{FF7202AD-4FD4-4CE3-93A9-9AF931983095}"/>
    <cellStyle name="20% - Accent3 4 3 2 3 2" xfId="24353" xr:uid="{E1546AD2-56B7-41F4-A58E-1FF2C268D95E}"/>
    <cellStyle name="20% - Accent3 4 3 2 4" xfId="20142" xr:uid="{FBBD4B83-EBED-4E15-AF0C-AD9569279875}"/>
    <cellStyle name="20% - Accent3 4 3 3" xfId="5357" xr:uid="{00000000-0005-0000-0000-0000C2010000}"/>
    <cellStyle name="20% - Accent3 4 3 3 2" xfId="13786" xr:uid="{C5897DDC-FC3B-457A-8990-2C2AF1D8A536}"/>
    <cellStyle name="20% - Accent3 4 3 3 3" xfId="26419" xr:uid="{D4908014-DAFA-4223-9812-5FF14027365E}"/>
    <cellStyle name="20% - Accent3 4 3 4" xfId="9568" xr:uid="{8065AAFC-87DF-4319-B617-8B15E4D82370}"/>
    <cellStyle name="20% - Accent3 4 3 4 2" xfId="22208" xr:uid="{C558BF41-91FC-4B11-AC7F-27C75BAEF2CC}"/>
    <cellStyle name="20% - Accent3 4 3 5" xfId="17997" xr:uid="{6438D739-B668-43C1-8C3E-FBBCB1C3A514}"/>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9B6A86C9-C5A3-46C7-80D4-93516AA9A4B1}"/>
    <cellStyle name="20% - Accent3 4 4 2 2 3" xfId="28977" xr:uid="{07100DB7-B22E-49EF-93C5-C9577BB043F1}"/>
    <cellStyle name="20% - Accent3 4 4 2 3" xfId="12126" xr:uid="{25CDBDF9-A5FA-4A9E-BF5E-E06A6E59B093}"/>
    <cellStyle name="20% - Accent3 4 4 2 3 2" xfId="24766" xr:uid="{E146F534-462C-434B-AEDA-EB40B6BDA25B}"/>
    <cellStyle name="20% - Accent3 4 4 2 4" xfId="20555" xr:uid="{00208FA9-3DFB-45B9-93E8-47B5DFC1C799}"/>
    <cellStyle name="20% - Accent3 4 4 3" xfId="5770" xr:uid="{00000000-0005-0000-0000-0000C6010000}"/>
    <cellStyle name="20% - Accent3 4 4 3 2" xfId="14199" xr:uid="{16D56653-1A57-4F3C-B9EE-98BC3A33AD44}"/>
    <cellStyle name="20% - Accent3 4 4 3 3" xfId="26832" xr:uid="{1CFAD92A-6077-4881-8E35-7E69C20A1327}"/>
    <cellStyle name="20% - Accent3 4 4 4" xfId="9981" xr:uid="{BB5BA36C-DC4E-4431-8E13-BE357CAE4E24}"/>
    <cellStyle name="20% - Accent3 4 4 4 2" xfId="22621" xr:uid="{BF9709BD-5F10-41A2-AC95-143DB0B4A66F}"/>
    <cellStyle name="20% - Accent3 4 4 5" xfId="18410" xr:uid="{B9D432B7-DE10-4A48-9462-446B6689F43F}"/>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BE2A4057-14C0-4D28-8802-0F0E4978E7A4}"/>
    <cellStyle name="20% - Accent3 4 5 2 2 3" xfId="29390" xr:uid="{A04F8DED-9268-4C37-BA5A-E9B2D1DF24F2}"/>
    <cellStyle name="20% - Accent3 4 5 2 3" xfId="12539" xr:uid="{6C7553F2-0A1C-4761-A1C6-80588BA54F6A}"/>
    <cellStyle name="20% - Accent3 4 5 2 3 2" xfId="25179" xr:uid="{24EB37F1-6335-4221-A337-E66AE436AC53}"/>
    <cellStyle name="20% - Accent3 4 5 2 4" xfId="20968" xr:uid="{AC2FFDBD-9539-4472-80A2-31A5DBDA0B34}"/>
    <cellStyle name="20% - Accent3 4 5 3" xfId="6183" xr:uid="{00000000-0005-0000-0000-0000CA010000}"/>
    <cellStyle name="20% - Accent3 4 5 3 2" xfId="14612" xr:uid="{8D022ABB-CC5C-4105-9739-7D7B172FB42D}"/>
    <cellStyle name="20% - Accent3 4 5 3 3" xfId="27245" xr:uid="{DE586250-FF32-48AC-88B3-E9FAC0DA9BF8}"/>
    <cellStyle name="20% - Accent3 4 5 4" xfId="10394" xr:uid="{95450835-AA72-4D26-93BB-E7620CE42E32}"/>
    <cellStyle name="20% - Accent3 4 5 4 2" xfId="23034" xr:uid="{830C9F51-19F9-45CE-9E60-0BE07B03D1C8}"/>
    <cellStyle name="20% - Accent3 4 5 5" xfId="18823" xr:uid="{0EA558A7-2C44-4135-8540-340E2488D309}"/>
    <cellStyle name="20% - Accent3 4 6" xfId="2288" xr:uid="{00000000-0005-0000-0000-0000CB010000}"/>
    <cellStyle name="20% - Accent3 4 6 2" xfId="6596" xr:uid="{00000000-0005-0000-0000-0000CC010000}"/>
    <cellStyle name="20% - Accent3 4 6 2 2" xfId="15025" xr:uid="{5A4A0B16-F80C-447C-80D3-1450E3808C22}"/>
    <cellStyle name="20% - Accent3 4 6 2 3" xfId="27658" xr:uid="{4ADBE313-A234-4A8A-BEED-9CF448124699}"/>
    <cellStyle name="20% - Accent3 4 6 3" xfId="10807" xr:uid="{E0F7F010-2E9D-4A8F-A326-A02F517561ED}"/>
    <cellStyle name="20% - Accent3 4 6 3 2" xfId="23447" xr:uid="{5EA29C43-A36B-4E2D-9397-BF3E95C43F37}"/>
    <cellStyle name="20% - Accent3 4 6 4" xfId="19236" xr:uid="{E2FBC1ED-FF38-49DE-8F2A-AE6E58159D7D}"/>
    <cellStyle name="20% - Accent3 4 7" xfId="4530" xr:uid="{00000000-0005-0000-0000-0000CD010000}"/>
    <cellStyle name="20% - Accent3 4 7 2" xfId="12959" xr:uid="{423DB502-E826-4AEF-8E25-68679287FF55}"/>
    <cellStyle name="20% - Accent3 4 7 3" xfId="25592" xr:uid="{B9B06AD4-48DA-4F49-97C1-D97D45514234}"/>
    <cellStyle name="20% - Accent3 4 8" xfId="8741" xr:uid="{F8F59BE6-BBD5-4747-B792-36CBF5D85F45}"/>
    <cellStyle name="20% - Accent3 4 8 2" xfId="21381" xr:uid="{369B51B2-6B4D-4088-93F3-879B35AB5E9C}"/>
    <cellStyle name="20% - Accent3 4 9" xfId="17170" xr:uid="{6C1BC107-9036-4F1B-BCDE-FD202A5E7894}"/>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433A9FA3-2A99-4EC2-A833-95A152390F4A}"/>
    <cellStyle name="20% - Accent3 5 2 2 3" xfId="28144" xr:uid="{C6105A7A-D194-4322-8889-9C4084113308}"/>
    <cellStyle name="20% - Accent3 5 2 3" xfId="11293" xr:uid="{401ECA11-00F1-46AA-ADA2-631DE6F7A9FA}"/>
    <cellStyle name="20% - Accent3 5 2 3 2" xfId="23933" xr:uid="{4455454D-7FBB-41E2-A3DC-59EAE86F2F6A}"/>
    <cellStyle name="20% - Accent3 5 2 4" xfId="19722" xr:uid="{FF325B73-0BB7-42ED-BE5A-7D3027692D27}"/>
    <cellStyle name="20% - Accent3 5 3" xfId="4937" xr:uid="{00000000-0005-0000-0000-0000D1010000}"/>
    <cellStyle name="20% - Accent3 5 3 2" xfId="13366" xr:uid="{E36C70A0-1CA1-4368-ACC5-FDF421B96EE9}"/>
    <cellStyle name="20% - Accent3 5 3 3" xfId="25999" xr:uid="{3C78D1C7-3EF8-4E7E-98A7-44B520694938}"/>
    <cellStyle name="20% - Accent3 5 4" xfId="9148" xr:uid="{9898DBA4-24B6-4586-BDFB-867F3D62597A}"/>
    <cellStyle name="20% - Accent3 5 4 2" xfId="21788" xr:uid="{FDB46B37-0C48-4F0D-BA00-2C526E782F72}"/>
    <cellStyle name="20% - Accent3 5 5" xfId="17577" xr:uid="{B8D703DD-39E5-41BC-ACF9-317CE97FFF5C}"/>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8C02CCD5-E9BA-4FD4-9CF6-98F8921311A4}"/>
    <cellStyle name="20% - Accent3 6 2 2 3" xfId="28557" xr:uid="{EB635920-C252-46EB-A3ED-D1DDB2019D55}"/>
    <cellStyle name="20% - Accent3 6 2 3" xfId="11706" xr:uid="{9F396657-5EC7-4E4A-AEF8-7CDFC0889ED1}"/>
    <cellStyle name="20% - Accent3 6 2 3 2" xfId="24346" xr:uid="{DDAD070E-1CE8-4E08-AF95-0DC3BC01F429}"/>
    <cellStyle name="20% - Accent3 6 2 4" xfId="20135" xr:uid="{DBA43040-CBF8-43AB-A01D-7F96557839F7}"/>
    <cellStyle name="20% - Accent3 6 3" xfId="5350" xr:uid="{00000000-0005-0000-0000-0000D5010000}"/>
    <cellStyle name="20% - Accent3 6 3 2" xfId="13779" xr:uid="{B163B4FD-BA14-495B-A08F-374EC54AA780}"/>
    <cellStyle name="20% - Accent3 6 3 3" xfId="26412" xr:uid="{C1D335B8-EDD0-4415-A981-BDD618E3B3FA}"/>
    <cellStyle name="20% - Accent3 6 4" xfId="9561" xr:uid="{9AAD0E50-05D6-42AD-8694-D10F5D75CEB4}"/>
    <cellStyle name="20% - Accent3 6 4 2" xfId="22201" xr:uid="{6E735B0F-A9D3-4A5D-8B16-D4BE3E782081}"/>
    <cellStyle name="20% - Accent3 6 5" xfId="17990" xr:uid="{421BA8C5-1C73-494F-8C5E-B886572D4904}"/>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7BE94168-377D-4890-BAB0-EA2D3BE5EB0F}"/>
    <cellStyle name="20% - Accent3 7 2 2 3" xfId="28970" xr:uid="{FD5261DD-828E-4C21-A56E-9F143402EDFF}"/>
    <cellStyle name="20% - Accent3 7 2 3" xfId="12119" xr:uid="{28BE16DB-3DA6-4318-A774-01FBE1AE9477}"/>
    <cellStyle name="20% - Accent3 7 2 3 2" xfId="24759" xr:uid="{78A07DBD-6068-43DF-8398-DA74204AE8A4}"/>
    <cellStyle name="20% - Accent3 7 2 4" xfId="20548" xr:uid="{315310EA-4C20-4F2E-9414-C4B36DF0BDDE}"/>
    <cellStyle name="20% - Accent3 7 3" xfId="5763" xr:uid="{00000000-0005-0000-0000-0000D9010000}"/>
    <cellStyle name="20% - Accent3 7 3 2" xfId="14192" xr:uid="{6CC35575-B458-47F7-A197-C6B3A43CEC0A}"/>
    <cellStyle name="20% - Accent3 7 3 3" xfId="26825" xr:uid="{94A2648A-80DF-4DCC-AF04-F2AF50847910}"/>
    <cellStyle name="20% - Accent3 7 4" xfId="9974" xr:uid="{6A7D69B1-1004-4AD7-87D2-06E173F83EEC}"/>
    <cellStyle name="20% - Accent3 7 4 2" xfId="22614" xr:uid="{A95F97FE-7DDA-4578-B4C6-59373A0163A8}"/>
    <cellStyle name="20% - Accent3 7 5" xfId="18403" xr:uid="{7A82B01A-ED9A-4909-B99D-9FD0DEBBE06E}"/>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FC15836B-9050-4D20-B691-5530660BF2DC}"/>
    <cellStyle name="20% - Accent3 8 2 2 3" xfId="29383" xr:uid="{DA86DAA8-B8D3-4817-8B3B-582050E05FAD}"/>
    <cellStyle name="20% - Accent3 8 2 3" xfId="12532" xr:uid="{DAF5BF1B-0AC6-405C-9BA6-0A1B250CECFD}"/>
    <cellStyle name="20% - Accent3 8 2 3 2" xfId="25172" xr:uid="{7742F462-1128-4131-B3C2-0D7BD5445DF2}"/>
    <cellStyle name="20% - Accent3 8 2 4" xfId="20961" xr:uid="{F6936F88-F01A-40BF-A62C-C46EDDD66CE9}"/>
    <cellStyle name="20% - Accent3 8 3" xfId="6176" xr:uid="{00000000-0005-0000-0000-0000DD010000}"/>
    <cellStyle name="20% - Accent3 8 3 2" xfId="14605" xr:uid="{837F9278-7F66-4711-904C-A182F6861E60}"/>
    <cellStyle name="20% - Accent3 8 3 3" xfId="27238" xr:uid="{7359C3A8-E519-4AB5-AAFC-9DF5437DC1BF}"/>
    <cellStyle name="20% - Accent3 8 4" xfId="10387" xr:uid="{1EE38813-73F0-4145-A3F1-2F32FD201194}"/>
    <cellStyle name="20% - Accent3 8 4 2" xfId="23027" xr:uid="{1AA0E306-7620-4B3F-93CF-3A58B89D32D9}"/>
    <cellStyle name="20% - Accent3 8 5" xfId="18816" xr:uid="{592743DB-23FD-46A3-94D0-73C5B13702EE}"/>
    <cellStyle name="20% - Accent3 9" xfId="2281" xr:uid="{00000000-0005-0000-0000-0000DE010000}"/>
    <cellStyle name="20% - Accent3 9 2" xfId="6589" xr:uid="{00000000-0005-0000-0000-0000DF010000}"/>
    <cellStyle name="20% - Accent3 9 2 2" xfId="15018" xr:uid="{53222139-4C59-4F2A-BD49-6EEF248330FF}"/>
    <cellStyle name="20% - Accent3 9 2 3" xfId="27651" xr:uid="{CCCFAF93-0DAB-4114-9D03-C8A3DF3DC930}"/>
    <cellStyle name="20% - Accent3 9 3" xfId="10800" xr:uid="{0DE7A3C2-1E8C-4686-A1CD-8B5AC88322BD}"/>
    <cellStyle name="20% - Accent3 9 3 2" xfId="23440" xr:uid="{F602F4E6-F110-428A-A9E3-F04D91932918}"/>
    <cellStyle name="20% - Accent3 9 4" xfId="19229" xr:uid="{71221C10-B532-4BEB-97CF-AE134E4E225C}"/>
    <cellStyle name="20% - Accent4" xfId="25" builtinId="42" customBuiltin="1"/>
    <cellStyle name="20% - Accent4 10" xfId="4531" xr:uid="{00000000-0005-0000-0000-0000E1010000}"/>
    <cellStyle name="20% - Accent4 10 2" xfId="12960" xr:uid="{72443C43-B8A9-4BC5-A6B6-765BE462655B}"/>
    <cellStyle name="20% - Accent4 10 3" xfId="25593" xr:uid="{3D70C474-AD70-450D-9BFC-AB6D7AB255F5}"/>
    <cellStyle name="20% - Accent4 11" xfId="8742" xr:uid="{7651ACE6-FCDF-4E6D-BADD-E9C3A7C98674}"/>
    <cellStyle name="20% - Accent4 11 2" xfId="21382" xr:uid="{EC2CD1AA-0EBA-4D89-B009-BC41B15DE28C}"/>
    <cellStyle name="20% - Accent4 12" xfId="17171" xr:uid="{889DF1F0-FE5A-4C5F-B676-1398AB8BFFC6}"/>
    <cellStyle name="20% - Accent4 2" xfId="26" xr:uid="{00000000-0005-0000-0000-0000E2010000}"/>
    <cellStyle name="20% - Accent4 2 10" xfId="8743" xr:uid="{61C8FCE6-3920-4D30-B527-54B425FD35F1}"/>
    <cellStyle name="20% - Accent4 2 10 2" xfId="21383" xr:uid="{38A1D2C0-FCB9-4CC8-9D8B-68D53EAB50D6}"/>
    <cellStyle name="20% - Accent4 2 11" xfId="17172" xr:uid="{B928C698-7CD5-42B6-9F5E-011A4B08AF52}"/>
    <cellStyle name="20% - Accent4 2 2" xfId="27" xr:uid="{00000000-0005-0000-0000-0000E3010000}"/>
    <cellStyle name="20% - Accent4 2 2 10" xfId="17173" xr:uid="{BBCDB491-2B8C-4910-B38B-0D26D68EBC0F}"/>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1623601E-11D8-44C9-9D7E-3528D16AC54F}"/>
    <cellStyle name="20% - Accent4 2 2 2 2 2 2 3" xfId="28155" xr:uid="{73947283-C458-4F25-A505-D6E22B30DCBD}"/>
    <cellStyle name="20% - Accent4 2 2 2 2 2 3" xfId="11304" xr:uid="{431CA688-1FC0-4EB9-BF4E-149FC393A377}"/>
    <cellStyle name="20% - Accent4 2 2 2 2 2 3 2" xfId="23944" xr:uid="{FE22FC9B-9F37-4843-BB22-EB8DDEAADEB6}"/>
    <cellStyle name="20% - Accent4 2 2 2 2 2 4" xfId="19733" xr:uid="{27EFA275-3707-4E56-A879-48EB00EA50C5}"/>
    <cellStyle name="20% - Accent4 2 2 2 2 3" xfId="4948" xr:uid="{00000000-0005-0000-0000-0000E8010000}"/>
    <cellStyle name="20% - Accent4 2 2 2 2 3 2" xfId="13377" xr:uid="{A5ADCC5D-8213-41F1-AFD9-F3EA5E765850}"/>
    <cellStyle name="20% - Accent4 2 2 2 2 3 3" xfId="26010" xr:uid="{52579CEA-B096-47A4-9FD3-E87147B013C9}"/>
    <cellStyle name="20% - Accent4 2 2 2 2 4" xfId="9159" xr:uid="{F702AE81-9F90-49F8-A1C2-3EC70E58F6E5}"/>
    <cellStyle name="20% - Accent4 2 2 2 2 4 2" xfId="21799" xr:uid="{A87BCFD4-459A-4A47-B1E5-993955C07C74}"/>
    <cellStyle name="20% - Accent4 2 2 2 2 5" xfId="17588" xr:uid="{C785845B-78E7-45DA-80D1-EAD4E0548B7B}"/>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0D1B4F82-DBC6-4775-968E-1C4075970CD9}"/>
    <cellStyle name="20% - Accent4 2 2 2 3 2 2 3" xfId="28568" xr:uid="{938D6CCA-03BD-4412-BDEF-25AAF1E09C97}"/>
    <cellStyle name="20% - Accent4 2 2 2 3 2 3" xfId="11717" xr:uid="{AD3231CB-0275-438C-818F-5E81C20F87B7}"/>
    <cellStyle name="20% - Accent4 2 2 2 3 2 3 2" xfId="24357" xr:uid="{4D37E670-328F-417E-8667-A325432EAC1D}"/>
    <cellStyle name="20% - Accent4 2 2 2 3 2 4" xfId="20146" xr:uid="{2F4EAF89-69C7-47F3-9CDE-564FCF349C55}"/>
    <cellStyle name="20% - Accent4 2 2 2 3 3" xfId="5361" xr:uid="{00000000-0005-0000-0000-0000EC010000}"/>
    <cellStyle name="20% - Accent4 2 2 2 3 3 2" xfId="13790" xr:uid="{4ECA1265-8F95-4517-B736-D29004D0077F}"/>
    <cellStyle name="20% - Accent4 2 2 2 3 3 3" xfId="26423" xr:uid="{D37B6FDB-690E-4470-ABDB-1C549E3F892F}"/>
    <cellStyle name="20% - Accent4 2 2 2 3 4" xfId="9572" xr:uid="{90298CB7-1430-4A23-8BA8-70277E50F702}"/>
    <cellStyle name="20% - Accent4 2 2 2 3 4 2" xfId="22212" xr:uid="{0C118D29-B64C-45EC-871D-971284AC4254}"/>
    <cellStyle name="20% - Accent4 2 2 2 3 5" xfId="18001" xr:uid="{6EC03490-8603-4FC7-B90F-87877853AE7F}"/>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8C14F47E-41F6-40F2-BD8F-679A3CE42EEE}"/>
    <cellStyle name="20% - Accent4 2 2 2 4 2 2 3" xfId="28981" xr:uid="{C8DFE29F-38FA-4BD1-882B-A2BA65E4EAA2}"/>
    <cellStyle name="20% - Accent4 2 2 2 4 2 3" xfId="12130" xr:uid="{04143B9F-2B8C-4806-B0C0-044F57392919}"/>
    <cellStyle name="20% - Accent4 2 2 2 4 2 3 2" xfId="24770" xr:uid="{7DA16AA3-ED2C-4B53-B37F-7CC2E01C76BF}"/>
    <cellStyle name="20% - Accent4 2 2 2 4 2 4" xfId="20559" xr:uid="{94C35761-2669-418B-A9CE-650CC12B54BC}"/>
    <cellStyle name="20% - Accent4 2 2 2 4 3" xfId="5774" xr:uid="{00000000-0005-0000-0000-0000F0010000}"/>
    <cellStyle name="20% - Accent4 2 2 2 4 3 2" xfId="14203" xr:uid="{DCCA03F3-B311-47FD-ABDF-D8F2B29723CF}"/>
    <cellStyle name="20% - Accent4 2 2 2 4 3 3" xfId="26836" xr:uid="{AAB5DB1C-B34F-4BF8-9A2C-FFC9DA290751}"/>
    <cellStyle name="20% - Accent4 2 2 2 4 4" xfId="9985" xr:uid="{D179902F-3C98-4133-BA76-EEB553ECA7EF}"/>
    <cellStyle name="20% - Accent4 2 2 2 4 4 2" xfId="22625" xr:uid="{16A914D0-C11E-489E-A9AD-37444781D31B}"/>
    <cellStyle name="20% - Accent4 2 2 2 4 5" xfId="18414" xr:uid="{EB113127-F5B4-44F3-8AAA-7287AC88436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1B3C4FDC-B13D-4B42-944B-B27A312A54EF}"/>
    <cellStyle name="20% - Accent4 2 2 2 5 2 2 3" xfId="29394" xr:uid="{D3A6A763-9AD1-4DE4-8BBD-32BFA538BC1D}"/>
    <cellStyle name="20% - Accent4 2 2 2 5 2 3" xfId="12543" xr:uid="{058923FD-0302-4C79-88CF-B386653BA9F6}"/>
    <cellStyle name="20% - Accent4 2 2 2 5 2 3 2" xfId="25183" xr:uid="{AC0E8BBC-4805-467A-9AF9-087CE91AA887}"/>
    <cellStyle name="20% - Accent4 2 2 2 5 2 4" xfId="20972" xr:uid="{A75EA45F-E687-48C1-A817-44B20441B7B6}"/>
    <cellStyle name="20% - Accent4 2 2 2 5 3" xfId="6187" xr:uid="{00000000-0005-0000-0000-0000F4010000}"/>
    <cellStyle name="20% - Accent4 2 2 2 5 3 2" xfId="14616" xr:uid="{26377934-0455-413D-A497-A2977F323476}"/>
    <cellStyle name="20% - Accent4 2 2 2 5 3 3" xfId="27249" xr:uid="{394163B6-B92B-4266-97EB-246AA86D44CC}"/>
    <cellStyle name="20% - Accent4 2 2 2 5 4" xfId="10398" xr:uid="{9991DF49-935B-4118-B60B-ABCEE10700A1}"/>
    <cellStyle name="20% - Accent4 2 2 2 5 4 2" xfId="23038" xr:uid="{D8CC913B-0F5D-4A3A-AD7B-E1BF00F40372}"/>
    <cellStyle name="20% - Accent4 2 2 2 5 5" xfId="18827" xr:uid="{F0C428BA-BFA8-429C-B3E6-6036BF6F3386}"/>
    <cellStyle name="20% - Accent4 2 2 2 6" xfId="2292" xr:uid="{00000000-0005-0000-0000-0000F5010000}"/>
    <cellStyle name="20% - Accent4 2 2 2 6 2" xfId="6600" xr:uid="{00000000-0005-0000-0000-0000F6010000}"/>
    <cellStyle name="20% - Accent4 2 2 2 6 2 2" xfId="15029" xr:uid="{FA6BC9A0-9A08-4330-BBDF-45069A4FDD3B}"/>
    <cellStyle name="20% - Accent4 2 2 2 6 2 3" xfId="27662" xr:uid="{618F80B3-43FA-4674-BDCC-C889743CFC0F}"/>
    <cellStyle name="20% - Accent4 2 2 2 6 3" xfId="10811" xr:uid="{1A65BEA0-BC8E-4EA5-B3EB-78E9316BEEED}"/>
    <cellStyle name="20% - Accent4 2 2 2 6 3 2" xfId="23451" xr:uid="{2E5A6F5F-95A6-4CB0-A299-00E91A7DA4EA}"/>
    <cellStyle name="20% - Accent4 2 2 2 6 4" xfId="19240" xr:uid="{3834BC13-0A76-48A6-B115-20C249AD2E7F}"/>
    <cellStyle name="20% - Accent4 2 2 2 7" xfId="4534" xr:uid="{00000000-0005-0000-0000-0000F7010000}"/>
    <cellStyle name="20% - Accent4 2 2 2 7 2" xfId="12963" xr:uid="{4CD47B8A-F581-4FD1-867D-647E2E9FB9A9}"/>
    <cellStyle name="20% - Accent4 2 2 2 7 3" xfId="25596" xr:uid="{7A8A5967-23C4-4490-AF72-3B58E1CC296D}"/>
    <cellStyle name="20% - Accent4 2 2 2 8" xfId="8745" xr:uid="{34B919E5-1B7D-401A-82C5-F907FCE3F6C2}"/>
    <cellStyle name="20% - Accent4 2 2 2 8 2" xfId="21385" xr:uid="{38FA088B-7AB4-43B4-B1E6-F5A25362615D}"/>
    <cellStyle name="20% - Accent4 2 2 2 9" xfId="17174" xr:uid="{E09B2D8C-6626-4F88-A770-BC63F0262A4B}"/>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58D8CC3D-6881-4D7A-9567-B9EF0B24C8A8}"/>
    <cellStyle name="20% - Accent4 2 2 3 2 2 3" xfId="28154" xr:uid="{518A1AC9-1A8A-4733-8A52-03DC3B938257}"/>
    <cellStyle name="20% - Accent4 2 2 3 2 3" xfId="11303" xr:uid="{8E7B6F1D-F0CA-4F01-A7F4-88D787AC4DE0}"/>
    <cellStyle name="20% - Accent4 2 2 3 2 3 2" xfId="23943" xr:uid="{5E3E2C16-6E09-4047-8699-28F2F067AE7F}"/>
    <cellStyle name="20% - Accent4 2 2 3 2 4" xfId="19732" xr:uid="{5065E255-55C4-457B-AC21-F8EEBD25287C}"/>
    <cellStyle name="20% - Accent4 2 2 3 3" xfId="4947" xr:uid="{00000000-0005-0000-0000-0000FB010000}"/>
    <cellStyle name="20% - Accent4 2 2 3 3 2" xfId="13376" xr:uid="{0D561E72-37B3-4B25-BA22-0237DEA2158A}"/>
    <cellStyle name="20% - Accent4 2 2 3 3 3" xfId="26009" xr:uid="{EDACE789-7184-4A84-9928-5E7ECD76E59F}"/>
    <cellStyle name="20% - Accent4 2 2 3 4" xfId="9158" xr:uid="{BCC12A1A-52DC-45C3-BA81-DBA3A75978C3}"/>
    <cellStyle name="20% - Accent4 2 2 3 4 2" xfId="21798" xr:uid="{8198B01F-FE8B-452D-88CA-AE637804A967}"/>
    <cellStyle name="20% - Accent4 2 2 3 5" xfId="17587" xr:uid="{B731D720-5A0E-471D-A8DD-D04AB74CF775}"/>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73E55EEC-98C4-4531-ABBC-8D8F376DA101}"/>
    <cellStyle name="20% - Accent4 2 2 4 2 2 3" xfId="28567" xr:uid="{2E661B8B-C983-4CB0-8E1E-A15EF3E64942}"/>
    <cellStyle name="20% - Accent4 2 2 4 2 3" xfId="11716" xr:uid="{2BC67825-B333-401B-B103-ECA39BD30C7C}"/>
    <cellStyle name="20% - Accent4 2 2 4 2 3 2" xfId="24356" xr:uid="{5E7B8EEA-6153-40A4-AD95-24B79E208CF8}"/>
    <cellStyle name="20% - Accent4 2 2 4 2 4" xfId="20145" xr:uid="{07CF4AC0-522A-4A17-8C18-F46C992DBC88}"/>
    <cellStyle name="20% - Accent4 2 2 4 3" xfId="5360" xr:uid="{00000000-0005-0000-0000-0000FF010000}"/>
    <cellStyle name="20% - Accent4 2 2 4 3 2" xfId="13789" xr:uid="{41C058B7-9BEE-43F0-AFD1-566CE0766892}"/>
    <cellStyle name="20% - Accent4 2 2 4 3 3" xfId="26422" xr:uid="{5EE7DA79-63BE-4A1A-8EC0-B4B84866DF94}"/>
    <cellStyle name="20% - Accent4 2 2 4 4" xfId="9571" xr:uid="{3B83D035-596B-4892-8229-E8BD2C0FD572}"/>
    <cellStyle name="20% - Accent4 2 2 4 4 2" xfId="22211" xr:uid="{688A07B8-9685-482B-A2B5-AA4D95605BD4}"/>
    <cellStyle name="20% - Accent4 2 2 4 5" xfId="18000" xr:uid="{DB39A166-53AF-41BA-A72C-95867A470C24}"/>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0AE8AD7F-FBA4-4882-B194-00CFD51C760C}"/>
    <cellStyle name="20% - Accent4 2 2 5 2 2 3" xfId="28980" xr:uid="{1B02EAE0-0336-414B-87BA-B218B666396F}"/>
    <cellStyle name="20% - Accent4 2 2 5 2 3" xfId="12129" xr:uid="{F60927F6-B90E-4E56-BE58-7B3318DA19ED}"/>
    <cellStyle name="20% - Accent4 2 2 5 2 3 2" xfId="24769" xr:uid="{FCFF5DF7-5AF6-4558-81BA-90D5CA257F59}"/>
    <cellStyle name="20% - Accent4 2 2 5 2 4" xfId="20558" xr:uid="{FD46E5FC-7A3B-40E8-A6D7-9D7A96194C49}"/>
    <cellStyle name="20% - Accent4 2 2 5 3" xfId="5773" xr:uid="{00000000-0005-0000-0000-000003020000}"/>
    <cellStyle name="20% - Accent4 2 2 5 3 2" xfId="14202" xr:uid="{870AABC6-A15C-49B8-A9BF-1C5AC337C0A3}"/>
    <cellStyle name="20% - Accent4 2 2 5 3 3" xfId="26835" xr:uid="{5095EAC1-4B67-4EB7-8B6F-6FC2F91E0468}"/>
    <cellStyle name="20% - Accent4 2 2 5 4" xfId="9984" xr:uid="{3478762F-15F9-4326-BB53-C4735115578B}"/>
    <cellStyle name="20% - Accent4 2 2 5 4 2" xfId="22624" xr:uid="{C82A3CF4-F573-43C9-B1F9-C1D69BEFC4E6}"/>
    <cellStyle name="20% - Accent4 2 2 5 5" xfId="18413" xr:uid="{D4A702F8-8B09-42C1-A7DE-B78055D61D5A}"/>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FAB5FB04-0EAC-4768-AB7D-163319342696}"/>
    <cellStyle name="20% - Accent4 2 2 6 2 2 3" xfId="29393" xr:uid="{F292DA0D-4246-4815-832A-D20A145CB646}"/>
    <cellStyle name="20% - Accent4 2 2 6 2 3" xfId="12542" xr:uid="{71E22D17-4ACA-4F0A-BE83-216BEBE8C48D}"/>
    <cellStyle name="20% - Accent4 2 2 6 2 3 2" xfId="25182" xr:uid="{4BE82E9B-457D-4828-865D-1EA739451297}"/>
    <cellStyle name="20% - Accent4 2 2 6 2 4" xfId="20971" xr:uid="{3E88B717-4327-45A5-AD23-FBD1D486652A}"/>
    <cellStyle name="20% - Accent4 2 2 6 3" xfId="6186" xr:uid="{00000000-0005-0000-0000-000007020000}"/>
    <cellStyle name="20% - Accent4 2 2 6 3 2" xfId="14615" xr:uid="{30EB5C23-45C9-4C0E-9D3C-ACDAD54A06DD}"/>
    <cellStyle name="20% - Accent4 2 2 6 3 3" xfId="27248" xr:uid="{C4791D22-D3DE-4FAD-8AA3-4EC435AC7143}"/>
    <cellStyle name="20% - Accent4 2 2 6 4" xfId="10397" xr:uid="{2B814DF2-7DEC-420E-BA24-AF625A8FD16E}"/>
    <cellStyle name="20% - Accent4 2 2 6 4 2" xfId="23037" xr:uid="{20B1FA90-2D5C-4CE8-ADED-61CC6653F5DF}"/>
    <cellStyle name="20% - Accent4 2 2 6 5" xfId="18826" xr:uid="{DD7E1F7F-38DA-495F-97D0-6966B96DA48C}"/>
    <cellStyle name="20% - Accent4 2 2 7" xfId="2291" xr:uid="{00000000-0005-0000-0000-000008020000}"/>
    <cellStyle name="20% - Accent4 2 2 7 2" xfId="6599" xr:uid="{00000000-0005-0000-0000-000009020000}"/>
    <cellStyle name="20% - Accent4 2 2 7 2 2" xfId="15028" xr:uid="{EE9B7B64-F12E-44DF-A5A7-D5D49393B86F}"/>
    <cellStyle name="20% - Accent4 2 2 7 2 3" xfId="27661" xr:uid="{52A0B49B-A234-49F2-80C9-68684841506C}"/>
    <cellStyle name="20% - Accent4 2 2 7 3" xfId="10810" xr:uid="{36C1DFEF-14A3-4E19-A92B-7680589F5DC9}"/>
    <cellStyle name="20% - Accent4 2 2 7 3 2" xfId="23450" xr:uid="{104D6D03-4F5D-4E2E-8ABE-F745ED375DC1}"/>
    <cellStyle name="20% - Accent4 2 2 7 4" xfId="19239" xr:uid="{C0B14140-4AFF-4349-A4BF-08BDDCB595D6}"/>
    <cellStyle name="20% - Accent4 2 2 8" xfId="4533" xr:uid="{00000000-0005-0000-0000-00000A020000}"/>
    <cellStyle name="20% - Accent4 2 2 8 2" xfId="12962" xr:uid="{FB1A3945-EABB-4F9C-91AC-F7083E55790D}"/>
    <cellStyle name="20% - Accent4 2 2 8 3" xfId="25595" xr:uid="{595AB00C-0D4A-4520-80F8-3E23DEACE2A2}"/>
    <cellStyle name="20% - Accent4 2 2 9" xfId="8744" xr:uid="{C6760FBD-EC87-408C-A7C6-912CAEAA1B00}"/>
    <cellStyle name="20% - Accent4 2 2 9 2" xfId="21384" xr:uid="{1A51A875-A0E2-407B-8668-CD590C946DB1}"/>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7FBF40B6-473A-4745-9A86-0E9BB6ECCB8A}"/>
    <cellStyle name="20% - Accent4 2 3 2 2 2 3" xfId="28156" xr:uid="{BA739342-738E-4E07-9A87-621DD626134B}"/>
    <cellStyle name="20% - Accent4 2 3 2 2 3" xfId="11305" xr:uid="{D8ACB19F-6EF4-4E56-AE8F-8B81817CD834}"/>
    <cellStyle name="20% - Accent4 2 3 2 2 3 2" xfId="23945" xr:uid="{5DA7E914-B9A6-43F5-B4C9-A84F5363215D}"/>
    <cellStyle name="20% - Accent4 2 3 2 2 4" xfId="19734" xr:uid="{639AA79C-5A68-4846-B9E5-099E111DF094}"/>
    <cellStyle name="20% - Accent4 2 3 2 3" xfId="4949" xr:uid="{00000000-0005-0000-0000-00000F020000}"/>
    <cellStyle name="20% - Accent4 2 3 2 3 2" xfId="13378" xr:uid="{7320EE4F-D728-4216-B660-D9F0D3634C29}"/>
    <cellStyle name="20% - Accent4 2 3 2 3 3" xfId="26011" xr:uid="{2A50FA64-BDCD-41D4-B36D-C60006014D4B}"/>
    <cellStyle name="20% - Accent4 2 3 2 4" xfId="9160" xr:uid="{6C99AF2F-A75D-48C5-AE5B-998669AC8D38}"/>
    <cellStyle name="20% - Accent4 2 3 2 4 2" xfId="21800" xr:uid="{ED2FD34D-AAB2-46E5-B1D2-BF399EC041B0}"/>
    <cellStyle name="20% - Accent4 2 3 2 5" xfId="17589" xr:uid="{A806DECC-2129-46D3-83D0-56062545D6F1}"/>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00D3F7DD-0BE9-472E-A1C4-6A8BF5261595}"/>
    <cellStyle name="20% - Accent4 2 3 3 2 2 3" xfId="28569" xr:uid="{2A3A266F-D073-4D49-836B-51A99B697E3E}"/>
    <cellStyle name="20% - Accent4 2 3 3 2 3" xfId="11718" xr:uid="{4FDE5CD9-6F43-43A6-9831-C357C66F0DCC}"/>
    <cellStyle name="20% - Accent4 2 3 3 2 3 2" xfId="24358" xr:uid="{E106B83D-A682-49EE-948E-1228A08A0012}"/>
    <cellStyle name="20% - Accent4 2 3 3 2 4" xfId="20147" xr:uid="{A3226E05-8FBC-4663-826B-8584CA2B9304}"/>
    <cellStyle name="20% - Accent4 2 3 3 3" xfId="5362" xr:uid="{00000000-0005-0000-0000-000013020000}"/>
    <cellStyle name="20% - Accent4 2 3 3 3 2" xfId="13791" xr:uid="{90ED4DB3-7256-46E4-A7DA-DC97596E7025}"/>
    <cellStyle name="20% - Accent4 2 3 3 3 3" xfId="26424" xr:uid="{01AFD16D-4AD1-41AA-AB2D-06D24020D746}"/>
    <cellStyle name="20% - Accent4 2 3 3 4" xfId="9573" xr:uid="{D285906F-9B54-4620-A1AA-07E6D1461AEE}"/>
    <cellStyle name="20% - Accent4 2 3 3 4 2" xfId="22213" xr:uid="{7C97BC11-981B-4D36-92EB-DAB205BCF0CA}"/>
    <cellStyle name="20% - Accent4 2 3 3 5" xfId="18002" xr:uid="{A60D62AB-5E6C-4E38-B0AF-30E60827EB25}"/>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8FC23343-68A8-4E8A-8CA7-B78E6D189127}"/>
    <cellStyle name="20% - Accent4 2 3 4 2 2 3" xfId="28982" xr:uid="{3D9B53BE-DA36-4483-9C34-2FC79CC2B02C}"/>
    <cellStyle name="20% - Accent4 2 3 4 2 3" xfId="12131" xr:uid="{3B6C262B-180C-4A55-8406-9CAE5108C165}"/>
    <cellStyle name="20% - Accent4 2 3 4 2 3 2" xfId="24771" xr:uid="{4DC85B46-3E45-4F97-BC36-E58E304E79C3}"/>
    <cellStyle name="20% - Accent4 2 3 4 2 4" xfId="20560" xr:uid="{5C55DEB6-7214-4607-BE44-98A92BB8C342}"/>
    <cellStyle name="20% - Accent4 2 3 4 3" xfId="5775" xr:uid="{00000000-0005-0000-0000-000017020000}"/>
    <cellStyle name="20% - Accent4 2 3 4 3 2" xfId="14204" xr:uid="{BD6A2BC4-745F-4806-B115-FBFE1DCADA5C}"/>
    <cellStyle name="20% - Accent4 2 3 4 3 3" xfId="26837" xr:uid="{21533847-0CE7-42B5-BF74-10D1C7299537}"/>
    <cellStyle name="20% - Accent4 2 3 4 4" xfId="9986" xr:uid="{891B3376-6319-427F-8AC0-B77B80334FC2}"/>
    <cellStyle name="20% - Accent4 2 3 4 4 2" xfId="22626" xr:uid="{A3795EE0-0EC1-41AD-8093-62FEB5720CDE}"/>
    <cellStyle name="20% - Accent4 2 3 4 5" xfId="18415" xr:uid="{890A17B1-2492-47E0-8911-F86B9478880F}"/>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36C273C3-4E25-4717-9800-1815DD77B482}"/>
    <cellStyle name="20% - Accent4 2 3 5 2 2 3" xfId="29395" xr:uid="{F352F511-FE06-47C0-A3E1-82C7475E498E}"/>
    <cellStyle name="20% - Accent4 2 3 5 2 3" xfId="12544" xr:uid="{875EA676-A50F-4436-AC3E-7CC80C7417F7}"/>
    <cellStyle name="20% - Accent4 2 3 5 2 3 2" xfId="25184" xr:uid="{EC734377-AD8C-4E7B-AB14-8CA3315FE5E1}"/>
    <cellStyle name="20% - Accent4 2 3 5 2 4" xfId="20973" xr:uid="{BBBF0904-C40B-487D-B23D-F3EA1FEF64C5}"/>
    <cellStyle name="20% - Accent4 2 3 5 3" xfId="6188" xr:uid="{00000000-0005-0000-0000-00001B020000}"/>
    <cellStyle name="20% - Accent4 2 3 5 3 2" xfId="14617" xr:uid="{65EE0778-A016-46F0-B733-C8481F47D8CA}"/>
    <cellStyle name="20% - Accent4 2 3 5 3 3" xfId="27250" xr:uid="{E11793F8-F0B6-4714-8CD4-6F393A7BD8BB}"/>
    <cellStyle name="20% - Accent4 2 3 5 4" xfId="10399" xr:uid="{1ACC7CCE-991A-4A6E-92E5-E9A2444E4D79}"/>
    <cellStyle name="20% - Accent4 2 3 5 4 2" xfId="23039" xr:uid="{EFA611CA-B8D0-48EC-974C-8AC37B6B8944}"/>
    <cellStyle name="20% - Accent4 2 3 5 5" xfId="18828" xr:uid="{AD5C93FB-A420-4947-B55C-63F68B8287B2}"/>
    <cellStyle name="20% - Accent4 2 3 6" xfId="2293" xr:uid="{00000000-0005-0000-0000-00001C020000}"/>
    <cellStyle name="20% - Accent4 2 3 6 2" xfId="6601" xr:uid="{00000000-0005-0000-0000-00001D020000}"/>
    <cellStyle name="20% - Accent4 2 3 6 2 2" xfId="15030" xr:uid="{B84600E9-D8D9-481B-8AC9-D2615CAE4483}"/>
    <cellStyle name="20% - Accent4 2 3 6 2 3" xfId="27663" xr:uid="{69625384-3C2A-4382-AE50-B14CCAC27ABE}"/>
    <cellStyle name="20% - Accent4 2 3 6 3" xfId="10812" xr:uid="{0FDF9ED6-705A-4D97-BC97-15B4C2F66577}"/>
    <cellStyle name="20% - Accent4 2 3 6 3 2" xfId="23452" xr:uid="{750FCDAF-6BD4-4BFB-A6B4-46E7E77BF77E}"/>
    <cellStyle name="20% - Accent4 2 3 6 4" xfId="19241" xr:uid="{35529FF2-EE6D-44BC-84B9-7B2599042D39}"/>
    <cellStyle name="20% - Accent4 2 3 7" xfId="4535" xr:uid="{00000000-0005-0000-0000-00001E020000}"/>
    <cellStyle name="20% - Accent4 2 3 7 2" xfId="12964" xr:uid="{44AE72F3-972F-46C8-B798-F39525F90A9B}"/>
    <cellStyle name="20% - Accent4 2 3 7 3" xfId="25597" xr:uid="{6AE57C1F-450B-4FB1-9361-0E7C039278F3}"/>
    <cellStyle name="20% - Accent4 2 3 8" xfId="8746" xr:uid="{20862ADD-F3B7-459B-BA53-A7F893E7CE9F}"/>
    <cellStyle name="20% - Accent4 2 3 8 2" xfId="21386" xr:uid="{8AC52559-514D-4CBA-AD5B-6ABF4E6064A8}"/>
    <cellStyle name="20% - Accent4 2 3 9" xfId="17175" xr:uid="{D1C73471-2371-4819-AC19-429876681390}"/>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F2DBDB94-E24A-47DF-A342-CF006237F6F6}"/>
    <cellStyle name="20% - Accent4 2 4 2 2 3" xfId="28153" xr:uid="{F05B363C-15EF-4618-9835-34CC4E862C49}"/>
    <cellStyle name="20% - Accent4 2 4 2 3" xfId="11302" xr:uid="{39CD943F-7B04-4493-8EB7-804383CD5936}"/>
    <cellStyle name="20% - Accent4 2 4 2 3 2" xfId="23942" xr:uid="{C1E3D006-0401-4A1A-AEBD-A67B24F6BE16}"/>
    <cellStyle name="20% - Accent4 2 4 2 4" xfId="19731" xr:uid="{6387AB0E-F069-4C1C-A41E-122065911A62}"/>
    <cellStyle name="20% - Accent4 2 4 3" xfId="4946" xr:uid="{00000000-0005-0000-0000-000022020000}"/>
    <cellStyle name="20% - Accent4 2 4 3 2" xfId="13375" xr:uid="{D7EB3EDA-FE84-4E97-B336-A4C36995DA33}"/>
    <cellStyle name="20% - Accent4 2 4 3 3" xfId="26008" xr:uid="{26AA0FB3-691A-443E-9DC4-C8598996EA80}"/>
    <cellStyle name="20% - Accent4 2 4 4" xfId="9157" xr:uid="{01EC79CA-AD28-4ECE-BC0D-1F5ED9AB2108}"/>
    <cellStyle name="20% - Accent4 2 4 4 2" xfId="21797" xr:uid="{89E3F11C-0BA3-4A0A-A170-1D5C64E9DCA2}"/>
    <cellStyle name="20% - Accent4 2 4 5" xfId="17586" xr:uid="{E9E772E1-C74D-4A0A-81AC-2F348810C44A}"/>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A7259DE6-6ACD-4BE0-8737-794F1A7B0953}"/>
    <cellStyle name="20% - Accent4 2 5 2 2 3" xfId="28566" xr:uid="{4E4F5A74-53AC-400B-9AF9-B1CB6FB41210}"/>
    <cellStyle name="20% - Accent4 2 5 2 3" xfId="11715" xr:uid="{344D338D-0051-4D97-9DA4-A798D7B125B0}"/>
    <cellStyle name="20% - Accent4 2 5 2 3 2" xfId="24355" xr:uid="{5954E998-5584-4752-869B-799AC91FE283}"/>
    <cellStyle name="20% - Accent4 2 5 2 4" xfId="20144" xr:uid="{346CD92B-4C86-4ACF-A553-5328B0EB6347}"/>
    <cellStyle name="20% - Accent4 2 5 3" xfId="5359" xr:uid="{00000000-0005-0000-0000-000026020000}"/>
    <cellStyle name="20% - Accent4 2 5 3 2" xfId="13788" xr:uid="{0FBCE61E-2C8E-482A-959B-54CCDC69D2C4}"/>
    <cellStyle name="20% - Accent4 2 5 3 3" xfId="26421" xr:uid="{1CB99B15-1334-4F50-AC50-9CA03D2F0BDF}"/>
    <cellStyle name="20% - Accent4 2 5 4" xfId="9570" xr:uid="{CD1C1FF9-9D5D-4F02-B1BB-2DECC38E97B8}"/>
    <cellStyle name="20% - Accent4 2 5 4 2" xfId="22210" xr:uid="{313AADD6-2822-46FA-AC6A-FE43B7373044}"/>
    <cellStyle name="20% - Accent4 2 5 5" xfId="17999" xr:uid="{89B28D99-6031-4A53-B2DB-5B865C44DAD0}"/>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54B41EA0-5201-438B-A475-F539D903AB1D}"/>
    <cellStyle name="20% - Accent4 2 6 2 2 3" xfId="28979" xr:uid="{87B6186E-CB35-4974-AB9C-869CE5BA7829}"/>
    <cellStyle name="20% - Accent4 2 6 2 3" xfId="12128" xr:uid="{DB3CD38B-57FD-4BDB-85E0-6A856FB8ADA4}"/>
    <cellStyle name="20% - Accent4 2 6 2 3 2" xfId="24768" xr:uid="{378AB017-3FC9-4EEC-B1E8-7DF9BD930F98}"/>
    <cellStyle name="20% - Accent4 2 6 2 4" xfId="20557" xr:uid="{0D2C68CF-9E6A-4885-8207-62638A2AACC7}"/>
    <cellStyle name="20% - Accent4 2 6 3" xfId="5772" xr:uid="{00000000-0005-0000-0000-00002A020000}"/>
    <cellStyle name="20% - Accent4 2 6 3 2" xfId="14201" xr:uid="{DD289ED0-541A-4AEE-86CE-A67644B4CDAD}"/>
    <cellStyle name="20% - Accent4 2 6 3 3" xfId="26834" xr:uid="{5075FCB0-6F4C-4E16-BE80-43589646D5CC}"/>
    <cellStyle name="20% - Accent4 2 6 4" xfId="9983" xr:uid="{F9AFA05F-854B-44C3-BAEB-6C34C9EF878A}"/>
    <cellStyle name="20% - Accent4 2 6 4 2" xfId="22623" xr:uid="{706F7D40-BABA-4449-B1CC-0A33800741E0}"/>
    <cellStyle name="20% - Accent4 2 6 5" xfId="18412" xr:uid="{2DF45C41-40A4-4F64-BDB7-B91E9B651143}"/>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347C4C18-93B6-45AC-95A5-9AE5D6E5DA87}"/>
    <cellStyle name="20% - Accent4 2 7 2 2 3" xfId="29392" xr:uid="{0412E10D-951C-4639-9E74-2D7ACF0D3E90}"/>
    <cellStyle name="20% - Accent4 2 7 2 3" xfId="12541" xr:uid="{1492D2B8-896B-4014-9F35-F1375E704819}"/>
    <cellStyle name="20% - Accent4 2 7 2 3 2" xfId="25181" xr:uid="{D5C1DAD3-4668-46D7-B04F-7923FC6F1923}"/>
    <cellStyle name="20% - Accent4 2 7 2 4" xfId="20970" xr:uid="{0F00734E-F905-43C4-BB3E-D515D1AF6444}"/>
    <cellStyle name="20% - Accent4 2 7 3" xfId="6185" xr:uid="{00000000-0005-0000-0000-00002E020000}"/>
    <cellStyle name="20% - Accent4 2 7 3 2" xfId="14614" xr:uid="{755A2B75-491D-4F24-9788-A594BCF33BE4}"/>
    <cellStyle name="20% - Accent4 2 7 3 3" xfId="27247" xr:uid="{19E1C870-608A-435F-9D1A-BEB66A2B4BCE}"/>
    <cellStyle name="20% - Accent4 2 7 4" xfId="10396" xr:uid="{63F6E238-A7DE-47BB-9A49-166DBAA5BCA7}"/>
    <cellStyle name="20% - Accent4 2 7 4 2" xfId="23036" xr:uid="{BBD9F540-FCBD-4842-B70C-5C3C92BB199D}"/>
    <cellStyle name="20% - Accent4 2 7 5" xfId="18825" xr:uid="{D8F9FB3A-5656-486F-9A35-F8D765C2FF95}"/>
    <cellStyle name="20% - Accent4 2 8" xfId="2290" xr:uid="{00000000-0005-0000-0000-00002F020000}"/>
    <cellStyle name="20% - Accent4 2 8 2" xfId="6598" xr:uid="{00000000-0005-0000-0000-000030020000}"/>
    <cellStyle name="20% - Accent4 2 8 2 2" xfId="15027" xr:uid="{95E55ADE-92A1-4EE9-BD73-7A83EE7454D8}"/>
    <cellStyle name="20% - Accent4 2 8 2 3" xfId="27660" xr:uid="{C7D883FD-E643-47CD-8EF4-7D63B1D31121}"/>
    <cellStyle name="20% - Accent4 2 8 3" xfId="10809" xr:uid="{B6137F17-CABF-475F-BEF6-5BF92108F8BD}"/>
    <cellStyle name="20% - Accent4 2 8 3 2" xfId="23449" xr:uid="{1DFE9737-6355-46B8-A4F3-7424FF6C48C9}"/>
    <cellStyle name="20% - Accent4 2 8 4" xfId="19238" xr:uid="{CC96C174-8F43-43C2-8F91-67A98DC3C3AD}"/>
    <cellStyle name="20% - Accent4 2 9" xfId="4532" xr:uid="{00000000-0005-0000-0000-000031020000}"/>
    <cellStyle name="20% - Accent4 2 9 2" xfId="12961" xr:uid="{85B7829E-53DF-48C8-A66E-9E11363B0FA3}"/>
    <cellStyle name="20% - Accent4 2 9 3" xfId="25594" xr:uid="{382A426B-49DB-45DB-851F-D29103AFD2A0}"/>
    <cellStyle name="20% - Accent4 3" xfId="30" xr:uid="{00000000-0005-0000-0000-000032020000}"/>
    <cellStyle name="20% - Accent4 3 10" xfId="17176" xr:uid="{F004851A-7976-427B-9F7A-6DD03C0E5B3F}"/>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BF828E96-5949-489B-B31B-AD9BC103452B}"/>
    <cellStyle name="20% - Accent4 3 2 2 2 2 3" xfId="28158" xr:uid="{31A7459A-CCAB-470B-827D-26808D691AF4}"/>
    <cellStyle name="20% - Accent4 3 2 2 2 3" xfId="11307" xr:uid="{02CC56B1-59A0-4835-8137-D1F83EC907BB}"/>
    <cellStyle name="20% - Accent4 3 2 2 2 3 2" xfId="23947" xr:uid="{4DB66077-232E-4290-88F7-A2B9A2C26013}"/>
    <cellStyle name="20% - Accent4 3 2 2 2 4" xfId="19736" xr:uid="{6D50BD05-A6D8-4F4A-B56F-AE20A689CB94}"/>
    <cellStyle name="20% - Accent4 3 2 2 3" xfId="4951" xr:uid="{00000000-0005-0000-0000-000037020000}"/>
    <cellStyle name="20% - Accent4 3 2 2 3 2" xfId="13380" xr:uid="{FD8391E6-9D69-4D46-AFB4-3A3977E9C968}"/>
    <cellStyle name="20% - Accent4 3 2 2 3 3" xfId="26013" xr:uid="{72C87DF5-8DB9-4459-9ECE-3415CF1649D0}"/>
    <cellStyle name="20% - Accent4 3 2 2 4" xfId="9162" xr:uid="{76A5FFC4-B223-499E-8160-AD8486A4654E}"/>
    <cellStyle name="20% - Accent4 3 2 2 4 2" xfId="21802" xr:uid="{6E4C4277-F8BD-4F8B-A0DE-A6DC61BB06DD}"/>
    <cellStyle name="20% - Accent4 3 2 2 5" xfId="17591" xr:uid="{AD55D86D-D1DC-4A40-8E27-AFA44E5EB18E}"/>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7D65EC4A-9A8C-4084-99C4-CA8E5B35051A}"/>
    <cellStyle name="20% - Accent4 3 2 3 2 2 3" xfId="28571" xr:uid="{10ED9249-A7B8-4DD7-A408-5AB7489E5D2D}"/>
    <cellStyle name="20% - Accent4 3 2 3 2 3" xfId="11720" xr:uid="{570AC2A9-FA54-4AAD-BCC9-AF5AD8377ED2}"/>
    <cellStyle name="20% - Accent4 3 2 3 2 3 2" xfId="24360" xr:uid="{79E5CC41-47C1-4591-8A1F-0213DC9B5785}"/>
    <cellStyle name="20% - Accent4 3 2 3 2 4" xfId="20149" xr:uid="{466792DA-98BA-466C-8DEC-5EC5F3EC7F1E}"/>
    <cellStyle name="20% - Accent4 3 2 3 3" xfId="5364" xr:uid="{00000000-0005-0000-0000-00003B020000}"/>
    <cellStyle name="20% - Accent4 3 2 3 3 2" xfId="13793" xr:uid="{BF9E8A8E-F3CA-4ED3-80E5-B2B145379733}"/>
    <cellStyle name="20% - Accent4 3 2 3 3 3" xfId="26426" xr:uid="{F9C4FA76-3FA5-4C88-A1F8-7A05004A62E4}"/>
    <cellStyle name="20% - Accent4 3 2 3 4" xfId="9575" xr:uid="{1BF42532-7E88-4C74-B1BE-6C5093F958E2}"/>
    <cellStyle name="20% - Accent4 3 2 3 4 2" xfId="22215" xr:uid="{99D55F41-CDB5-41EB-BC78-1EED93FC0653}"/>
    <cellStyle name="20% - Accent4 3 2 3 5" xfId="18004" xr:uid="{AD75DFC8-988C-410F-9CFF-28012E91FE37}"/>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2FC34824-E864-40FF-91C6-28FC7ADD7CE7}"/>
    <cellStyle name="20% - Accent4 3 2 4 2 2 3" xfId="28984" xr:uid="{09C6B8F1-FB70-44A4-88C1-AC3B50EE3CDB}"/>
    <cellStyle name="20% - Accent4 3 2 4 2 3" xfId="12133" xr:uid="{3A660F09-F9DE-49EF-BCC9-637001D30D10}"/>
    <cellStyle name="20% - Accent4 3 2 4 2 3 2" xfId="24773" xr:uid="{C26BF362-2A00-4CCB-9FE7-182B01C7E6C9}"/>
    <cellStyle name="20% - Accent4 3 2 4 2 4" xfId="20562" xr:uid="{73C05B86-87C7-4876-B9B9-0410211A598B}"/>
    <cellStyle name="20% - Accent4 3 2 4 3" xfId="5777" xr:uid="{00000000-0005-0000-0000-00003F020000}"/>
    <cellStyle name="20% - Accent4 3 2 4 3 2" xfId="14206" xr:uid="{7C8A1F10-B531-44DC-872D-343F05671C19}"/>
    <cellStyle name="20% - Accent4 3 2 4 3 3" xfId="26839" xr:uid="{B3EA0786-6C27-493D-B9D1-F4A3D0E32F92}"/>
    <cellStyle name="20% - Accent4 3 2 4 4" xfId="9988" xr:uid="{8D422C5B-C021-4240-B728-7056B55C2B95}"/>
    <cellStyle name="20% - Accent4 3 2 4 4 2" xfId="22628" xr:uid="{B928350A-84F0-4D33-8416-9D7222E55AF4}"/>
    <cellStyle name="20% - Accent4 3 2 4 5" xfId="18417" xr:uid="{DFE0FD1A-A5DF-4E98-ADD8-65935696E0DE}"/>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A9A6C0EB-AB63-4F2E-9D31-7A7812C18DDD}"/>
    <cellStyle name="20% - Accent4 3 2 5 2 2 3" xfId="29397" xr:uid="{F3C5B03A-734D-4CF8-BEC0-304DCA01FB4A}"/>
    <cellStyle name="20% - Accent4 3 2 5 2 3" xfId="12546" xr:uid="{2A663EF8-AE4E-4EF3-83CE-E8CC1599654B}"/>
    <cellStyle name="20% - Accent4 3 2 5 2 3 2" xfId="25186" xr:uid="{69C1C6DD-3461-4AD4-956F-C94497C26811}"/>
    <cellStyle name="20% - Accent4 3 2 5 2 4" xfId="20975" xr:uid="{90893AA6-F881-4D43-BE0E-A7ED04BF9E14}"/>
    <cellStyle name="20% - Accent4 3 2 5 3" xfId="6190" xr:uid="{00000000-0005-0000-0000-000043020000}"/>
    <cellStyle name="20% - Accent4 3 2 5 3 2" xfId="14619" xr:uid="{6D72EB1D-5045-4750-B419-0740A6094095}"/>
    <cellStyle name="20% - Accent4 3 2 5 3 3" xfId="27252" xr:uid="{8763CDD3-FE07-456C-A222-E2C5F30D4A76}"/>
    <cellStyle name="20% - Accent4 3 2 5 4" xfId="10401" xr:uid="{6250B2A8-CE78-4177-AB6A-3DC48FDF959B}"/>
    <cellStyle name="20% - Accent4 3 2 5 4 2" xfId="23041" xr:uid="{9E18B92B-E520-493E-BD18-0BDF797D7465}"/>
    <cellStyle name="20% - Accent4 3 2 5 5" xfId="18830" xr:uid="{DE7669B1-0F36-4FB7-93C1-613499D70822}"/>
    <cellStyle name="20% - Accent4 3 2 6" xfId="2295" xr:uid="{00000000-0005-0000-0000-000044020000}"/>
    <cellStyle name="20% - Accent4 3 2 6 2" xfId="6603" xr:uid="{00000000-0005-0000-0000-000045020000}"/>
    <cellStyle name="20% - Accent4 3 2 6 2 2" xfId="15032" xr:uid="{BF661C47-5FF3-4FE2-B8C9-41B02FDEB1EA}"/>
    <cellStyle name="20% - Accent4 3 2 6 2 3" xfId="27665" xr:uid="{5A54CB53-D9F7-434A-9777-8F9C2E60BB07}"/>
    <cellStyle name="20% - Accent4 3 2 6 3" xfId="10814" xr:uid="{81B0516D-70DE-41D5-B460-5E305283D4D7}"/>
    <cellStyle name="20% - Accent4 3 2 6 3 2" xfId="23454" xr:uid="{AE989D17-6B27-4E97-962A-1BB8A0E360AB}"/>
    <cellStyle name="20% - Accent4 3 2 6 4" xfId="19243" xr:uid="{493BC749-84E5-49D4-B434-B50DA6531CEE}"/>
    <cellStyle name="20% - Accent4 3 2 7" xfId="4537" xr:uid="{00000000-0005-0000-0000-000046020000}"/>
    <cellStyle name="20% - Accent4 3 2 7 2" xfId="12966" xr:uid="{32B6030A-7F46-4A2B-94CF-094132EDB7A9}"/>
    <cellStyle name="20% - Accent4 3 2 7 3" xfId="25599" xr:uid="{320D7DBF-C4BA-44F3-B951-20A05C3EC967}"/>
    <cellStyle name="20% - Accent4 3 2 8" xfId="8748" xr:uid="{E38E3281-F28A-493C-B868-12F713E771AD}"/>
    <cellStyle name="20% - Accent4 3 2 8 2" xfId="21388" xr:uid="{F99B9672-7F38-4A1D-9752-5677D9C9D79A}"/>
    <cellStyle name="20% - Accent4 3 2 9" xfId="17177" xr:uid="{06FA59BD-35D5-459A-BF72-C8D6C50826C3}"/>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165599FD-9E43-419F-ADDE-D7DB225E0065}"/>
    <cellStyle name="20% - Accent4 3 3 2 2 3" xfId="28157" xr:uid="{62E2F213-5FE5-4AC9-9E45-C14760F8B2DC}"/>
    <cellStyle name="20% - Accent4 3 3 2 3" xfId="11306" xr:uid="{5755C3F5-F84A-4AFB-9573-3BB64B10E832}"/>
    <cellStyle name="20% - Accent4 3 3 2 3 2" xfId="23946" xr:uid="{C3B0B4C1-7BE5-4326-B056-C69BFAFE711D}"/>
    <cellStyle name="20% - Accent4 3 3 2 4" xfId="19735" xr:uid="{8945E5B0-80EE-4243-B580-7924725B915F}"/>
    <cellStyle name="20% - Accent4 3 3 3" xfId="4950" xr:uid="{00000000-0005-0000-0000-00004A020000}"/>
    <cellStyle name="20% - Accent4 3 3 3 2" xfId="13379" xr:uid="{D310EE60-847D-4704-8E66-C5F9B3D74687}"/>
    <cellStyle name="20% - Accent4 3 3 3 3" xfId="26012" xr:uid="{70159564-6191-4F79-B5CE-E2AB32E44AD4}"/>
    <cellStyle name="20% - Accent4 3 3 4" xfId="9161" xr:uid="{12116AB6-28C6-474E-83B2-026D237C0B0C}"/>
    <cellStyle name="20% - Accent4 3 3 4 2" xfId="21801" xr:uid="{96A57816-183A-43F2-B70F-674C8F89233E}"/>
    <cellStyle name="20% - Accent4 3 3 5" xfId="17590" xr:uid="{AA112C4E-C2E9-4E72-9E6A-7F9577A79523}"/>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E28A8DED-A55E-4260-8A9F-52AA07CB1A45}"/>
    <cellStyle name="20% - Accent4 3 4 2 2 3" xfId="28570" xr:uid="{D980845E-3299-4F75-B92A-48FF045DE964}"/>
    <cellStyle name="20% - Accent4 3 4 2 3" xfId="11719" xr:uid="{27374455-F61B-4006-B668-C944EA355036}"/>
    <cellStyle name="20% - Accent4 3 4 2 3 2" xfId="24359" xr:uid="{0EF3E9CA-9A46-49E7-A5CD-DCF1B17A5A73}"/>
    <cellStyle name="20% - Accent4 3 4 2 4" xfId="20148" xr:uid="{0E660A0A-B386-4F6B-B4A0-F1A119017CE6}"/>
    <cellStyle name="20% - Accent4 3 4 3" xfId="5363" xr:uid="{00000000-0005-0000-0000-00004E020000}"/>
    <cellStyle name="20% - Accent4 3 4 3 2" xfId="13792" xr:uid="{61544656-11C5-4392-AEFE-849C20381C5E}"/>
    <cellStyle name="20% - Accent4 3 4 3 3" xfId="26425" xr:uid="{0BD4B988-DD69-4F90-BF1F-E0E2B4143728}"/>
    <cellStyle name="20% - Accent4 3 4 4" xfId="9574" xr:uid="{0E29A1B5-AE2C-46E9-A419-707F636432FA}"/>
    <cellStyle name="20% - Accent4 3 4 4 2" xfId="22214" xr:uid="{4EA329BC-D470-4793-81AE-765206A5F3FF}"/>
    <cellStyle name="20% - Accent4 3 4 5" xfId="18003" xr:uid="{871ECABF-81B7-4C08-AE97-CDCF00D86075}"/>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9678B640-200C-4B3F-ACE0-425F05EC7B12}"/>
    <cellStyle name="20% - Accent4 3 5 2 2 3" xfId="28983" xr:uid="{07A81C54-B108-4F12-AABF-75EB5AC1AB08}"/>
    <cellStyle name="20% - Accent4 3 5 2 3" xfId="12132" xr:uid="{116D8152-4D73-47BA-ABA5-0687C22DC7FF}"/>
    <cellStyle name="20% - Accent4 3 5 2 3 2" xfId="24772" xr:uid="{DF3D3D1A-BF3E-4FBA-AC2B-9047940321BB}"/>
    <cellStyle name="20% - Accent4 3 5 2 4" xfId="20561" xr:uid="{6B12149D-DB54-42B5-A423-B9413553725D}"/>
    <cellStyle name="20% - Accent4 3 5 3" xfId="5776" xr:uid="{00000000-0005-0000-0000-000052020000}"/>
    <cellStyle name="20% - Accent4 3 5 3 2" xfId="14205" xr:uid="{71426389-1F07-4DBF-A1AF-4400BBD16220}"/>
    <cellStyle name="20% - Accent4 3 5 3 3" xfId="26838" xr:uid="{CAB8A477-5073-459C-9DE1-B9C1BE5BC8B2}"/>
    <cellStyle name="20% - Accent4 3 5 4" xfId="9987" xr:uid="{E9AF0723-C81F-42A8-B09C-EA56F43444BD}"/>
    <cellStyle name="20% - Accent4 3 5 4 2" xfId="22627" xr:uid="{CE93AE7E-6041-4867-B9E7-A90B3AB60B60}"/>
    <cellStyle name="20% - Accent4 3 5 5" xfId="18416" xr:uid="{AD8618B0-8D0C-4B93-A66B-6A1CB897A31A}"/>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66EC6E46-374C-4BA4-AAC6-FDD043C8A56D}"/>
    <cellStyle name="20% - Accent4 3 6 2 2 3" xfId="29396" xr:uid="{B98A23CE-E468-443C-AC3B-4E70E2DF17BD}"/>
    <cellStyle name="20% - Accent4 3 6 2 3" xfId="12545" xr:uid="{3D81C785-934B-4461-9178-4298DBB6A608}"/>
    <cellStyle name="20% - Accent4 3 6 2 3 2" xfId="25185" xr:uid="{28D2EE90-6767-49AE-BA5E-29B79618AF55}"/>
    <cellStyle name="20% - Accent4 3 6 2 4" xfId="20974" xr:uid="{24CE9F3F-F8B9-4A3E-89F2-09A22E3B5B4E}"/>
    <cellStyle name="20% - Accent4 3 6 3" xfId="6189" xr:uid="{00000000-0005-0000-0000-000056020000}"/>
    <cellStyle name="20% - Accent4 3 6 3 2" xfId="14618" xr:uid="{E2552373-1B52-4BCE-A19E-12ADE52465CF}"/>
    <cellStyle name="20% - Accent4 3 6 3 3" xfId="27251" xr:uid="{7A2544CE-2538-4AA3-A1FD-26DA8EAB965F}"/>
    <cellStyle name="20% - Accent4 3 6 4" xfId="10400" xr:uid="{AEC68851-666D-4AEE-AA40-DB213619BA49}"/>
    <cellStyle name="20% - Accent4 3 6 4 2" xfId="23040" xr:uid="{F7364CE5-6333-437A-9BD6-5BCF97CD56F6}"/>
    <cellStyle name="20% - Accent4 3 6 5" xfId="18829" xr:uid="{57DAB673-82E8-4389-9713-8456AB295064}"/>
    <cellStyle name="20% - Accent4 3 7" xfId="2294" xr:uid="{00000000-0005-0000-0000-000057020000}"/>
    <cellStyle name="20% - Accent4 3 7 2" xfId="6602" xr:uid="{00000000-0005-0000-0000-000058020000}"/>
    <cellStyle name="20% - Accent4 3 7 2 2" xfId="15031" xr:uid="{B956E0DD-341D-4842-8968-40064667B1AF}"/>
    <cellStyle name="20% - Accent4 3 7 2 3" xfId="27664" xr:uid="{045C190B-F13C-4936-A3AC-E3DB0C3D5327}"/>
    <cellStyle name="20% - Accent4 3 7 3" xfId="10813" xr:uid="{3021EC03-9D6A-4270-9425-4436E99681EF}"/>
    <cellStyle name="20% - Accent4 3 7 3 2" xfId="23453" xr:uid="{222E2F2F-36E4-4D23-AE90-5E908DE31A37}"/>
    <cellStyle name="20% - Accent4 3 7 4" xfId="19242" xr:uid="{5959B339-DAE2-4F18-AF48-6701538B2785}"/>
    <cellStyle name="20% - Accent4 3 8" xfId="4536" xr:uid="{00000000-0005-0000-0000-000059020000}"/>
    <cellStyle name="20% - Accent4 3 8 2" xfId="12965" xr:uid="{3A8094EA-DAE3-458D-9519-E013B77D8BE5}"/>
    <cellStyle name="20% - Accent4 3 8 3" xfId="25598" xr:uid="{54A522A5-7065-4C8C-BDA6-CAE3A752988C}"/>
    <cellStyle name="20% - Accent4 3 9" xfId="8747" xr:uid="{1FDE3B95-CCA5-4C37-AE57-B03CC42AF3F7}"/>
    <cellStyle name="20% - Accent4 3 9 2" xfId="21387" xr:uid="{E4ECEE1C-695E-43F4-8EA3-4A909E18D81B}"/>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43B56669-1294-45EA-842D-3855FD4F2F9E}"/>
    <cellStyle name="20% - Accent4 4 2 2 2 3" xfId="28159" xr:uid="{8650D5A9-6063-4B6A-B5E7-3D6288A8A92A}"/>
    <cellStyle name="20% - Accent4 4 2 2 3" xfId="11308" xr:uid="{2BC2EEF4-9EBB-4DBE-AF7F-9137B5C12A94}"/>
    <cellStyle name="20% - Accent4 4 2 2 3 2" xfId="23948" xr:uid="{875AE0A0-CF65-488B-8D23-F23EED017423}"/>
    <cellStyle name="20% - Accent4 4 2 2 4" xfId="19737" xr:uid="{2D155FC7-9BB3-42AE-8B95-73A3D2BA219B}"/>
    <cellStyle name="20% - Accent4 4 2 3" xfId="4952" xr:uid="{00000000-0005-0000-0000-00005E020000}"/>
    <cellStyle name="20% - Accent4 4 2 3 2" xfId="13381" xr:uid="{E9CE34B4-215A-469E-B241-D0F3DF0DD485}"/>
    <cellStyle name="20% - Accent4 4 2 3 3" xfId="26014" xr:uid="{45E67315-5B64-40A2-AF36-083C3C403F5B}"/>
    <cellStyle name="20% - Accent4 4 2 4" xfId="9163" xr:uid="{EB7EC462-2E2C-4863-B52C-82FB8025D6AF}"/>
    <cellStyle name="20% - Accent4 4 2 4 2" xfId="21803" xr:uid="{98957476-BDDA-47F2-BF7F-C0854B916C5B}"/>
    <cellStyle name="20% - Accent4 4 2 5" xfId="17592" xr:uid="{73946EF1-F491-4423-AAE2-1F7522CC2478}"/>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C8CE38E6-AD40-4F87-A30C-E6BF723FAC7F}"/>
    <cellStyle name="20% - Accent4 4 3 2 2 3" xfId="28572" xr:uid="{9AA62CD0-864B-4A92-96F9-44996C7A40A9}"/>
    <cellStyle name="20% - Accent4 4 3 2 3" xfId="11721" xr:uid="{ACE3A78A-5BC0-40B6-B027-42E16AE6A568}"/>
    <cellStyle name="20% - Accent4 4 3 2 3 2" xfId="24361" xr:uid="{48B8C067-F9FD-4AB1-939E-44FA8CE9B8C3}"/>
    <cellStyle name="20% - Accent4 4 3 2 4" xfId="20150" xr:uid="{8F0BC9C0-885E-44D4-A31C-94EC23662A7C}"/>
    <cellStyle name="20% - Accent4 4 3 3" xfId="5365" xr:uid="{00000000-0005-0000-0000-000062020000}"/>
    <cellStyle name="20% - Accent4 4 3 3 2" xfId="13794" xr:uid="{FD63CEF0-A978-4B18-B60A-35AB8D876F26}"/>
    <cellStyle name="20% - Accent4 4 3 3 3" xfId="26427" xr:uid="{AA52B9CC-7ABC-4669-A07E-65F3B0077406}"/>
    <cellStyle name="20% - Accent4 4 3 4" xfId="9576" xr:uid="{B4075CEE-435D-4D74-9FD5-B42D0C53EBE3}"/>
    <cellStyle name="20% - Accent4 4 3 4 2" xfId="22216" xr:uid="{C6C7751C-379B-4768-915A-7E4A8C83710E}"/>
    <cellStyle name="20% - Accent4 4 3 5" xfId="18005" xr:uid="{24E5ABB7-162F-41A5-9650-84D8463723A3}"/>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C49E1B87-EF97-41B2-854E-AF013D4521CC}"/>
    <cellStyle name="20% - Accent4 4 4 2 2 3" xfId="28985" xr:uid="{DF7D13E9-7BD2-45E2-951A-B93BD7C1828B}"/>
    <cellStyle name="20% - Accent4 4 4 2 3" xfId="12134" xr:uid="{1B43D008-830E-4542-9103-9162D2E1E7DA}"/>
    <cellStyle name="20% - Accent4 4 4 2 3 2" xfId="24774" xr:uid="{4F51131C-4ADD-44A9-8C0A-F1FB0D000181}"/>
    <cellStyle name="20% - Accent4 4 4 2 4" xfId="20563" xr:uid="{B16C9981-D22F-47E5-BB92-97E08F8787AA}"/>
    <cellStyle name="20% - Accent4 4 4 3" xfId="5778" xr:uid="{00000000-0005-0000-0000-000066020000}"/>
    <cellStyle name="20% - Accent4 4 4 3 2" xfId="14207" xr:uid="{D0935EE2-FE07-486C-A8D7-604034658F81}"/>
    <cellStyle name="20% - Accent4 4 4 3 3" xfId="26840" xr:uid="{A02CDE01-2C50-4BB4-93E1-D5AD92867EFA}"/>
    <cellStyle name="20% - Accent4 4 4 4" xfId="9989" xr:uid="{83432BEE-53EA-45F3-A7F3-A49B21474598}"/>
    <cellStyle name="20% - Accent4 4 4 4 2" xfId="22629" xr:uid="{ADA34127-49AB-4C0F-BB0D-D43F883A8B2B}"/>
    <cellStyle name="20% - Accent4 4 4 5" xfId="18418" xr:uid="{B1ED416D-2714-4715-AD22-CDA5A9B39998}"/>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8670BF8A-48A3-4428-8C31-D4A7B189D55B}"/>
    <cellStyle name="20% - Accent4 4 5 2 2 3" xfId="29398" xr:uid="{7D5ED237-669E-41A5-87A1-FAA0A650C6C9}"/>
    <cellStyle name="20% - Accent4 4 5 2 3" xfId="12547" xr:uid="{186177E8-AEDC-44C2-8020-1EF938527144}"/>
    <cellStyle name="20% - Accent4 4 5 2 3 2" xfId="25187" xr:uid="{4B11D6D1-E953-45AB-B53F-48D2EC2D03AE}"/>
    <cellStyle name="20% - Accent4 4 5 2 4" xfId="20976" xr:uid="{7C0A44A5-0297-487E-A2A7-AC3F4E71932A}"/>
    <cellStyle name="20% - Accent4 4 5 3" xfId="6191" xr:uid="{00000000-0005-0000-0000-00006A020000}"/>
    <cellStyle name="20% - Accent4 4 5 3 2" xfId="14620" xr:uid="{3A1F4AA6-92DF-4773-9FE2-120A821868AE}"/>
    <cellStyle name="20% - Accent4 4 5 3 3" xfId="27253" xr:uid="{50CF2742-28A0-4726-8881-4F92B48274AD}"/>
    <cellStyle name="20% - Accent4 4 5 4" xfId="10402" xr:uid="{C4C52C7C-7A67-4450-AC31-AA5AD4FF5C92}"/>
    <cellStyle name="20% - Accent4 4 5 4 2" xfId="23042" xr:uid="{9E7E7E11-F82F-4030-BB2B-506787BBCFF8}"/>
    <cellStyle name="20% - Accent4 4 5 5" xfId="18831" xr:uid="{B9284CFC-71BC-4788-8CC3-091B4774B97F}"/>
    <cellStyle name="20% - Accent4 4 6" xfId="2296" xr:uid="{00000000-0005-0000-0000-00006B020000}"/>
    <cellStyle name="20% - Accent4 4 6 2" xfId="6604" xr:uid="{00000000-0005-0000-0000-00006C020000}"/>
    <cellStyle name="20% - Accent4 4 6 2 2" xfId="15033" xr:uid="{02D12CB8-D75E-4F60-90FB-ACA5B29A0FD2}"/>
    <cellStyle name="20% - Accent4 4 6 2 3" xfId="27666" xr:uid="{5C7F1817-513C-4BF7-AE68-AE98BBE1E595}"/>
    <cellStyle name="20% - Accent4 4 6 3" xfId="10815" xr:uid="{25D8E2BE-2A44-4C0A-BDDB-2283D8DAC514}"/>
    <cellStyle name="20% - Accent4 4 6 3 2" xfId="23455" xr:uid="{C5AE7BC8-FBA0-4024-88FC-77A883F56F84}"/>
    <cellStyle name="20% - Accent4 4 6 4" xfId="19244" xr:uid="{1EC1AFED-BF7C-477B-A6BD-8B73B0CA3743}"/>
    <cellStyle name="20% - Accent4 4 7" xfId="4538" xr:uid="{00000000-0005-0000-0000-00006D020000}"/>
    <cellStyle name="20% - Accent4 4 7 2" xfId="12967" xr:uid="{A924D531-97FC-4C81-9631-07A5EF4041F6}"/>
    <cellStyle name="20% - Accent4 4 7 3" xfId="25600" xr:uid="{07F77654-62ED-4BBA-A65E-8D4CBF2C0E6B}"/>
    <cellStyle name="20% - Accent4 4 8" xfId="8749" xr:uid="{DE5AA5D5-67A2-4D67-A889-46597F8D23B8}"/>
    <cellStyle name="20% - Accent4 4 8 2" xfId="21389" xr:uid="{9FD5DBF4-5506-4AB3-982B-0F82FD0D88AA}"/>
    <cellStyle name="20% - Accent4 4 9" xfId="17178" xr:uid="{9F8CCC26-F845-4522-9A58-5A4F9B3D5297}"/>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7343870C-0D0C-4A2D-93BD-D4434A18E40F}"/>
    <cellStyle name="20% - Accent4 5 2 2 3" xfId="28152" xr:uid="{C9210DF4-58C6-46DD-8C53-D42BF86F84A2}"/>
    <cellStyle name="20% - Accent4 5 2 3" xfId="11301" xr:uid="{9D095BC6-6734-4F1B-9E78-1E19B69CD776}"/>
    <cellStyle name="20% - Accent4 5 2 3 2" xfId="23941" xr:uid="{5FA5BF6A-BE7C-451B-AC27-D85487420309}"/>
    <cellStyle name="20% - Accent4 5 2 4" xfId="19730" xr:uid="{77FB4E13-B955-476F-8391-9F39D370DD0B}"/>
    <cellStyle name="20% - Accent4 5 3" xfId="4945" xr:uid="{00000000-0005-0000-0000-000071020000}"/>
    <cellStyle name="20% - Accent4 5 3 2" xfId="13374" xr:uid="{3961AB96-6607-47C3-AB09-F9625F4E84BE}"/>
    <cellStyle name="20% - Accent4 5 3 3" xfId="26007" xr:uid="{EA933B80-6F15-4915-B4B7-F627DA160BE9}"/>
    <cellStyle name="20% - Accent4 5 4" xfId="9156" xr:uid="{88858092-FE23-4945-B234-66FD939D8272}"/>
    <cellStyle name="20% - Accent4 5 4 2" xfId="21796" xr:uid="{D9B5F5E9-E7AE-4744-842D-43920ED2A6B5}"/>
    <cellStyle name="20% - Accent4 5 5" xfId="17585" xr:uid="{F847BCF2-9F95-43BA-A53A-713EE48B1B0C}"/>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EDA1F5D1-B992-4D14-B0AA-55F2730B92E3}"/>
    <cellStyle name="20% - Accent4 6 2 2 3" xfId="28565" xr:uid="{B83D45D5-26A1-4E74-9EC8-E77A7956EF0C}"/>
    <cellStyle name="20% - Accent4 6 2 3" xfId="11714" xr:uid="{05D4D122-0B66-4A89-824C-F1C163240297}"/>
    <cellStyle name="20% - Accent4 6 2 3 2" xfId="24354" xr:uid="{3D947CA2-3953-48E7-A9D2-07CB8BB07BBC}"/>
    <cellStyle name="20% - Accent4 6 2 4" xfId="20143" xr:uid="{B60D1CA5-1E3C-4539-98F0-CF2152714A95}"/>
    <cellStyle name="20% - Accent4 6 3" xfId="5358" xr:uid="{00000000-0005-0000-0000-000075020000}"/>
    <cellStyle name="20% - Accent4 6 3 2" xfId="13787" xr:uid="{10F396FD-672D-4B4A-A841-D7692C9BCB4F}"/>
    <cellStyle name="20% - Accent4 6 3 3" xfId="26420" xr:uid="{5100B50B-D013-4C53-8BCD-2E3236C2C2D9}"/>
    <cellStyle name="20% - Accent4 6 4" xfId="9569" xr:uid="{CC4BC564-07E8-4A12-9216-275877E14C2B}"/>
    <cellStyle name="20% - Accent4 6 4 2" xfId="22209" xr:uid="{64994A6B-8959-4EC0-852F-14C7913A17E9}"/>
    <cellStyle name="20% - Accent4 6 5" xfId="17998" xr:uid="{D059C199-40AD-43B2-80CB-F20AD222665A}"/>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BB3195BE-1363-4CA9-951D-D8C4C5B8F365}"/>
    <cellStyle name="20% - Accent4 7 2 2 3" xfId="28978" xr:uid="{9C8ED7C5-3500-4C29-BF36-40BE193272C7}"/>
    <cellStyle name="20% - Accent4 7 2 3" xfId="12127" xr:uid="{4648B11A-D0FD-4E15-A315-EF24B959660C}"/>
    <cellStyle name="20% - Accent4 7 2 3 2" xfId="24767" xr:uid="{030B36F5-03F7-4347-91E8-C769D3DB8D1D}"/>
    <cellStyle name="20% - Accent4 7 2 4" xfId="20556" xr:uid="{E1EB4212-81A0-4B87-838F-06F37D2C9977}"/>
    <cellStyle name="20% - Accent4 7 3" xfId="5771" xr:uid="{00000000-0005-0000-0000-000079020000}"/>
    <cellStyle name="20% - Accent4 7 3 2" xfId="14200" xr:uid="{8A41ADBE-6436-453A-883A-BB391C91A468}"/>
    <cellStyle name="20% - Accent4 7 3 3" xfId="26833" xr:uid="{EFBBB1EB-E667-4479-B67D-D2726B78FCDE}"/>
    <cellStyle name="20% - Accent4 7 4" xfId="9982" xr:uid="{1ECF4A4B-8C0E-4364-BF54-A3E6F34571E1}"/>
    <cellStyle name="20% - Accent4 7 4 2" xfId="22622" xr:uid="{DFCD418F-5458-4308-894A-C9C35DA6EE58}"/>
    <cellStyle name="20% - Accent4 7 5" xfId="18411" xr:uid="{368CCAEC-2435-4924-9F00-AF4DAC45DC3B}"/>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85C45055-E19D-41CF-B41A-000F8250CF8C}"/>
    <cellStyle name="20% - Accent4 8 2 2 3" xfId="29391" xr:uid="{41CF8DFF-3573-433B-985F-F81F9488E1BD}"/>
    <cellStyle name="20% - Accent4 8 2 3" xfId="12540" xr:uid="{F6837588-68D5-4A16-BFC4-E8BF486B4889}"/>
    <cellStyle name="20% - Accent4 8 2 3 2" xfId="25180" xr:uid="{51212607-F392-44C0-B6C0-ADC81498ABCB}"/>
    <cellStyle name="20% - Accent4 8 2 4" xfId="20969" xr:uid="{B203562F-A74F-4FEA-A2A5-80B318C59FC3}"/>
    <cellStyle name="20% - Accent4 8 3" xfId="6184" xr:uid="{00000000-0005-0000-0000-00007D020000}"/>
    <cellStyle name="20% - Accent4 8 3 2" xfId="14613" xr:uid="{79885733-458B-4B72-A820-8CB52EE3A8DB}"/>
    <cellStyle name="20% - Accent4 8 3 3" xfId="27246" xr:uid="{9F405AB0-483C-4E43-B887-5CD46A3A9BF1}"/>
    <cellStyle name="20% - Accent4 8 4" xfId="10395" xr:uid="{34D85DC7-BD41-4CA6-BCE9-15C9089BCDE0}"/>
    <cellStyle name="20% - Accent4 8 4 2" xfId="23035" xr:uid="{E4EE9408-9500-4E7E-BE05-A789C49B9B1B}"/>
    <cellStyle name="20% - Accent4 8 5" xfId="18824" xr:uid="{65BF6CB2-8C86-4271-937A-71BA573D9CCA}"/>
    <cellStyle name="20% - Accent4 9" xfId="2289" xr:uid="{00000000-0005-0000-0000-00007E020000}"/>
    <cellStyle name="20% - Accent4 9 2" xfId="6597" xr:uid="{00000000-0005-0000-0000-00007F020000}"/>
    <cellStyle name="20% - Accent4 9 2 2" xfId="15026" xr:uid="{127F5FA1-73F4-4941-97C2-F7342C0C3D35}"/>
    <cellStyle name="20% - Accent4 9 2 3" xfId="27659" xr:uid="{B15FDBDD-D015-41A1-A4A7-6948879741E1}"/>
    <cellStyle name="20% - Accent4 9 3" xfId="10808" xr:uid="{5D5E62FF-D385-4F63-8DAE-6CED450D4858}"/>
    <cellStyle name="20% - Accent4 9 3 2" xfId="23448" xr:uid="{87D2FD07-E4A3-4DFB-8115-6DD0018B639B}"/>
    <cellStyle name="20% - Accent4 9 4" xfId="19237" xr:uid="{00239B36-7ED8-43AD-9D2C-3474CDBD1916}"/>
    <cellStyle name="20% - Accent5" xfId="33" builtinId="46" customBuiltin="1"/>
    <cellStyle name="20% - Accent5 10" xfId="4539" xr:uid="{00000000-0005-0000-0000-000081020000}"/>
    <cellStyle name="20% - Accent5 10 2" xfId="12968" xr:uid="{79C2F39A-403B-43C8-B45D-D505B95C3430}"/>
    <cellStyle name="20% - Accent5 10 3" xfId="25601" xr:uid="{6DA6E62E-45CB-44CD-BA14-E0FF97269018}"/>
    <cellStyle name="20% - Accent5 11" xfId="8750" xr:uid="{DE15BB7D-F9A3-4EF4-B4F7-04B0C2C58C22}"/>
    <cellStyle name="20% - Accent5 11 2" xfId="21390" xr:uid="{21841455-720A-48A8-8325-5A3783DAC044}"/>
    <cellStyle name="20% - Accent5 12" xfId="17179" xr:uid="{ACE312CE-5F39-4B0D-BB7A-CF0AAD6C1A5E}"/>
    <cellStyle name="20% - Accent5 2" xfId="34" xr:uid="{00000000-0005-0000-0000-000082020000}"/>
    <cellStyle name="20% - Accent5 2 10" xfId="8751" xr:uid="{568EEB0B-367D-4114-B3F8-146D20DE5E69}"/>
    <cellStyle name="20% - Accent5 2 10 2" xfId="21391" xr:uid="{079E8993-EB15-46F5-BE4C-A1841344206A}"/>
    <cellStyle name="20% - Accent5 2 11" xfId="17180" xr:uid="{71ADBAF0-0E34-489C-A7FB-91F94D7E5368}"/>
    <cellStyle name="20% - Accent5 2 2" xfId="35" xr:uid="{00000000-0005-0000-0000-000083020000}"/>
    <cellStyle name="20% - Accent5 2 2 10" xfId="17181" xr:uid="{E3F277B9-9148-4377-8B1D-58E5D53A45A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0D5E49BC-4C39-4BAB-82B1-F9F717EF5FC0}"/>
    <cellStyle name="20% - Accent5 2 2 2 2 2 2 3" xfId="28163" xr:uid="{6F904E0B-403F-4DE3-9790-7799443D2E79}"/>
    <cellStyle name="20% - Accent5 2 2 2 2 2 3" xfId="11312" xr:uid="{515B0C5C-F791-4F6F-93E9-327AEEE43ED7}"/>
    <cellStyle name="20% - Accent5 2 2 2 2 2 3 2" xfId="23952" xr:uid="{7BCCEA0E-61F4-4F23-BE00-D523AE64729F}"/>
    <cellStyle name="20% - Accent5 2 2 2 2 2 4" xfId="19741" xr:uid="{D3A9A476-A43E-4668-B5F4-82B7C29CE9F3}"/>
    <cellStyle name="20% - Accent5 2 2 2 2 3" xfId="4956" xr:uid="{00000000-0005-0000-0000-000088020000}"/>
    <cellStyle name="20% - Accent5 2 2 2 2 3 2" xfId="13385" xr:uid="{264F81F8-BCA7-4F82-AB86-342C13654B64}"/>
    <cellStyle name="20% - Accent5 2 2 2 2 3 3" xfId="26018" xr:uid="{2DEF0B1B-98BF-4527-9CB2-76ACB8287359}"/>
    <cellStyle name="20% - Accent5 2 2 2 2 4" xfId="9167" xr:uid="{26089549-0DCE-4E46-99FD-FB89EA944675}"/>
    <cellStyle name="20% - Accent5 2 2 2 2 4 2" xfId="21807" xr:uid="{565C03EB-C119-4253-A219-2255A056C436}"/>
    <cellStyle name="20% - Accent5 2 2 2 2 5" xfId="17596" xr:uid="{2855001D-37E1-4CEA-B90A-1681117AE415}"/>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B7478766-B2A6-492B-B099-EE8AB0AE94C6}"/>
    <cellStyle name="20% - Accent5 2 2 2 3 2 2 3" xfId="28576" xr:uid="{17520FC5-C183-43FB-8996-A802254E83C6}"/>
    <cellStyle name="20% - Accent5 2 2 2 3 2 3" xfId="11725" xr:uid="{CAB94C3F-7937-4910-A6DB-B186BE425F19}"/>
    <cellStyle name="20% - Accent5 2 2 2 3 2 3 2" xfId="24365" xr:uid="{56109968-1F7E-4129-9025-D203CC1F6609}"/>
    <cellStyle name="20% - Accent5 2 2 2 3 2 4" xfId="20154" xr:uid="{D04672D3-D963-4F51-87BB-113735BB4730}"/>
    <cellStyle name="20% - Accent5 2 2 2 3 3" xfId="5369" xr:uid="{00000000-0005-0000-0000-00008C020000}"/>
    <cellStyle name="20% - Accent5 2 2 2 3 3 2" xfId="13798" xr:uid="{3559B5AF-EF58-4675-9525-0209F71A32D1}"/>
    <cellStyle name="20% - Accent5 2 2 2 3 3 3" xfId="26431" xr:uid="{E5D75C0F-8111-4CD2-82E2-32F485950652}"/>
    <cellStyle name="20% - Accent5 2 2 2 3 4" xfId="9580" xr:uid="{BE99D370-307C-4962-8A65-6183C820A5C9}"/>
    <cellStyle name="20% - Accent5 2 2 2 3 4 2" xfId="22220" xr:uid="{17F857E5-2DFF-43A5-BC36-A6C2F564D3A3}"/>
    <cellStyle name="20% - Accent5 2 2 2 3 5" xfId="18009" xr:uid="{3EF9CB58-9D22-4A28-ACF7-553A680B344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556FB8E1-CB03-47F3-924F-1BFBCD4EFDAE}"/>
    <cellStyle name="20% - Accent5 2 2 2 4 2 2 3" xfId="28989" xr:uid="{4458DD01-6AC1-4E75-8D7E-857900555B06}"/>
    <cellStyle name="20% - Accent5 2 2 2 4 2 3" xfId="12138" xr:uid="{83A516FF-82E8-4B96-BBD0-856E161E8DDF}"/>
    <cellStyle name="20% - Accent5 2 2 2 4 2 3 2" xfId="24778" xr:uid="{B8C8C4B2-A050-4BC5-A71A-9F970B40E7A6}"/>
    <cellStyle name="20% - Accent5 2 2 2 4 2 4" xfId="20567" xr:uid="{556F91A8-A12F-4C9B-9B35-C31905CA24F4}"/>
    <cellStyle name="20% - Accent5 2 2 2 4 3" xfId="5782" xr:uid="{00000000-0005-0000-0000-000090020000}"/>
    <cellStyle name="20% - Accent5 2 2 2 4 3 2" xfId="14211" xr:uid="{9F897E1B-5C4B-4E91-927C-FEA3E9A622E2}"/>
    <cellStyle name="20% - Accent5 2 2 2 4 3 3" xfId="26844" xr:uid="{5F51F5C6-8FE5-4C65-97C4-ED91DD4C9BBB}"/>
    <cellStyle name="20% - Accent5 2 2 2 4 4" xfId="9993" xr:uid="{8105B22D-DBC3-4CBE-91D0-E51C5023635F}"/>
    <cellStyle name="20% - Accent5 2 2 2 4 4 2" xfId="22633" xr:uid="{6D26BA12-C058-4D97-9770-5D410259F41D}"/>
    <cellStyle name="20% - Accent5 2 2 2 4 5" xfId="18422" xr:uid="{762822CF-33F4-4EEB-A649-76F1E15F44D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0C99A8A9-765F-4368-8DC6-E2C41C86E6BB}"/>
    <cellStyle name="20% - Accent5 2 2 2 5 2 2 3" xfId="29402" xr:uid="{D6C6A4D9-3C2C-4349-B925-BDA9D40E131D}"/>
    <cellStyle name="20% - Accent5 2 2 2 5 2 3" xfId="12551" xr:uid="{61F39AE0-9490-4E0B-9C62-791740C98407}"/>
    <cellStyle name="20% - Accent5 2 2 2 5 2 3 2" xfId="25191" xr:uid="{C2DB0997-B5BF-48BE-B411-F53F1F9F5A64}"/>
    <cellStyle name="20% - Accent5 2 2 2 5 2 4" xfId="20980" xr:uid="{C3DA1E20-C4DB-4F35-B8F5-CA0392F36A42}"/>
    <cellStyle name="20% - Accent5 2 2 2 5 3" xfId="6195" xr:uid="{00000000-0005-0000-0000-000094020000}"/>
    <cellStyle name="20% - Accent5 2 2 2 5 3 2" xfId="14624" xr:uid="{94193FCF-3B7B-4370-A7EA-1356F614B202}"/>
    <cellStyle name="20% - Accent5 2 2 2 5 3 3" xfId="27257" xr:uid="{10BD4925-13E1-4E3C-BA1C-5E19994998CA}"/>
    <cellStyle name="20% - Accent5 2 2 2 5 4" xfId="10406" xr:uid="{94331458-DE44-4E94-A53F-554A5B0F1BBB}"/>
    <cellStyle name="20% - Accent5 2 2 2 5 4 2" xfId="23046" xr:uid="{3A85A54D-BA2B-4A21-BF73-BAFEC0A5B3A9}"/>
    <cellStyle name="20% - Accent5 2 2 2 5 5" xfId="18835" xr:uid="{B1CAA527-B1DB-4C6F-9D91-59397B3DD4E4}"/>
    <cellStyle name="20% - Accent5 2 2 2 6" xfId="2300" xr:uid="{00000000-0005-0000-0000-000095020000}"/>
    <cellStyle name="20% - Accent5 2 2 2 6 2" xfId="6608" xr:uid="{00000000-0005-0000-0000-000096020000}"/>
    <cellStyle name="20% - Accent5 2 2 2 6 2 2" xfId="15037" xr:uid="{2D40B925-AAAB-4C95-BB0B-AF6F2AFE5DB6}"/>
    <cellStyle name="20% - Accent5 2 2 2 6 2 3" xfId="27670" xr:uid="{8EFD7D24-8603-48E0-BB6D-FFBC5AEBE092}"/>
    <cellStyle name="20% - Accent5 2 2 2 6 3" xfId="10819" xr:uid="{892353C6-C612-4EAA-B980-F85D846E7D0E}"/>
    <cellStyle name="20% - Accent5 2 2 2 6 3 2" xfId="23459" xr:uid="{14E0AEB0-4287-4B4B-8094-0EB4F0C43915}"/>
    <cellStyle name="20% - Accent5 2 2 2 6 4" xfId="19248" xr:uid="{1CEF9939-C245-47F7-9DFC-3CF4CF832A77}"/>
    <cellStyle name="20% - Accent5 2 2 2 7" xfId="4542" xr:uid="{00000000-0005-0000-0000-000097020000}"/>
    <cellStyle name="20% - Accent5 2 2 2 7 2" xfId="12971" xr:uid="{AECB1DF2-63CD-47FE-8E92-1191D03A63C0}"/>
    <cellStyle name="20% - Accent5 2 2 2 7 3" xfId="25604" xr:uid="{06CE1745-C457-499A-8CFE-F22E688F90B9}"/>
    <cellStyle name="20% - Accent5 2 2 2 8" xfId="8753" xr:uid="{8EF81297-6231-4B74-BE5C-4BEF7922DCB7}"/>
    <cellStyle name="20% - Accent5 2 2 2 8 2" xfId="21393" xr:uid="{0268A8DA-80C1-495B-8586-A65ED03FE76A}"/>
    <cellStyle name="20% - Accent5 2 2 2 9" xfId="17182" xr:uid="{1E7896E0-E010-4901-935B-3F81449DAB0F}"/>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99697872-12BF-4338-A7A8-FA16E3768153}"/>
    <cellStyle name="20% - Accent5 2 2 3 2 2 3" xfId="28162" xr:uid="{5FB53E34-345C-4E9F-B1EC-B0D4B8144B73}"/>
    <cellStyle name="20% - Accent5 2 2 3 2 3" xfId="11311" xr:uid="{10EF1FDB-3B28-4CE1-B37C-187ACD64D8C5}"/>
    <cellStyle name="20% - Accent5 2 2 3 2 3 2" xfId="23951" xr:uid="{6DCAFA32-FF10-42DB-97BA-52296780F305}"/>
    <cellStyle name="20% - Accent5 2 2 3 2 4" xfId="19740" xr:uid="{2756F467-8EEA-4C05-9C4D-B7BF890BDFBB}"/>
    <cellStyle name="20% - Accent5 2 2 3 3" xfId="4955" xr:uid="{00000000-0005-0000-0000-00009B020000}"/>
    <cellStyle name="20% - Accent5 2 2 3 3 2" xfId="13384" xr:uid="{515FF82C-5388-45B8-A3E7-BA35DBEC6D03}"/>
    <cellStyle name="20% - Accent5 2 2 3 3 3" xfId="26017" xr:uid="{B0AE4B1D-F25B-49C3-9F2A-98B8B2B9D0E9}"/>
    <cellStyle name="20% - Accent5 2 2 3 4" xfId="9166" xr:uid="{F3A1CE2B-BA87-45F1-8609-F51EE21FB963}"/>
    <cellStyle name="20% - Accent5 2 2 3 4 2" xfId="21806" xr:uid="{A1DAE324-D751-43CE-8174-B2F4A2D45ECF}"/>
    <cellStyle name="20% - Accent5 2 2 3 5" xfId="17595" xr:uid="{1277F9A7-327A-46B9-A1B4-AC637199C849}"/>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555CCA58-A19B-4F0F-8CC9-4A9138A71827}"/>
    <cellStyle name="20% - Accent5 2 2 4 2 2 3" xfId="28575" xr:uid="{DF0AC1F7-7893-4F48-91D6-468E3831839B}"/>
    <cellStyle name="20% - Accent5 2 2 4 2 3" xfId="11724" xr:uid="{25705932-A231-462F-8DE3-E9DEDE4EEB33}"/>
    <cellStyle name="20% - Accent5 2 2 4 2 3 2" xfId="24364" xr:uid="{5C0F4707-0D6F-4BDB-90DD-B63A41386BDC}"/>
    <cellStyle name="20% - Accent5 2 2 4 2 4" xfId="20153" xr:uid="{FD4B368C-480D-4DAB-AFE9-CC5227645500}"/>
    <cellStyle name="20% - Accent5 2 2 4 3" xfId="5368" xr:uid="{00000000-0005-0000-0000-00009F020000}"/>
    <cellStyle name="20% - Accent5 2 2 4 3 2" xfId="13797" xr:uid="{4B60E8C9-560F-4674-9754-05FD475CBE06}"/>
    <cellStyle name="20% - Accent5 2 2 4 3 3" xfId="26430" xr:uid="{8D4602A4-2057-4177-A97F-F9D64DAFA1D4}"/>
    <cellStyle name="20% - Accent5 2 2 4 4" xfId="9579" xr:uid="{15AAEE7B-48BC-46E9-99F9-F66112D08674}"/>
    <cellStyle name="20% - Accent5 2 2 4 4 2" xfId="22219" xr:uid="{089093EA-3F3A-4880-8B10-528DB2C9C73D}"/>
    <cellStyle name="20% - Accent5 2 2 4 5" xfId="18008" xr:uid="{09B05A3D-2168-41CF-A88C-25B282B47426}"/>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919DCFC5-C2C4-4379-B56C-53127CE35E69}"/>
    <cellStyle name="20% - Accent5 2 2 5 2 2 3" xfId="28988" xr:uid="{279F571C-BCA3-4334-A61E-585E4B615E13}"/>
    <cellStyle name="20% - Accent5 2 2 5 2 3" xfId="12137" xr:uid="{C6304422-2164-4DE9-8052-BEA07C60BB04}"/>
    <cellStyle name="20% - Accent5 2 2 5 2 3 2" xfId="24777" xr:uid="{026A8473-2DC4-4142-88F0-7CBFEA3AA734}"/>
    <cellStyle name="20% - Accent5 2 2 5 2 4" xfId="20566" xr:uid="{D0C2A6A7-AAFF-49EE-AFC8-63AFA2A6F3F0}"/>
    <cellStyle name="20% - Accent5 2 2 5 3" xfId="5781" xr:uid="{00000000-0005-0000-0000-0000A3020000}"/>
    <cellStyle name="20% - Accent5 2 2 5 3 2" xfId="14210" xr:uid="{68E0A151-C12D-4660-A2C8-4EC2D95EE178}"/>
    <cellStyle name="20% - Accent5 2 2 5 3 3" xfId="26843" xr:uid="{E1C99B24-613F-4591-8A2A-CE40ED5947DA}"/>
    <cellStyle name="20% - Accent5 2 2 5 4" xfId="9992" xr:uid="{E7F58387-C44C-4678-BB1C-7E4C52E4ED5C}"/>
    <cellStyle name="20% - Accent5 2 2 5 4 2" xfId="22632" xr:uid="{72390687-4618-47BC-8871-88862E7AEC87}"/>
    <cellStyle name="20% - Accent5 2 2 5 5" xfId="18421" xr:uid="{C4DA07A0-4881-4AA4-B29A-CFD0A1D49799}"/>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AD41FF1B-89EF-41DD-AB9D-8A155FF905C9}"/>
    <cellStyle name="20% - Accent5 2 2 6 2 2 3" xfId="29401" xr:uid="{B59FBDDE-B283-446D-9578-11336EA2B623}"/>
    <cellStyle name="20% - Accent5 2 2 6 2 3" xfId="12550" xr:uid="{A1A22357-231B-4AAC-AF29-A596BC683451}"/>
    <cellStyle name="20% - Accent5 2 2 6 2 3 2" xfId="25190" xr:uid="{6657D64A-9012-40CF-A699-899FD8EBE96C}"/>
    <cellStyle name="20% - Accent5 2 2 6 2 4" xfId="20979" xr:uid="{7232CE59-42E6-405F-9439-75DD862610E0}"/>
    <cellStyle name="20% - Accent5 2 2 6 3" xfId="6194" xr:uid="{00000000-0005-0000-0000-0000A7020000}"/>
    <cellStyle name="20% - Accent5 2 2 6 3 2" xfId="14623" xr:uid="{C79ED292-D231-46CD-952B-288B12654A5B}"/>
    <cellStyle name="20% - Accent5 2 2 6 3 3" xfId="27256" xr:uid="{57D23890-ED6B-4709-880B-368927A13327}"/>
    <cellStyle name="20% - Accent5 2 2 6 4" xfId="10405" xr:uid="{4E47DB18-07B9-44D2-99E4-9122CB91AE6F}"/>
    <cellStyle name="20% - Accent5 2 2 6 4 2" xfId="23045" xr:uid="{50D3D78D-DB41-4B52-A47E-CE223191B0C2}"/>
    <cellStyle name="20% - Accent5 2 2 6 5" xfId="18834" xr:uid="{D32C1CEC-1F81-436A-8B98-1579A5520D58}"/>
    <cellStyle name="20% - Accent5 2 2 7" xfId="2299" xr:uid="{00000000-0005-0000-0000-0000A8020000}"/>
    <cellStyle name="20% - Accent5 2 2 7 2" xfId="6607" xr:uid="{00000000-0005-0000-0000-0000A9020000}"/>
    <cellStyle name="20% - Accent5 2 2 7 2 2" xfId="15036" xr:uid="{72A5935F-883E-4B1C-B9CE-B392BE7236C4}"/>
    <cellStyle name="20% - Accent5 2 2 7 2 3" xfId="27669" xr:uid="{8ABD5919-297B-4C58-A5AC-BF70B27D450B}"/>
    <cellStyle name="20% - Accent5 2 2 7 3" xfId="10818" xr:uid="{FEA7B110-FD34-40DF-915C-3A55CCDFE0D2}"/>
    <cellStyle name="20% - Accent5 2 2 7 3 2" xfId="23458" xr:uid="{1AD96A99-9894-46F0-9571-06074EC5FCB5}"/>
    <cellStyle name="20% - Accent5 2 2 7 4" xfId="19247" xr:uid="{E9289D00-65CE-4F2B-81B7-48E5A0308B9C}"/>
    <cellStyle name="20% - Accent5 2 2 8" xfId="4541" xr:uid="{00000000-0005-0000-0000-0000AA020000}"/>
    <cellStyle name="20% - Accent5 2 2 8 2" xfId="12970" xr:uid="{CF9A25F7-ACF6-4F92-BA97-95EC328DB5B6}"/>
    <cellStyle name="20% - Accent5 2 2 8 3" xfId="25603" xr:uid="{828B8C87-8009-4443-985C-77641D3C42E3}"/>
    <cellStyle name="20% - Accent5 2 2 9" xfId="8752" xr:uid="{D1D25EA5-561D-4E3E-9DE3-E241F7AA1529}"/>
    <cellStyle name="20% - Accent5 2 2 9 2" xfId="21392" xr:uid="{5CF1E35C-DB2C-44CD-A656-6DA19EB5BCC9}"/>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A93FD144-0770-4813-ADFC-D71D623220C8}"/>
    <cellStyle name="20% - Accent5 2 3 2 2 2 3" xfId="28164" xr:uid="{709FFC80-3979-4E54-A391-8BFF82002BB8}"/>
    <cellStyle name="20% - Accent5 2 3 2 2 3" xfId="11313" xr:uid="{1CA6F935-B893-42D8-B178-E0F7712047F7}"/>
    <cellStyle name="20% - Accent5 2 3 2 2 3 2" xfId="23953" xr:uid="{24D72E6D-F00E-4610-BD9D-0E51736D7C25}"/>
    <cellStyle name="20% - Accent5 2 3 2 2 4" xfId="19742" xr:uid="{9B952169-C318-4EAE-9112-13FDFF51F486}"/>
    <cellStyle name="20% - Accent5 2 3 2 3" xfId="4957" xr:uid="{00000000-0005-0000-0000-0000AF020000}"/>
    <cellStyle name="20% - Accent5 2 3 2 3 2" xfId="13386" xr:uid="{223EC703-8FFB-43E3-A550-E14BD48E7CB5}"/>
    <cellStyle name="20% - Accent5 2 3 2 3 3" xfId="26019" xr:uid="{BFD54DFA-918A-4394-A61E-63FE77E6F69A}"/>
    <cellStyle name="20% - Accent5 2 3 2 4" xfId="9168" xr:uid="{6C590265-B98D-4001-89C9-327333B46BD6}"/>
    <cellStyle name="20% - Accent5 2 3 2 4 2" xfId="21808" xr:uid="{507A5527-3A47-4ABE-ABB5-666468B55886}"/>
    <cellStyle name="20% - Accent5 2 3 2 5" xfId="17597" xr:uid="{244F9401-967A-457D-8409-8BE149F3A4AF}"/>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84EBE079-52E4-472B-B324-170A62BF3A8E}"/>
    <cellStyle name="20% - Accent5 2 3 3 2 2 3" xfId="28577" xr:uid="{EA89D1AC-D375-4988-A83B-6619C9EEC8D1}"/>
    <cellStyle name="20% - Accent5 2 3 3 2 3" xfId="11726" xr:uid="{7EFFAFB4-C29D-4F5F-9123-BC866840DB71}"/>
    <cellStyle name="20% - Accent5 2 3 3 2 3 2" xfId="24366" xr:uid="{7A5691F8-D8E3-4C7B-B996-EA1B9961951F}"/>
    <cellStyle name="20% - Accent5 2 3 3 2 4" xfId="20155" xr:uid="{C67A8955-5199-416D-A2DC-5910DE4682F6}"/>
    <cellStyle name="20% - Accent5 2 3 3 3" xfId="5370" xr:uid="{00000000-0005-0000-0000-0000B3020000}"/>
    <cellStyle name="20% - Accent5 2 3 3 3 2" xfId="13799" xr:uid="{8491DA3D-9493-4123-B515-2CDDAC13DDDD}"/>
    <cellStyle name="20% - Accent5 2 3 3 3 3" xfId="26432" xr:uid="{16387089-8B10-445D-8D48-04BD7141184B}"/>
    <cellStyle name="20% - Accent5 2 3 3 4" xfId="9581" xr:uid="{0355F653-EC9D-4B38-B3BC-FD324666033C}"/>
    <cellStyle name="20% - Accent5 2 3 3 4 2" xfId="22221" xr:uid="{4EB7FE6B-4D6F-4381-B253-E78F0FE2399F}"/>
    <cellStyle name="20% - Accent5 2 3 3 5" xfId="18010" xr:uid="{33CA4638-82BA-4746-851E-2F74F5110C3C}"/>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2EA6695D-C7F1-4570-97E4-892596BC66E3}"/>
    <cellStyle name="20% - Accent5 2 3 4 2 2 3" xfId="28990" xr:uid="{927A8664-844A-4E02-B21C-F4F3BEA57319}"/>
    <cellStyle name="20% - Accent5 2 3 4 2 3" xfId="12139" xr:uid="{62289398-8F3F-46B4-BFE3-477DA5538E95}"/>
    <cellStyle name="20% - Accent5 2 3 4 2 3 2" xfId="24779" xr:uid="{D4818B83-32C6-48B1-A81D-4693017FEEBE}"/>
    <cellStyle name="20% - Accent5 2 3 4 2 4" xfId="20568" xr:uid="{773A1B2F-5DDA-4D1B-89DB-E74B752B6D9D}"/>
    <cellStyle name="20% - Accent5 2 3 4 3" xfId="5783" xr:uid="{00000000-0005-0000-0000-0000B7020000}"/>
    <cellStyle name="20% - Accent5 2 3 4 3 2" xfId="14212" xr:uid="{1FFFFF2C-E094-4D44-A464-BEC071B7B90F}"/>
    <cellStyle name="20% - Accent5 2 3 4 3 3" xfId="26845" xr:uid="{D54457D0-656D-40FE-BA3F-3DF558CA7D45}"/>
    <cellStyle name="20% - Accent5 2 3 4 4" xfId="9994" xr:uid="{4391C62E-7A0D-4235-B926-972B383C1B5C}"/>
    <cellStyle name="20% - Accent5 2 3 4 4 2" xfId="22634" xr:uid="{56EF7845-F38A-43D0-A516-C0C7DA36B587}"/>
    <cellStyle name="20% - Accent5 2 3 4 5" xfId="18423" xr:uid="{3177591F-0018-459C-89AB-D42FFD72458F}"/>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52CC8EAB-5DD0-468D-8A37-E1DCE213CB15}"/>
    <cellStyle name="20% - Accent5 2 3 5 2 2 3" xfId="29403" xr:uid="{2A1862DF-7D8A-4E27-95A8-5A4261919428}"/>
    <cellStyle name="20% - Accent5 2 3 5 2 3" xfId="12552" xr:uid="{0454A35B-F5C5-4C31-A96D-F49EF3AAE274}"/>
    <cellStyle name="20% - Accent5 2 3 5 2 3 2" xfId="25192" xr:uid="{D426A596-3CE8-4059-83D9-3A29004B0FE2}"/>
    <cellStyle name="20% - Accent5 2 3 5 2 4" xfId="20981" xr:uid="{34B48ACA-A82E-47F9-A4D7-080A460D2AF7}"/>
    <cellStyle name="20% - Accent5 2 3 5 3" xfId="6196" xr:uid="{00000000-0005-0000-0000-0000BB020000}"/>
    <cellStyle name="20% - Accent5 2 3 5 3 2" xfId="14625" xr:uid="{2A8BFFD9-92D9-4195-9169-953728570BA1}"/>
    <cellStyle name="20% - Accent5 2 3 5 3 3" xfId="27258" xr:uid="{A6A85082-1567-4E83-889C-6C3CE742D323}"/>
    <cellStyle name="20% - Accent5 2 3 5 4" xfId="10407" xr:uid="{A76D5341-3F67-4473-9D9D-596C0FE943CA}"/>
    <cellStyle name="20% - Accent5 2 3 5 4 2" xfId="23047" xr:uid="{7D8B2DC5-8B24-47B4-BB4A-78483D89F738}"/>
    <cellStyle name="20% - Accent5 2 3 5 5" xfId="18836" xr:uid="{228326C2-1A61-4DDB-9916-611CCFEE960B}"/>
    <cellStyle name="20% - Accent5 2 3 6" xfId="2301" xr:uid="{00000000-0005-0000-0000-0000BC020000}"/>
    <cellStyle name="20% - Accent5 2 3 6 2" xfId="6609" xr:uid="{00000000-0005-0000-0000-0000BD020000}"/>
    <cellStyle name="20% - Accent5 2 3 6 2 2" xfId="15038" xr:uid="{7FC48420-6194-4BB1-A153-DDCD9C59CD59}"/>
    <cellStyle name="20% - Accent5 2 3 6 2 3" xfId="27671" xr:uid="{01A6278B-42B1-44D2-B65C-8431F07ED7E2}"/>
    <cellStyle name="20% - Accent5 2 3 6 3" xfId="10820" xr:uid="{AE1EC03A-777D-4C6E-AF95-C2EED300FA87}"/>
    <cellStyle name="20% - Accent5 2 3 6 3 2" xfId="23460" xr:uid="{FB43F5E4-10AD-49BE-8999-30C8925306B8}"/>
    <cellStyle name="20% - Accent5 2 3 6 4" xfId="19249" xr:uid="{A0816C2B-C1C2-4F99-8598-0BD600FEEA24}"/>
    <cellStyle name="20% - Accent5 2 3 7" xfId="4543" xr:uid="{00000000-0005-0000-0000-0000BE020000}"/>
    <cellStyle name="20% - Accent5 2 3 7 2" xfId="12972" xr:uid="{9446E554-D467-4167-8981-726473D17841}"/>
    <cellStyle name="20% - Accent5 2 3 7 3" xfId="25605" xr:uid="{D7B3FAAB-992E-489D-BF3C-884C6E55290C}"/>
    <cellStyle name="20% - Accent5 2 3 8" xfId="8754" xr:uid="{E75550E0-C2DE-417C-8F3D-A01174A17B7C}"/>
    <cellStyle name="20% - Accent5 2 3 8 2" xfId="21394" xr:uid="{42FB442C-48D0-4139-B3ED-EBA42C98B87F}"/>
    <cellStyle name="20% - Accent5 2 3 9" xfId="17183" xr:uid="{ED293F8F-DA24-4FAC-BD65-24B8AC7B779D}"/>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EA76062F-1AC3-4A93-B262-BD340895D85A}"/>
    <cellStyle name="20% - Accent5 2 4 2 2 3" xfId="28161" xr:uid="{CC8D0FBC-1B4A-432F-BC18-3B6AF4AB49E3}"/>
    <cellStyle name="20% - Accent5 2 4 2 3" xfId="11310" xr:uid="{EBB20235-95DD-4861-ABCD-E0A61921D4D7}"/>
    <cellStyle name="20% - Accent5 2 4 2 3 2" xfId="23950" xr:uid="{CF1DDBFE-9BFF-4444-9934-A35FA19BC444}"/>
    <cellStyle name="20% - Accent5 2 4 2 4" xfId="19739" xr:uid="{21437BC0-276A-4AD3-9687-C025AB21D64E}"/>
    <cellStyle name="20% - Accent5 2 4 3" xfId="4954" xr:uid="{00000000-0005-0000-0000-0000C2020000}"/>
    <cellStyle name="20% - Accent5 2 4 3 2" xfId="13383" xr:uid="{95F3999B-2E77-48E2-937A-513E5527FEAE}"/>
    <cellStyle name="20% - Accent5 2 4 3 3" xfId="26016" xr:uid="{A96D2518-CA75-4A0E-AA91-878D98D92557}"/>
    <cellStyle name="20% - Accent5 2 4 4" xfId="9165" xr:uid="{E9431E38-A8CE-4311-9146-E6470B8A8ADF}"/>
    <cellStyle name="20% - Accent5 2 4 4 2" xfId="21805" xr:uid="{4914EF23-AA21-40B5-86AE-5D2C4D8C2CD5}"/>
    <cellStyle name="20% - Accent5 2 4 5" xfId="17594" xr:uid="{BC4483E9-DDD4-4F36-8CB1-1F4A278F38AC}"/>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D46DF3CA-E46D-41B4-866A-9236EF242910}"/>
    <cellStyle name="20% - Accent5 2 5 2 2 3" xfId="28574" xr:uid="{E0743B15-FFBA-48D6-9D24-7731E6BCAA54}"/>
    <cellStyle name="20% - Accent5 2 5 2 3" xfId="11723" xr:uid="{BED6985A-A452-452C-9FC2-D0D003DCA51A}"/>
    <cellStyle name="20% - Accent5 2 5 2 3 2" xfId="24363" xr:uid="{428AA193-3162-45BB-B25F-3C7E4ECBBEC7}"/>
    <cellStyle name="20% - Accent5 2 5 2 4" xfId="20152" xr:uid="{FB43FB05-3EF5-4584-A912-F5DFF5963454}"/>
    <cellStyle name="20% - Accent5 2 5 3" xfId="5367" xr:uid="{00000000-0005-0000-0000-0000C6020000}"/>
    <cellStyle name="20% - Accent5 2 5 3 2" xfId="13796" xr:uid="{37C0D3AF-593B-47E6-96BB-E336068F1BFF}"/>
    <cellStyle name="20% - Accent5 2 5 3 3" xfId="26429" xr:uid="{964D621C-FE27-4CFB-8039-6CD800A926B0}"/>
    <cellStyle name="20% - Accent5 2 5 4" xfId="9578" xr:uid="{650AE673-043E-479A-8608-F6909B417587}"/>
    <cellStyle name="20% - Accent5 2 5 4 2" xfId="22218" xr:uid="{FEC67CEC-4D28-408A-ACB8-9A59E037782C}"/>
    <cellStyle name="20% - Accent5 2 5 5" xfId="18007" xr:uid="{49EE897D-0D8A-4FF2-BA9C-04CF2B9488B4}"/>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AD785BB7-9DA2-4BB0-BB72-85C96A07E033}"/>
    <cellStyle name="20% - Accent5 2 6 2 2 3" xfId="28987" xr:uid="{27D8EBE5-A9D1-47CE-81A4-A48F43D00D66}"/>
    <cellStyle name="20% - Accent5 2 6 2 3" xfId="12136" xr:uid="{5B5FF84F-86A8-40AD-9317-7C195FCB3EE9}"/>
    <cellStyle name="20% - Accent5 2 6 2 3 2" xfId="24776" xr:uid="{BCD5FDC8-8047-42A2-9701-FC6186213D63}"/>
    <cellStyle name="20% - Accent5 2 6 2 4" xfId="20565" xr:uid="{08852692-91A8-4C8C-99EC-671DDA9C165E}"/>
    <cellStyle name="20% - Accent5 2 6 3" xfId="5780" xr:uid="{00000000-0005-0000-0000-0000CA020000}"/>
    <cellStyle name="20% - Accent5 2 6 3 2" xfId="14209" xr:uid="{D558EEB0-DB9D-4CBE-A44A-7E8A747700CF}"/>
    <cellStyle name="20% - Accent5 2 6 3 3" xfId="26842" xr:uid="{53FA0682-6414-4664-86AE-EB3274FAE1EF}"/>
    <cellStyle name="20% - Accent5 2 6 4" xfId="9991" xr:uid="{B3F29FF4-85BC-48B8-AA56-5331B09E6257}"/>
    <cellStyle name="20% - Accent5 2 6 4 2" xfId="22631" xr:uid="{BC654DBB-D6DE-4977-80E4-D8A0052CD1F2}"/>
    <cellStyle name="20% - Accent5 2 6 5" xfId="18420" xr:uid="{C5FEEE72-8F1F-4698-BA44-8221052BD87D}"/>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78A3F003-7420-444A-81F3-7B55D4871107}"/>
    <cellStyle name="20% - Accent5 2 7 2 2 3" xfId="29400" xr:uid="{0F0340F4-5D92-4EED-BDD4-FDDE154C0687}"/>
    <cellStyle name="20% - Accent5 2 7 2 3" xfId="12549" xr:uid="{AB02C281-E8BE-4318-8325-80DC8BBB96BB}"/>
    <cellStyle name="20% - Accent5 2 7 2 3 2" xfId="25189" xr:uid="{8452C460-168E-43ED-83BE-C6FDDF46E7CA}"/>
    <cellStyle name="20% - Accent5 2 7 2 4" xfId="20978" xr:uid="{14AE6272-4130-4BFC-BFC0-3EC0F0854F70}"/>
    <cellStyle name="20% - Accent5 2 7 3" xfId="6193" xr:uid="{00000000-0005-0000-0000-0000CE020000}"/>
    <cellStyle name="20% - Accent5 2 7 3 2" xfId="14622" xr:uid="{80178AAA-106C-4DE6-9D8C-61E39894A19C}"/>
    <cellStyle name="20% - Accent5 2 7 3 3" xfId="27255" xr:uid="{7842C0AD-0DB9-41A3-BDCD-530114A84AD8}"/>
    <cellStyle name="20% - Accent5 2 7 4" xfId="10404" xr:uid="{034F4114-9AE6-46D5-9DEC-129AB20FC9AD}"/>
    <cellStyle name="20% - Accent5 2 7 4 2" xfId="23044" xr:uid="{233C21C4-862B-451D-AC23-D8AA283BC86D}"/>
    <cellStyle name="20% - Accent5 2 7 5" xfId="18833" xr:uid="{CBF97E5C-FADA-4EEB-992C-655423EF00EB}"/>
    <cellStyle name="20% - Accent5 2 8" xfId="2298" xr:uid="{00000000-0005-0000-0000-0000CF020000}"/>
    <cellStyle name="20% - Accent5 2 8 2" xfId="6606" xr:uid="{00000000-0005-0000-0000-0000D0020000}"/>
    <cellStyle name="20% - Accent5 2 8 2 2" xfId="15035" xr:uid="{3013327C-76ED-42D5-B13C-85DE4270BC08}"/>
    <cellStyle name="20% - Accent5 2 8 2 3" xfId="27668" xr:uid="{35DA8268-6234-4662-BED2-19A8589D90EF}"/>
    <cellStyle name="20% - Accent5 2 8 3" xfId="10817" xr:uid="{8F3FD99F-DE18-48E2-B786-503E6A268587}"/>
    <cellStyle name="20% - Accent5 2 8 3 2" xfId="23457" xr:uid="{CB6D319A-718C-49E1-80D4-5C8F81D84F42}"/>
    <cellStyle name="20% - Accent5 2 8 4" xfId="19246" xr:uid="{089C6FE9-D310-48A9-A888-658B772EFBFF}"/>
    <cellStyle name="20% - Accent5 2 9" xfId="4540" xr:uid="{00000000-0005-0000-0000-0000D1020000}"/>
    <cellStyle name="20% - Accent5 2 9 2" xfId="12969" xr:uid="{911EFD60-FDAD-4D61-85F9-4B1D9650D48F}"/>
    <cellStyle name="20% - Accent5 2 9 3" xfId="25602" xr:uid="{77334268-FD81-4C58-B71D-5696A1DA1F0C}"/>
    <cellStyle name="20% - Accent5 3" xfId="38" xr:uid="{00000000-0005-0000-0000-0000D2020000}"/>
    <cellStyle name="20% - Accent5 3 10" xfId="17184" xr:uid="{746A38C4-8E7B-485D-8A22-A392631755BC}"/>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5B557884-1623-4730-9856-A87DC94AD4BC}"/>
    <cellStyle name="20% - Accent5 3 2 2 2 2 3" xfId="28166" xr:uid="{E0AE099A-51F8-4EA9-B78C-77E316BA245E}"/>
    <cellStyle name="20% - Accent5 3 2 2 2 3" xfId="11315" xr:uid="{4D73E632-42FE-49E4-8723-5C11B000F6A9}"/>
    <cellStyle name="20% - Accent5 3 2 2 2 3 2" xfId="23955" xr:uid="{79F8C501-ED3E-4DBE-9699-8E3A3A82543F}"/>
    <cellStyle name="20% - Accent5 3 2 2 2 4" xfId="19744" xr:uid="{5F4B18AC-245C-4AA6-AC20-C860D4058468}"/>
    <cellStyle name="20% - Accent5 3 2 2 3" xfId="4959" xr:uid="{00000000-0005-0000-0000-0000D7020000}"/>
    <cellStyle name="20% - Accent5 3 2 2 3 2" xfId="13388" xr:uid="{068827F2-149E-4986-9D93-182218202070}"/>
    <cellStyle name="20% - Accent5 3 2 2 3 3" xfId="26021" xr:uid="{7F267BB0-E2C7-4C34-8A54-054686F2C6BF}"/>
    <cellStyle name="20% - Accent5 3 2 2 4" xfId="9170" xr:uid="{69E11508-BBB0-4E21-A2A1-4C117D08C6EE}"/>
    <cellStyle name="20% - Accent5 3 2 2 4 2" xfId="21810" xr:uid="{20DB65BE-967B-4EA3-813C-0FF68A7FA1B3}"/>
    <cellStyle name="20% - Accent5 3 2 2 5" xfId="17599" xr:uid="{168176CE-0200-41F2-9CE8-7048A3011F90}"/>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E28482BF-CB23-46A2-915C-EA444757FF10}"/>
    <cellStyle name="20% - Accent5 3 2 3 2 2 3" xfId="28579" xr:uid="{440E4E54-098F-4B2D-86A2-85E5D5040C14}"/>
    <cellStyle name="20% - Accent5 3 2 3 2 3" xfId="11728" xr:uid="{5922AB91-0EC1-4602-AFEF-856EF185C901}"/>
    <cellStyle name="20% - Accent5 3 2 3 2 3 2" xfId="24368" xr:uid="{A7C3C5DD-91FB-485F-BD15-F92CBAD24A74}"/>
    <cellStyle name="20% - Accent5 3 2 3 2 4" xfId="20157" xr:uid="{8F223339-CF22-4873-AB76-281272260A27}"/>
    <cellStyle name="20% - Accent5 3 2 3 3" xfId="5372" xr:uid="{00000000-0005-0000-0000-0000DB020000}"/>
    <cellStyle name="20% - Accent5 3 2 3 3 2" xfId="13801" xr:uid="{665FEF35-8308-461D-BB3F-EB68E05E9D87}"/>
    <cellStyle name="20% - Accent5 3 2 3 3 3" xfId="26434" xr:uid="{28D5B946-FAB1-469E-AD61-78B63205B4D0}"/>
    <cellStyle name="20% - Accent5 3 2 3 4" xfId="9583" xr:uid="{A502D8DE-D72F-4D68-A3CF-3F5C28A51E6D}"/>
    <cellStyle name="20% - Accent5 3 2 3 4 2" xfId="22223" xr:uid="{983AC8D1-2EFC-4FD4-A471-64E547593D1E}"/>
    <cellStyle name="20% - Accent5 3 2 3 5" xfId="18012" xr:uid="{87C92245-96A4-4C97-BA98-347E5881A348}"/>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59ED9705-F2D1-45DC-927E-3525F9D3EFC1}"/>
    <cellStyle name="20% - Accent5 3 2 4 2 2 3" xfId="28992" xr:uid="{BB52ABEB-C4CB-44BA-9170-940BE823C7E6}"/>
    <cellStyle name="20% - Accent5 3 2 4 2 3" xfId="12141" xr:uid="{848E55A1-71B4-4503-A6D5-49F7C98A6A37}"/>
    <cellStyle name="20% - Accent5 3 2 4 2 3 2" xfId="24781" xr:uid="{FF2188FA-784B-4C1A-B67C-F1F8521E7A18}"/>
    <cellStyle name="20% - Accent5 3 2 4 2 4" xfId="20570" xr:uid="{100F0D9A-9CFA-4DFC-8ACF-2DBFC2621B11}"/>
    <cellStyle name="20% - Accent5 3 2 4 3" xfId="5785" xr:uid="{00000000-0005-0000-0000-0000DF020000}"/>
    <cellStyle name="20% - Accent5 3 2 4 3 2" xfId="14214" xr:uid="{F72AE6AC-32C7-476F-AE0C-0A61E6146467}"/>
    <cellStyle name="20% - Accent5 3 2 4 3 3" xfId="26847" xr:uid="{DF4D9EAC-E41E-4A95-A527-49D5B0D462CD}"/>
    <cellStyle name="20% - Accent5 3 2 4 4" xfId="9996" xr:uid="{895AE061-2AE0-42BF-A49B-96E87D614239}"/>
    <cellStyle name="20% - Accent5 3 2 4 4 2" xfId="22636" xr:uid="{25D97D65-18C5-42CA-B5A5-1C2EF1066B54}"/>
    <cellStyle name="20% - Accent5 3 2 4 5" xfId="18425" xr:uid="{44D55368-4444-4E92-847D-C2C80DD653C7}"/>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31CE72BB-05CF-439C-A99D-FC26B0CF8948}"/>
    <cellStyle name="20% - Accent5 3 2 5 2 2 3" xfId="29405" xr:uid="{58DEF89B-072B-420A-A0D2-E02E03E27D82}"/>
    <cellStyle name="20% - Accent5 3 2 5 2 3" xfId="12554" xr:uid="{56DBFACC-A42D-4FA0-8DA8-3396CB00DC90}"/>
    <cellStyle name="20% - Accent5 3 2 5 2 3 2" xfId="25194" xr:uid="{8BB41F80-3930-4741-B13E-1A5BB9D5C642}"/>
    <cellStyle name="20% - Accent5 3 2 5 2 4" xfId="20983" xr:uid="{8B37B5C0-6DE5-48DD-8EED-01032B129C7C}"/>
    <cellStyle name="20% - Accent5 3 2 5 3" xfId="6198" xr:uid="{00000000-0005-0000-0000-0000E3020000}"/>
    <cellStyle name="20% - Accent5 3 2 5 3 2" xfId="14627" xr:uid="{1F8527CE-2F1A-41F6-AF88-F87AE09822A9}"/>
    <cellStyle name="20% - Accent5 3 2 5 3 3" xfId="27260" xr:uid="{46C77517-7476-4315-A946-F2C731B06946}"/>
    <cellStyle name="20% - Accent5 3 2 5 4" xfId="10409" xr:uid="{3FD6BE04-8484-49FB-9CAA-CE86684E0AC9}"/>
    <cellStyle name="20% - Accent5 3 2 5 4 2" xfId="23049" xr:uid="{C1ABEA41-D6E5-4398-9EBC-9D62231F5B5B}"/>
    <cellStyle name="20% - Accent5 3 2 5 5" xfId="18838" xr:uid="{2D2F9240-AB15-46F8-AC9F-D086380F11FF}"/>
    <cellStyle name="20% - Accent5 3 2 6" xfId="2303" xr:uid="{00000000-0005-0000-0000-0000E4020000}"/>
    <cellStyle name="20% - Accent5 3 2 6 2" xfId="6611" xr:uid="{00000000-0005-0000-0000-0000E5020000}"/>
    <cellStyle name="20% - Accent5 3 2 6 2 2" xfId="15040" xr:uid="{80AA3AF9-8298-4F3D-89AB-C7B55C3FAA53}"/>
    <cellStyle name="20% - Accent5 3 2 6 2 3" xfId="27673" xr:uid="{A973C552-B1CC-4DDB-9DA0-70EA31F13E15}"/>
    <cellStyle name="20% - Accent5 3 2 6 3" xfId="10822" xr:uid="{A72E321C-AA66-46C9-93AD-27255D2298CB}"/>
    <cellStyle name="20% - Accent5 3 2 6 3 2" xfId="23462" xr:uid="{E4443011-1D69-4472-9741-F4206EB4722D}"/>
    <cellStyle name="20% - Accent5 3 2 6 4" xfId="19251" xr:uid="{2B9FCE37-8819-4774-8E95-F3032C6A29E4}"/>
    <cellStyle name="20% - Accent5 3 2 7" xfId="4545" xr:uid="{00000000-0005-0000-0000-0000E6020000}"/>
    <cellStyle name="20% - Accent5 3 2 7 2" xfId="12974" xr:uid="{77D559B1-B152-48D8-AEB9-F4BDBB3DB5C2}"/>
    <cellStyle name="20% - Accent5 3 2 7 3" xfId="25607" xr:uid="{7E4F21C0-2A02-44A5-A335-7DAE094DCF58}"/>
    <cellStyle name="20% - Accent5 3 2 8" xfId="8756" xr:uid="{E3EDBC4B-8374-483E-B07A-81F90F2D9C1E}"/>
    <cellStyle name="20% - Accent5 3 2 8 2" xfId="21396" xr:uid="{DFF59F08-6319-4BAE-A32E-62B05BF977D4}"/>
    <cellStyle name="20% - Accent5 3 2 9" xfId="17185" xr:uid="{3B617E88-923B-4179-8062-645D3EC63A96}"/>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4D6086E9-B8D1-4AB6-8610-0F48F1F2364C}"/>
    <cellStyle name="20% - Accent5 3 3 2 2 3" xfId="28165" xr:uid="{38C7DC6A-A631-4749-84F5-5876BE62C1DE}"/>
    <cellStyle name="20% - Accent5 3 3 2 3" xfId="11314" xr:uid="{F87C47D0-C673-4C82-AB52-AFD997BEAF23}"/>
    <cellStyle name="20% - Accent5 3 3 2 3 2" xfId="23954" xr:uid="{76315CBE-4A7C-4338-A576-A2C11E1E2B91}"/>
    <cellStyle name="20% - Accent5 3 3 2 4" xfId="19743" xr:uid="{2CEBC0A2-89D0-470F-B461-A7F72577D16D}"/>
    <cellStyle name="20% - Accent5 3 3 3" xfId="4958" xr:uid="{00000000-0005-0000-0000-0000EA020000}"/>
    <cellStyle name="20% - Accent5 3 3 3 2" xfId="13387" xr:uid="{12CE8DE9-5BA8-435D-B6BF-7CCA0E412635}"/>
    <cellStyle name="20% - Accent5 3 3 3 3" xfId="26020" xr:uid="{00F072DE-BFFD-45AE-AD96-B3E77E5A216F}"/>
    <cellStyle name="20% - Accent5 3 3 4" xfId="9169" xr:uid="{40B2F096-9291-4961-9B59-8C84E20FA598}"/>
    <cellStyle name="20% - Accent5 3 3 4 2" xfId="21809" xr:uid="{2185C70F-64D5-4FF9-9406-858A264B4EA9}"/>
    <cellStyle name="20% - Accent5 3 3 5" xfId="17598" xr:uid="{0CEEBE0E-F010-40B0-8BD6-1548456604C6}"/>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46D4ED80-7E63-401A-85DE-A93CFD1D0285}"/>
    <cellStyle name="20% - Accent5 3 4 2 2 3" xfId="28578" xr:uid="{58B1A52D-46AF-42EA-BC3E-9CA62C2DD162}"/>
    <cellStyle name="20% - Accent5 3 4 2 3" xfId="11727" xr:uid="{312C7D0D-616A-47F4-B5BD-4BE2D7C322E0}"/>
    <cellStyle name="20% - Accent5 3 4 2 3 2" xfId="24367" xr:uid="{13E78E2E-3C80-4A02-B1FC-2A88613DA306}"/>
    <cellStyle name="20% - Accent5 3 4 2 4" xfId="20156" xr:uid="{5E197BFD-9263-4361-BC2F-303BF457CEE6}"/>
    <cellStyle name="20% - Accent5 3 4 3" xfId="5371" xr:uid="{00000000-0005-0000-0000-0000EE020000}"/>
    <cellStyle name="20% - Accent5 3 4 3 2" xfId="13800" xr:uid="{968D3481-74E3-4FC7-A789-D73951DB1B85}"/>
    <cellStyle name="20% - Accent5 3 4 3 3" xfId="26433" xr:uid="{A9E7E336-4565-4FE1-A1CF-862E4A674C83}"/>
    <cellStyle name="20% - Accent5 3 4 4" xfId="9582" xr:uid="{E41EF9E3-8F2F-4E09-AEE4-3ACCCB30B4E3}"/>
    <cellStyle name="20% - Accent5 3 4 4 2" xfId="22222" xr:uid="{A5424B89-A065-4DF4-A508-DC5E50805148}"/>
    <cellStyle name="20% - Accent5 3 4 5" xfId="18011" xr:uid="{A106EEAD-5711-48F0-81CC-BD0CFD0CFBAB}"/>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307F0E68-D091-45F1-924D-07861DA7859B}"/>
    <cellStyle name="20% - Accent5 3 5 2 2 3" xfId="28991" xr:uid="{38DD7CAC-99EE-421C-B184-D77B27DEB637}"/>
    <cellStyle name="20% - Accent5 3 5 2 3" xfId="12140" xr:uid="{0C8E53EA-CD42-4F1C-BBD6-83FE8DCBB938}"/>
    <cellStyle name="20% - Accent5 3 5 2 3 2" xfId="24780" xr:uid="{0AFDEB88-C5EA-490B-A94D-F8EFE5F6BEA5}"/>
    <cellStyle name="20% - Accent5 3 5 2 4" xfId="20569" xr:uid="{B5AA23EF-EAAE-4975-AF23-D918E1BE548E}"/>
    <cellStyle name="20% - Accent5 3 5 3" xfId="5784" xr:uid="{00000000-0005-0000-0000-0000F2020000}"/>
    <cellStyle name="20% - Accent5 3 5 3 2" xfId="14213" xr:uid="{5A04E959-4419-4663-8F1B-E6154A926921}"/>
    <cellStyle name="20% - Accent5 3 5 3 3" xfId="26846" xr:uid="{611041E5-3EF1-49AC-92B1-6C9A65B7FC69}"/>
    <cellStyle name="20% - Accent5 3 5 4" xfId="9995" xr:uid="{2DBE5AAC-CAB1-4254-8B0D-C099F96640F0}"/>
    <cellStyle name="20% - Accent5 3 5 4 2" xfId="22635" xr:uid="{076023A9-F9C5-4FE9-AEF4-DF21ED73565D}"/>
    <cellStyle name="20% - Accent5 3 5 5" xfId="18424" xr:uid="{495BE0AF-ECCC-4C68-91B4-BA48E9A6E0DF}"/>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83D924E0-934D-48CE-B9BC-D5ACA68B6C63}"/>
    <cellStyle name="20% - Accent5 3 6 2 2 3" xfId="29404" xr:uid="{9C45B1CB-117C-4649-8AE0-6033F79D8DD1}"/>
    <cellStyle name="20% - Accent5 3 6 2 3" xfId="12553" xr:uid="{27B2A0A3-EB37-4C1B-B505-43CDE3598CE3}"/>
    <cellStyle name="20% - Accent5 3 6 2 3 2" xfId="25193" xr:uid="{5242E162-4A5A-4362-8B51-0FC0FA4DBB3C}"/>
    <cellStyle name="20% - Accent5 3 6 2 4" xfId="20982" xr:uid="{93C82F84-BE3B-4E46-B8C0-CA61FDFB7B2C}"/>
    <cellStyle name="20% - Accent5 3 6 3" xfId="6197" xr:uid="{00000000-0005-0000-0000-0000F6020000}"/>
    <cellStyle name="20% - Accent5 3 6 3 2" xfId="14626" xr:uid="{FAC80D2E-AEAF-41A2-84EF-CDA2D81683FE}"/>
    <cellStyle name="20% - Accent5 3 6 3 3" xfId="27259" xr:uid="{AD9B0D78-67BD-462F-89CC-B10464E0B9E8}"/>
    <cellStyle name="20% - Accent5 3 6 4" xfId="10408" xr:uid="{91ACCA0B-E4FA-4EAB-9074-8DDD53318B70}"/>
    <cellStyle name="20% - Accent5 3 6 4 2" xfId="23048" xr:uid="{4A5E6AF4-C7C3-4C90-B08E-D9EB835B172F}"/>
    <cellStyle name="20% - Accent5 3 6 5" xfId="18837" xr:uid="{12F69752-99E2-4EB4-96C2-C11A0A04473F}"/>
    <cellStyle name="20% - Accent5 3 7" xfId="2302" xr:uid="{00000000-0005-0000-0000-0000F7020000}"/>
    <cellStyle name="20% - Accent5 3 7 2" xfId="6610" xr:uid="{00000000-0005-0000-0000-0000F8020000}"/>
    <cellStyle name="20% - Accent5 3 7 2 2" xfId="15039" xr:uid="{61D2EA10-DC15-4999-BE67-DA0FE3A39725}"/>
    <cellStyle name="20% - Accent5 3 7 2 3" xfId="27672" xr:uid="{012B1E33-C74E-492A-A1E5-1248CF8F9FDE}"/>
    <cellStyle name="20% - Accent5 3 7 3" xfId="10821" xr:uid="{BFDB4558-1133-478C-9ACB-92BCBD5EBDAF}"/>
    <cellStyle name="20% - Accent5 3 7 3 2" xfId="23461" xr:uid="{D3E4E6A4-3D65-4243-ACDB-1A4AE23BB26D}"/>
    <cellStyle name="20% - Accent5 3 7 4" xfId="19250" xr:uid="{80D159E1-302F-4433-BF9C-1CE589FD1904}"/>
    <cellStyle name="20% - Accent5 3 8" xfId="4544" xr:uid="{00000000-0005-0000-0000-0000F9020000}"/>
    <cellStyle name="20% - Accent5 3 8 2" xfId="12973" xr:uid="{C59AED9D-C2A4-4BA6-BEC6-D06E432AA30F}"/>
    <cellStyle name="20% - Accent5 3 8 3" xfId="25606" xr:uid="{5926B107-D05B-4519-B7E3-27F1E8C2407A}"/>
    <cellStyle name="20% - Accent5 3 9" xfId="8755" xr:uid="{0E345DC5-548E-473D-8B0B-0B8FCEC83638}"/>
    <cellStyle name="20% - Accent5 3 9 2" xfId="21395" xr:uid="{29A803D5-5D15-4335-ADC3-54A464E5CBB1}"/>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F9B16E40-C1DF-4493-A76C-96EF855F1B49}"/>
    <cellStyle name="20% - Accent5 4 2 2 2 3" xfId="28167" xr:uid="{138371C2-24C6-452A-883B-CEF386C8C81F}"/>
    <cellStyle name="20% - Accent5 4 2 2 3" xfId="11316" xr:uid="{DC2FDF6B-F0AB-49A5-8C7D-DC87A3007775}"/>
    <cellStyle name="20% - Accent5 4 2 2 3 2" xfId="23956" xr:uid="{26C9E96D-43DF-4674-AADD-0BE022BCA059}"/>
    <cellStyle name="20% - Accent5 4 2 2 4" xfId="19745" xr:uid="{3B044B7F-323D-4B89-B002-A84AA143DF4C}"/>
    <cellStyle name="20% - Accent5 4 2 3" xfId="4960" xr:uid="{00000000-0005-0000-0000-0000FE020000}"/>
    <cellStyle name="20% - Accent5 4 2 3 2" xfId="13389" xr:uid="{BF8A62F5-B8A1-4B98-A4A5-34B54F8CA179}"/>
    <cellStyle name="20% - Accent5 4 2 3 3" xfId="26022" xr:uid="{CD9E8B6C-C8F3-4496-ADD7-18A63EC1BF5E}"/>
    <cellStyle name="20% - Accent5 4 2 4" xfId="9171" xr:uid="{FB5B90E5-C168-4B20-8610-54645791901A}"/>
    <cellStyle name="20% - Accent5 4 2 4 2" xfId="21811" xr:uid="{8201F4E3-18AD-4A3E-9DE7-729FB7A03C09}"/>
    <cellStyle name="20% - Accent5 4 2 5" xfId="17600" xr:uid="{04DE973A-3753-42C6-8448-D01AEB282859}"/>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06B90BB3-4DF3-45BB-8103-1896347F07C5}"/>
    <cellStyle name="20% - Accent5 4 3 2 2 3" xfId="28580" xr:uid="{A5331FD2-9E78-430F-BEB8-4814F1BF3117}"/>
    <cellStyle name="20% - Accent5 4 3 2 3" xfId="11729" xr:uid="{1F880AB8-6259-42FD-8E1D-A271B2251177}"/>
    <cellStyle name="20% - Accent5 4 3 2 3 2" xfId="24369" xr:uid="{A7AEFDCF-30F4-40B5-85F4-BB2B59CF5628}"/>
    <cellStyle name="20% - Accent5 4 3 2 4" xfId="20158" xr:uid="{4BD0B5EA-9927-4DC2-9C02-F7D5AE0B7657}"/>
    <cellStyle name="20% - Accent5 4 3 3" xfId="5373" xr:uid="{00000000-0005-0000-0000-000002030000}"/>
    <cellStyle name="20% - Accent5 4 3 3 2" xfId="13802" xr:uid="{51283905-5748-4F58-8E8C-2F38DBA9C906}"/>
    <cellStyle name="20% - Accent5 4 3 3 3" xfId="26435" xr:uid="{7AB448AA-3450-4109-94EC-747D307D1A77}"/>
    <cellStyle name="20% - Accent5 4 3 4" xfId="9584" xr:uid="{5A08BAF8-85A3-455B-91B3-4479E4C68605}"/>
    <cellStyle name="20% - Accent5 4 3 4 2" xfId="22224" xr:uid="{9D0679F0-8E90-4DE5-9039-FBA67704FF7F}"/>
    <cellStyle name="20% - Accent5 4 3 5" xfId="18013" xr:uid="{CAD9DBC5-3269-469F-822B-5427E44829AB}"/>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14B776D4-0F0A-41C3-B3CC-18A130543BCD}"/>
    <cellStyle name="20% - Accent5 4 4 2 2 3" xfId="28993" xr:uid="{FC45D406-1DF6-4098-959E-7CDA21852EA9}"/>
    <cellStyle name="20% - Accent5 4 4 2 3" xfId="12142" xr:uid="{960B6DE4-7409-49E2-87CA-4F7BAFEAF7F3}"/>
    <cellStyle name="20% - Accent5 4 4 2 3 2" xfId="24782" xr:uid="{749CC496-4163-46C2-8086-A40710985843}"/>
    <cellStyle name="20% - Accent5 4 4 2 4" xfId="20571" xr:uid="{4F4B7A57-548E-4F5A-94F9-9FCA6542C806}"/>
    <cellStyle name="20% - Accent5 4 4 3" xfId="5786" xr:uid="{00000000-0005-0000-0000-000006030000}"/>
    <cellStyle name="20% - Accent5 4 4 3 2" xfId="14215" xr:uid="{8DBCC4BD-874F-4F02-A975-234BE05A5FCF}"/>
    <cellStyle name="20% - Accent5 4 4 3 3" xfId="26848" xr:uid="{0566C77F-663E-45E5-9946-19AD97F6DA2C}"/>
    <cellStyle name="20% - Accent5 4 4 4" xfId="9997" xr:uid="{A84C1716-7C6C-4444-BB66-A6392032FFB6}"/>
    <cellStyle name="20% - Accent5 4 4 4 2" xfId="22637" xr:uid="{ADDF5188-AFBF-4372-B0F3-758A64A6D26A}"/>
    <cellStyle name="20% - Accent5 4 4 5" xfId="18426" xr:uid="{C4B863BF-3564-46B2-AB27-90A612F74E01}"/>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35966EB8-0DDB-43CC-AAD7-8C2DA7AEC7B5}"/>
    <cellStyle name="20% - Accent5 4 5 2 2 3" xfId="29406" xr:uid="{5EB8BC1D-C1BF-4501-90B4-769CB6B203C4}"/>
    <cellStyle name="20% - Accent5 4 5 2 3" xfId="12555" xr:uid="{5E045DBC-68CC-415C-84C6-04F4D7C1BDC2}"/>
    <cellStyle name="20% - Accent5 4 5 2 3 2" xfId="25195" xr:uid="{CCCEC930-CFA9-49D3-B7B5-4AB77F5A23C5}"/>
    <cellStyle name="20% - Accent5 4 5 2 4" xfId="20984" xr:uid="{5D0465CB-7209-4E7E-82E8-3354D9C63C76}"/>
    <cellStyle name="20% - Accent5 4 5 3" xfId="6199" xr:uid="{00000000-0005-0000-0000-00000A030000}"/>
    <cellStyle name="20% - Accent5 4 5 3 2" xfId="14628" xr:uid="{106A0297-5FF9-4E25-8AAA-B0F43ECEF141}"/>
    <cellStyle name="20% - Accent5 4 5 3 3" xfId="27261" xr:uid="{A36150A1-A178-4623-A14B-D40C7E10EE24}"/>
    <cellStyle name="20% - Accent5 4 5 4" xfId="10410" xr:uid="{A7767D97-14E5-4CBA-88A1-9D47623C37B1}"/>
    <cellStyle name="20% - Accent5 4 5 4 2" xfId="23050" xr:uid="{998FC15F-4F5E-4ECF-B644-CEC620FE544C}"/>
    <cellStyle name="20% - Accent5 4 5 5" xfId="18839" xr:uid="{0CEBA988-CAC1-41DC-95C1-427181103C8B}"/>
    <cellStyle name="20% - Accent5 4 6" xfId="2304" xr:uid="{00000000-0005-0000-0000-00000B030000}"/>
    <cellStyle name="20% - Accent5 4 6 2" xfId="6612" xr:uid="{00000000-0005-0000-0000-00000C030000}"/>
    <cellStyle name="20% - Accent5 4 6 2 2" xfId="15041" xr:uid="{4D08A72D-173B-49D0-AD52-847F6439C193}"/>
    <cellStyle name="20% - Accent5 4 6 2 3" xfId="27674" xr:uid="{B9672BDE-8687-494A-B6F6-37EFB64391AA}"/>
    <cellStyle name="20% - Accent5 4 6 3" xfId="10823" xr:uid="{E3100B75-5352-4F95-9AA8-F9374E271120}"/>
    <cellStyle name="20% - Accent5 4 6 3 2" xfId="23463" xr:uid="{63FB5E54-0217-4F1B-B9D5-FA52BDB4D286}"/>
    <cellStyle name="20% - Accent5 4 6 4" xfId="19252" xr:uid="{FDC27962-A7C1-478A-B7DC-802ED838D184}"/>
    <cellStyle name="20% - Accent5 4 7" xfId="4546" xr:uid="{00000000-0005-0000-0000-00000D030000}"/>
    <cellStyle name="20% - Accent5 4 7 2" xfId="12975" xr:uid="{95784FA9-F16D-41CB-B29F-D47E3B63073F}"/>
    <cellStyle name="20% - Accent5 4 7 3" xfId="25608" xr:uid="{9C889185-98ED-473E-BF7E-E653AAFF5075}"/>
    <cellStyle name="20% - Accent5 4 8" xfId="8757" xr:uid="{DC4AEC62-9377-4CBD-A132-7F27793CAF7D}"/>
    <cellStyle name="20% - Accent5 4 8 2" xfId="21397" xr:uid="{FA8DEE40-6812-4FB6-9F0C-A01F5C52B9DE}"/>
    <cellStyle name="20% - Accent5 4 9" xfId="17186" xr:uid="{77ABBFB2-648F-4552-B8D7-A8EA24B171FE}"/>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B00132E2-A5BF-4463-97ED-52E37BA03072}"/>
    <cellStyle name="20% - Accent5 5 2 2 3" xfId="28160" xr:uid="{DB8CADC2-CA59-4CB6-8D0A-186A1CFA4A16}"/>
    <cellStyle name="20% - Accent5 5 2 3" xfId="11309" xr:uid="{75F628DA-9AB9-4148-97AD-220DB7E2F04E}"/>
    <cellStyle name="20% - Accent5 5 2 3 2" xfId="23949" xr:uid="{056945B5-3228-443E-AB38-584554F4F7C0}"/>
    <cellStyle name="20% - Accent5 5 2 4" xfId="19738" xr:uid="{4DEA0F47-671C-41FA-8C57-81F35E1F1745}"/>
    <cellStyle name="20% - Accent5 5 3" xfId="4953" xr:uid="{00000000-0005-0000-0000-000011030000}"/>
    <cellStyle name="20% - Accent5 5 3 2" xfId="13382" xr:uid="{8F15961E-3F50-42B1-8AA0-AFE015FC3E96}"/>
    <cellStyle name="20% - Accent5 5 3 3" xfId="26015" xr:uid="{E4001CC2-439C-4B63-A021-1E1FC425E3C1}"/>
    <cellStyle name="20% - Accent5 5 4" xfId="9164" xr:uid="{1C83ED44-4CE3-4BCD-873F-F7559BD3B336}"/>
    <cellStyle name="20% - Accent5 5 4 2" xfId="21804" xr:uid="{5B76C9E6-381D-4937-A1FC-ED4FD62C1934}"/>
    <cellStyle name="20% - Accent5 5 5" xfId="17593" xr:uid="{0D835547-7656-4E74-AABA-856C1AAD3083}"/>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22FF2410-208A-4FCF-AA7C-A15AB0FFBBF0}"/>
    <cellStyle name="20% - Accent5 6 2 2 3" xfId="28573" xr:uid="{97B0E621-3D0B-41D9-92BA-2433FF74021F}"/>
    <cellStyle name="20% - Accent5 6 2 3" xfId="11722" xr:uid="{B64BB610-4B96-41A4-BE4E-9686EC910612}"/>
    <cellStyle name="20% - Accent5 6 2 3 2" xfId="24362" xr:uid="{6C91E77E-883C-47AE-8039-587201969EBD}"/>
    <cellStyle name="20% - Accent5 6 2 4" xfId="20151" xr:uid="{D09AC2B4-1098-4EB6-B225-C4C7E0FEBC15}"/>
    <cellStyle name="20% - Accent5 6 3" xfId="5366" xr:uid="{00000000-0005-0000-0000-000015030000}"/>
    <cellStyle name="20% - Accent5 6 3 2" xfId="13795" xr:uid="{A31958DB-6C23-4405-A42E-E52BD0BD7D48}"/>
    <cellStyle name="20% - Accent5 6 3 3" xfId="26428" xr:uid="{6F020A29-E353-4C94-91F5-9EA7CA8096D8}"/>
    <cellStyle name="20% - Accent5 6 4" xfId="9577" xr:uid="{961C0ECC-EEB2-4A55-8F0A-0374D066F2F6}"/>
    <cellStyle name="20% - Accent5 6 4 2" xfId="22217" xr:uid="{C5021142-86F3-49B4-8296-49B37EE22842}"/>
    <cellStyle name="20% - Accent5 6 5" xfId="18006" xr:uid="{A766EC9E-B4D2-4E42-9CF1-C2E505E1D86B}"/>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0F453B0B-282C-48A3-9438-D4EB0BFC4723}"/>
    <cellStyle name="20% - Accent5 7 2 2 3" xfId="28986" xr:uid="{52C0702A-42EC-4F23-9355-D1A96C3853EC}"/>
    <cellStyle name="20% - Accent5 7 2 3" xfId="12135" xr:uid="{D4E0BC39-D58D-432B-ABD7-1130D0FF4F0D}"/>
    <cellStyle name="20% - Accent5 7 2 3 2" xfId="24775" xr:uid="{F68559B0-CCDA-45A1-85F2-75BD9997FE7D}"/>
    <cellStyle name="20% - Accent5 7 2 4" xfId="20564" xr:uid="{9BC35031-7E10-47FD-901A-6789336A65A6}"/>
    <cellStyle name="20% - Accent5 7 3" xfId="5779" xr:uid="{00000000-0005-0000-0000-000019030000}"/>
    <cellStyle name="20% - Accent5 7 3 2" xfId="14208" xr:uid="{4DAFDA3E-D673-4AF4-9FB1-4DBBA530AC5E}"/>
    <cellStyle name="20% - Accent5 7 3 3" xfId="26841" xr:uid="{99AB16E1-AD9C-4205-AA95-E9C5963CEA0B}"/>
    <cellStyle name="20% - Accent5 7 4" xfId="9990" xr:uid="{A0C76FEF-6E97-41DD-911C-396FD984CC1D}"/>
    <cellStyle name="20% - Accent5 7 4 2" xfId="22630" xr:uid="{A2C8A107-E6F5-4E86-AB13-6917957B058F}"/>
    <cellStyle name="20% - Accent5 7 5" xfId="18419" xr:uid="{1A242BD2-DF3B-4E8B-A29B-655CFB5A1C72}"/>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442908C3-B44E-4757-9755-051A64336E58}"/>
    <cellStyle name="20% - Accent5 8 2 2 3" xfId="29399" xr:uid="{53B442E0-4F80-4B00-94AB-ACD0AE891591}"/>
    <cellStyle name="20% - Accent5 8 2 3" xfId="12548" xr:uid="{95F62035-F4C5-48D4-8FAE-AC54D18175E3}"/>
    <cellStyle name="20% - Accent5 8 2 3 2" xfId="25188" xr:uid="{7227C694-1C60-4BCC-B330-C530787F29A5}"/>
    <cellStyle name="20% - Accent5 8 2 4" xfId="20977" xr:uid="{B9352AA1-6E04-4180-8E74-CB54ECD9DEC3}"/>
    <cellStyle name="20% - Accent5 8 3" xfId="6192" xr:uid="{00000000-0005-0000-0000-00001D030000}"/>
    <cellStyle name="20% - Accent5 8 3 2" xfId="14621" xr:uid="{F6B16FD7-E47F-43F2-8E1F-782137CDAE9B}"/>
    <cellStyle name="20% - Accent5 8 3 3" xfId="27254" xr:uid="{658142A6-3554-49DA-8408-A8013BAC62AA}"/>
    <cellStyle name="20% - Accent5 8 4" xfId="10403" xr:uid="{91001912-753F-4405-9A18-5F26BCD81D52}"/>
    <cellStyle name="20% - Accent5 8 4 2" xfId="23043" xr:uid="{36A95CD4-7B99-40C9-98CF-F771D5C8A787}"/>
    <cellStyle name="20% - Accent5 8 5" xfId="18832" xr:uid="{9F4D25F9-F287-4305-9245-C0CD777BA34F}"/>
    <cellStyle name="20% - Accent5 9" xfId="2297" xr:uid="{00000000-0005-0000-0000-00001E030000}"/>
    <cellStyle name="20% - Accent5 9 2" xfId="6605" xr:uid="{00000000-0005-0000-0000-00001F030000}"/>
    <cellStyle name="20% - Accent5 9 2 2" xfId="15034" xr:uid="{ECE3CFBA-C980-453F-85D3-00CC62C8287C}"/>
    <cellStyle name="20% - Accent5 9 2 3" xfId="27667" xr:uid="{103A2800-5E15-46F2-AD7B-F016BFED57B1}"/>
    <cellStyle name="20% - Accent5 9 3" xfId="10816" xr:uid="{8467BF1F-0884-4D83-9554-8B67B34226A0}"/>
    <cellStyle name="20% - Accent5 9 3 2" xfId="23456" xr:uid="{9F630BB9-B5F3-4C78-A7B1-8067DA7DDFBE}"/>
    <cellStyle name="20% - Accent5 9 4" xfId="19245" xr:uid="{1B10157D-0FA0-48D4-8D68-FC37E4E63421}"/>
    <cellStyle name="20% - Accent6" xfId="41" builtinId="50" customBuiltin="1"/>
    <cellStyle name="20% - Accent6 10" xfId="4547" xr:uid="{00000000-0005-0000-0000-000021030000}"/>
    <cellStyle name="20% - Accent6 10 2" xfId="12976" xr:uid="{C53951FB-171F-4B86-89B5-E33D9DD6030E}"/>
    <cellStyle name="20% - Accent6 10 3" xfId="25609" xr:uid="{0768D3C3-1ACE-4811-BF16-8F8A34A60ACA}"/>
    <cellStyle name="20% - Accent6 11" xfId="8758" xr:uid="{33315CF4-3CEC-41DB-8148-5B19768791DE}"/>
    <cellStyle name="20% - Accent6 11 2" xfId="21398" xr:uid="{A87ECCB6-C874-4332-9A5A-D87FB2690BD8}"/>
    <cellStyle name="20% - Accent6 12" xfId="17187" xr:uid="{C14949F3-3B49-409A-B324-390D74443687}"/>
    <cellStyle name="20% - Accent6 2" xfId="42" xr:uid="{00000000-0005-0000-0000-000022030000}"/>
    <cellStyle name="20% - Accent6 2 10" xfId="8759" xr:uid="{2E8B4F81-6C65-4096-9A3D-FEAA959EB688}"/>
    <cellStyle name="20% - Accent6 2 10 2" xfId="21399" xr:uid="{5D7999FA-68F4-4990-A639-83427C315BB8}"/>
    <cellStyle name="20% - Accent6 2 11" xfId="17188" xr:uid="{D1944AE9-8759-460F-8CE4-4BAF56C38319}"/>
    <cellStyle name="20% - Accent6 2 2" xfId="43" xr:uid="{00000000-0005-0000-0000-000023030000}"/>
    <cellStyle name="20% - Accent6 2 2 10" xfId="17189" xr:uid="{CBF5A32E-8CDF-446B-8DB5-F72BFBBFDB53}"/>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5E59AD31-8CDD-4D64-8351-67E34FCC7EDA}"/>
    <cellStyle name="20% - Accent6 2 2 2 2 2 2 3" xfId="28171" xr:uid="{EBBE9090-67B1-4920-B186-AA14785F6E19}"/>
    <cellStyle name="20% - Accent6 2 2 2 2 2 3" xfId="11320" xr:uid="{C8462F92-3D7B-40D3-B6EE-93A90623B402}"/>
    <cellStyle name="20% - Accent6 2 2 2 2 2 3 2" xfId="23960" xr:uid="{DFD61487-7BBF-4225-9D9E-F00775344CED}"/>
    <cellStyle name="20% - Accent6 2 2 2 2 2 4" xfId="19749" xr:uid="{B30B8C17-255A-4AAB-9A90-368957E4EF51}"/>
    <cellStyle name="20% - Accent6 2 2 2 2 3" xfId="4964" xr:uid="{00000000-0005-0000-0000-000028030000}"/>
    <cellStyle name="20% - Accent6 2 2 2 2 3 2" xfId="13393" xr:uid="{AE0BA4BC-D049-4130-A7BF-E59D696D9EDA}"/>
    <cellStyle name="20% - Accent6 2 2 2 2 3 3" xfId="26026" xr:uid="{B041B3B2-BF35-44C6-8569-0BC7387D589F}"/>
    <cellStyle name="20% - Accent6 2 2 2 2 4" xfId="9175" xr:uid="{6F508A02-89FC-4FDC-A90D-DA0A888797AF}"/>
    <cellStyle name="20% - Accent6 2 2 2 2 4 2" xfId="21815" xr:uid="{84381115-AE8F-4196-8519-2E84FE9C5EEC}"/>
    <cellStyle name="20% - Accent6 2 2 2 2 5" xfId="17604" xr:uid="{CAA03D4A-4617-48F6-876A-793208AA292A}"/>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FDBB92B7-8759-4BE2-BEAF-BA6F2D6777A4}"/>
    <cellStyle name="20% - Accent6 2 2 2 3 2 2 3" xfId="28584" xr:uid="{F1698015-2D37-4982-8646-E1A7F9314774}"/>
    <cellStyle name="20% - Accent6 2 2 2 3 2 3" xfId="11733" xr:uid="{F7661149-C60F-4FB2-A29D-7604302CE973}"/>
    <cellStyle name="20% - Accent6 2 2 2 3 2 3 2" xfId="24373" xr:uid="{7603220E-5959-48C9-B0EC-13537F5944E2}"/>
    <cellStyle name="20% - Accent6 2 2 2 3 2 4" xfId="20162" xr:uid="{76A78C26-1E98-4950-928B-AF19728E57C0}"/>
    <cellStyle name="20% - Accent6 2 2 2 3 3" xfId="5377" xr:uid="{00000000-0005-0000-0000-00002C030000}"/>
    <cellStyle name="20% - Accent6 2 2 2 3 3 2" xfId="13806" xr:uid="{9DF4EE50-AF74-4C08-936F-888EF2A83800}"/>
    <cellStyle name="20% - Accent6 2 2 2 3 3 3" xfId="26439" xr:uid="{F1310C39-D0FC-46CA-847D-BB9B7B259631}"/>
    <cellStyle name="20% - Accent6 2 2 2 3 4" xfId="9588" xr:uid="{DF302CBC-6C95-48EC-82ED-437118483681}"/>
    <cellStyle name="20% - Accent6 2 2 2 3 4 2" xfId="22228" xr:uid="{B21C886A-F8BD-4824-BA58-EAC795B4C444}"/>
    <cellStyle name="20% - Accent6 2 2 2 3 5" xfId="18017" xr:uid="{B2F946B5-3628-4C41-946B-4344852312EE}"/>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61CD0936-431D-4106-9897-622A48EF6ADD}"/>
    <cellStyle name="20% - Accent6 2 2 2 4 2 2 3" xfId="28997" xr:uid="{579CD39E-14CA-454D-812A-8F9D9C141921}"/>
    <cellStyle name="20% - Accent6 2 2 2 4 2 3" xfId="12146" xr:uid="{A4919092-9B9F-48C9-B5A4-3EC47455A91D}"/>
    <cellStyle name="20% - Accent6 2 2 2 4 2 3 2" xfId="24786" xr:uid="{A5A234FE-E2D3-453F-A938-34DF34EC3C6E}"/>
    <cellStyle name="20% - Accent6 2 2 2 4 2 4" xfId="20575" xr:uid="{2F5DDB08-9266-48B2-8E29-450CF22E9A30}"/>
    <cellStyle name="20% - Accent6 2 2 2 4 3" xfId="5790" xr:uid="{00000000-0005-0000-0000-000030030000}"/>
    <cellStyle name="20% - Accent6 2 2 2 4 3 2" xfId="14219" xr:uid="{193A5995-EFE2-4DE6-A8D8-7F136BCC5D17}"/>
    <cellStyle name="20% - Accent6 2 2 2 4 3 3" xfId="26852" xr:uid="{61F09C2F-C5DF-4CF9-9C94-524549991C0A}"/>
    <cellStyle name="20% - Accent6 2 2 2 4 4" xfId="10001" xr:uid="{6C340C92-BB2C-479F-A914-F84949115E2A}"/>
    <cellStyle name="20% - Accent6 2 2 2 4 4 2" xfId="22641" xr:uid="{B4430A2F-E870-46A2-89D4-C9234CDE2AD7}"/>
    <cellStyle name="20% - Accent6 2 2 2 4 5" xfId="18430" xr:uid="{075B74D8-1657-4155-8D49-DE435747A72E}"/>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3E2879A7-B74F-4103-BE45-333F1CCB04E0}"/>
    <cellStyle name="20% - Accent6 2 2 2 5 2 2 3" xfId="29410" xr:uid="{1224F7AA-8134-4ACF-B386-0C0B820805C5}"/>
    <cellStyle name="20% - Accent6 2 2 2 5 2 3" xfId="12559" xr:uid="{E87CBDAD-BA01-4844-9C6F-D2ACA3653A58}"/>
    <cellStyle name="20% - Accent6 2 2 2 5 2 3 2" xfId="25199" xr:uid="{9C41DB69-D5B0-457D-8517-59F0DA7D3526}"/>
    <cellStyle name="20% - Accent6 2 2 2 5 2 4" xfId="20988" xr:uid="{9353A089-1A87-4771-A49E-51F1F9FAFF56}"/>
    <cellStyle name="20% - Accent6 2 2 2 5 3" xfId="6203" xr:uid="{00000000-0005-0000-0000-000034030000}"/>
    <cellStyle name="20% - Accent6 2 2 2 5 3 2" xfId="14632" xr:uid="{C6AFFEDC-EB6F-4AED-891E-BAD3C4D6B9C4}"/>
    <cellStyle name="20% - Accent6 2 2 2 5 3 3" xfId="27265" xr:uid="{512D4B64-B227-4995-BB3E-B09CCC14BCEE}"/>
    <cellStyle name="20% - Accent6 2 2 2 5 4" xfId="10414" xr:uid="{A48BE94A-F6FC-43C3-A98E-02756228B8D3}"/>
    <cellStyle name="20% - Accent6 2 2 2 5 4 2" xfId="23054" xr:uid="{1FADAB72-FB76-4016-ABCA-D9BD8AB9B62C}"/>
    <cellStyle name="20% - Accent6 2 2 2 5 5" xfId="18843" xr:uid="{CF2D63E3-7B4C-4583-A2AF-99C82AD9AD63}"/>
    <cellStyle name="20% - Accent6 2 2 2 6" xfId="2308" xr:uid="{00000000-0005-0000-0000-000035030000}"/>
    <cellStyle name="20% - Accent6 2 2 2 6 2" xfId="6616" xr:uid="{00000000-0005-0000-0000-000036030000}"/>
    <cellStyle name="20% - Accent6 2 2 2 6 2 2" xfId="15045" xr:uid="{C4506AA2-211C-4575-8E7F-DD44CADC5CCC}"/>
    <cellStyle name="20% - Accent6 2 2 2 6 2 3" xfId="27678" xr:uid="{2C10A32F-2467-45E8-9C35-F6756831EF18}"/>
    <cellStyle name="20% - Accent6 2 2 2 6 3" xfId="10827" xr:uid="{4EFC51D2-437D-4ACF-947F-9F18FE058F17}"/>
    <cellStyle name="20% - Accent6 2 2 2 6 3 2" xfId="23467" xr:uid="{F049562C-CF59-4CCA-BE00-423E475BED51}"/>
    <cellStyle name="20% - Accent6 2 2 2 6 4" xfId="19256" xr:uid="{7EAB2280-66D9-4DF5-AC8F-9C54BC4399B9}"/>
    <cellStyle name="20% - Accent6 2 2 2 7" xfId="4550" xr:uid="{00000000-0005-0000-0000-000037030000}"/>
    <cellStyle name="20% - Accent6 2 2 2 7 2" xfId="12979" xr:uid="{FECFE9F3-2FE3-4914-8650-C5EBA692B313}"/>
    <cellStyle name="20% - Accent6 2 2 2 7 3" xfId="25612" xr:uid="{B78F71D4-F520-4570-8B11-F91BC5036B07}"/>
    <cellStyle name="20% - Accent6 2 2 2 8" xfId="8761" xr:uid="{6C117F4E-2438-41DC-A732-E5AFFDF99849}"/>
    <cellStyle name="20% - Accent6 2 2 2 8 2" xfId="21401" xr:uid="{6106A062-7B2F-4B00-ADF5-3C5C7A830C6C}"/>
    <cellStyle name="20% - Accent6 2 2 2 9" xfId="17190" xr:uid="{786B6E8A-439C-42B5-9C71-E6240280D62E}"/>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B06A944A-07F5-4346-BCDE-8977A0ACE311}"/>
    <cellStyle name="20% - Accent6 2 2 3 2 2 3" xfId="28170" xr:uid="{63C4A183-FD5D-4C19-9A32-7F164DE55B63}"/>
    <cellStyle name="20% - Accent6 2 2 3 2 3" xfId="11319" xr:uid="{9A7DE721-DD52-49D2-9563-4D2E3034D543}"/>
    <cellStyle name="20% - Accent6 2 2 3 2 3 2" xfId="23959" xr:uid="{24875F83-6073-4C9A-9FB7-B6196A71C099}"/>
    <cellStyle name="20% - Accent6 2 2 3 2 4" xfId="19748" xr:uid="{B8545735-E87F-4D85-909C-98AD5D3B4217}"/>
    <cellStyle name="20% - Accent6 2 2 3 3" xfId="4963" xr:uid="{00000000-0005-0000-0000-00003B030000}"/>
    <cellStyle name="20% - Accent6 2 2 3 3 2" xfId="13392" xr:uid="{3E592DFC-D547-4258-8810-FC0A04D4D8E7}"/>
    <cellStyle name="20% - Accent6 2 2 3 3 3" xfId="26025" xr:uid="{2D4A0554-7FC2-485E-9EFF-BCD2D177FC78}"/>
    <cellStyle name="20% - Accent6 2 2 3 4" xfId="9174" xr:uid="{900A2C4B-3C7B-4FCB-A5C8-4C52341B9B51}"/>
    <cellStyle name="20% - Accent6 2 2 3 4 2" xfId="21814" xr:uid="{6E1396EF-5288-4B07-A9B4-1C4DF7C947FE}"/>
    <cellStyle name="20% - Accent6 2 2 3 5" xfId="17603" xr:uid="{9F533CD3-ACE5-4DB9-A1E8-44AB6FFE01F5}"/>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BE9E583B-C2D7-4AD1-9948-E666D9D218BC}"/>
    <cellStyle name="20% - Accent6 2 2 4 2 2 3" xfId="28583" xr:uid="{03E13D9C-46A5-4C0F-8B11-A7076B3ABD17}"/>
    <cellStyle name="20% - Accent6 2 2 4 2 3" xfId="11732" xr:uid="{F4EC34BA-9A50-4555-9B02-423729FC8F30}"/>
    <cellStyle name="20% - Accent6 2 2 4 2 3 2" xfId="24372" xr:uid="{015BC7AC-A2BD-4892-B3F7-2A6E515CFC6C}"/>
    <cellStyle name="20% - Accent6 2 2 4 2 4" xfId="20161" xr:uid="{44B86650-8D86-48C5-9978-F3952F476DAF}"/>
    <cellStyle name="20% - Accent6 2 2 4 3" xfId="5376" xr:uid="{00000000-0005-0000-0000-00003F030000}"/>
    <cellStyle name="20% - Accent6 2 2 4 3 2" xfId="13805" xr:uid="{A5A2D474-83A6-4D56-863B-CF50472EDF27}"/>
    <cellStyle name="20% - Accent6 2 2 4 3 3" xfId="26438" xr:uid="{6F7E971B-074C-4A2E-8EFA-AEA24BDCE9B2}"/>
    <cellStyle name="20% - Accent6 2 2 4 4" xfId="9587" xr:uid="{45DBE6DF-93C5-4B52-9110-51EA51A0DFBF}"/>
    <cellStyle name="20% - Accent6 2 2 4 4 2" xfId="22227" xr:uid="{41059AE2-80AA-4CD6-BD3F-98A593EDE6DB}"/>
    <cellStyle name="20% - Accent6 2 2 4 5" xfId="18016" xr:uid="{9F07353A-94B3-4773-9B69-B27ECA4B557A}"/>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BE97933A-1A9D-4BD6-B017-0ADFE13FD92E}"/>
    <cellStyle name="20% - Accent6 2 2 5 2 2 3" xfId="28996" xr:uid="{4E9E8B28-A279-44B7-9214-5F614FFD1191}"/>
    <cellStyle name="20% - Accent6 2 2 5 2 3" xfId="12145" xr:uid="{B4AE5A3D-835C-467D-913D-B656576655C3}"/>
    <cellStyle name="20% - Accent6 2 2 5 2 3 2" xfId="24785" xr:uid="{C0961F99-1F55-49B5-9833-DDC7C8DEE6BE}"/>
    <cellStyle name="20% - Accent6 2 2 5 2 4" xfId="20574" xr:uid="{A9EACF76-0097-47AA-82CF-6D5688E459E3}"/>
    <cellStyle name="20% - Accent6 2 2 5 3" xfId="5789" xr:uid="{00000000-0005-0000-0000-000043030000}"/>
    <cellStyle name="20% - Accent6 2 2 5 3 2" xfId="14218" xr:uid="{C9F69E05-8A02-4FA4-8368-C1FF927158C0}"/>
    <cellStyle name="20% - Accent6 2 2 5 3 3" xfId="26851" xr:uid="{3FA39BB4-F599-4E5C-A80F-2E3AED0E54B4}"/>
    <cellStyle name="20% - Accent6 2 2 5 4" xfId="10000" xr:uid="{F916E271-D4D2-440B-B8A7-4B1BCDC9E603}"/>
    <cellStyle name="20% - Accent6 2 2 5 4 2" xfId="22640" xr:uid="{38ECAD30-0607-46CC-97E0-D3397C3DD9A0}"/>
    <cellStyle name="20% - Accent6 2 2 5 5" xfId="18429" xr:uid="{C60B28D1-DD50-4C10-A966-4B855DA4FB0B}"/>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E765DEAA-F40C-4BD0-AC05-28E3600B091F}"/>
    <cellStyle name="20% - Accent6 2 2 6 2 2 3" xfId="29409" xr:uid="{AAFB11CB-B20A-460E-AE29-9578F491F028}"/>
    <cellStyle name="20% - Accent6 2 2 6 2 3" xfId="12558" xr:uid="{CF60EDEE-9F2F-40F8-B589-8E95A579AFD9}"/>
    <cellStyle name="20% - Accent6 2 2 6 2 3 2" xfId="25198" xr:uid="{25E80EBA-8248-475D-B18B-D88214DE1778}"/>
    <cellStyle name="20% - Accent6 2 2 6 2 4" xfId="20987" xr:uid="{1AD33713-194D-41E3-AE77-9BB9D08D50B2}"/>
    <cellStyle name="20% - Accent6 2 2 6 3" xfId="6202" xr:uid="{00000000-0005-0000-0000-000047030000}"/>
    <cellStyle name="20% - Accent6 2 2 6 3 2" xfId="14631" xr:uid="{45170C11-4449-4412-83F9-B9D2E7B07FDA}"/>
    <cellStyle name="20% - Accent6 2 2 6 3 3" xfId="27264" xr:uid="{091FDA9F-E36C-443C-8A4F-320618AA05ED}"/>
    <cellStyle name="20% - Accent6 2 2 6 4" xfId="10413" xr:uid="{98793D2E-09B4-4220-8F4E-EE4E8B00F0FF}"/>
    <cellStyle name="20% - Accent6 2 2 6 4 2" xfId="23053" xr:uid="{4B98CF32-BE9C-4DE0-B9CF-C27211E075E3}"/>
    <cellStyle name="20% - Accent6 2 2 6 5" xfId="18842" xr:uid="{1DE870B2-B0A9-4702-B818-9D836F3E21B1}"/>
    <cellStyle name="20% - Accent6 2 2 7" xfId="2307" xr:uid="{00000000-0005-0000-0000-000048030000}"/>
    <cellStyle name="20% - Accent6 2 2 7 2" xfId="6615" xr:uid="{00000000-0005-0000-0000-000049030000}"/>
    <cellStyle name="20% - Accent6 2 2 7 2 2" xfId="15044" xr:uid="{BF79C9F9-0FB0-46E4-AFBE-B301BEADA617}"/>
    <cellStyle name="20% - Accent6 2 2 7 2 3" xfId="27677" xr:uid="{A4DA961A-0CD9-4FC7-A124-0E84522ED4E7}"/>
    <cellStyle name="20% - Accent6 2 2 7 3" xfId="10826" xr:uid="{8A1E76D1-9F4A-47FF-B0DB-FA4F82714E49}"/>
    <cellStyle name="20% - Accent6 2 2 7 3 2" xfId="23466" xr:uid="{44BB0A9E-30E6-4159-BD80-55C828806F87}"/>
    <cellStyle name="20% - Accent6 2 2 7 4" xfId="19255" xr:uid="{875FFAA4-181F-4900-ACAD-AC184B481B92}"/>
    <cellStyle name="20% - Accent6 2 2 8" xfId="4549" xr:uid="{00000000-0005-0000-0000-00004A030000}"/>
    <cellStyle name="20% - Accent6 2 2 8 2" xfId="12978" xr:uid="{B4784113-30A2-4FF9-9518-13538926AF4A}"/>
    <cellStyle name="20% - Accent6 2 2 8 3" xfId="25611" xr:uid="{084B59EF-6E6E-4E63-9C80-E14ACCA9ED0D}"/>
    <cellStyle name="20% - Accent6 2 2 9" xfId="8760" xr:uid="{BEF1CD71-2FAF-4095-991E-B7AA015C1873}"/>
    <cellStyle name="20% - Accent6 2 2 9 2" xfId="21400" xr:uid="{FBD696FC-3C67-4810-B4BF-1F520F5FBA3A}"/>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8EFCECCE-532D-41A0-9F52-30CB1BA129BE}"/>
    <cellStyle name="20% - Accent6 2 3 2 2 2 3" xfId="28172" xr:uid="{24671607-1898-44AA-A711-EBAA183C54F9}"/>
    <cellStyle name="20% - Accent6 2 3 2 2 3" xfId="11321" xr:uid="{E9CD30E7-42E2-463F-B47D-559568397C0E}"/>
    <cellStyle name="20% - Accent6 2 3 2 2 3 2" xfId="23961" xr:uid="{F3CBDCB2-39B5-4CC5-8D9E-95E208C93E53}"/>
    <cellStyle name="20% - Accent6 2 3 2 2 4" xfId="19750" xr:uid="{9C0F59BA-D746-44B0-B34B-4AB948CA8A72}"/>
    <cellStyle name="20% - Accent6 2 3 2 3" xfId="4965" xr:uid="{00000000-0005-0000-0000-00004F030000}"/>
    <cellStyle name="20% - Accent6 2 3 2 3 2" xfId="13394" xr:uid="{D364E602-D559-4FEF-BE9C-44AC0D000CF9}"/>
    <cellStyle name="20% - Accent6 2 3 2 3 3" xfId="26027" xr:uid="{E6193D39-E615-4B12-ADEF-6B84B9E2B0CA}"/>
    <cellStyle name="20% - Accent6 2 3 2 4" xfId="9176" xr:uid="{ADF2EB66-9EAD-48FD-999C-A69D2E6222C1}"/>
    <cellStyle name="20% - Accent6 2 3 2 4 2" xfId="21816" xr:uid="{327C0918-8756-4D54-AE6B-E69514D407A7}"/>
    <cellStyle name="20% - Accent6 2 3 2 5" xfId="17605" xr:uid="{2D769F05-65B4-42D4-97BD-A315ACED37A8}"/>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FF226931-0E9F-44CF-A950-7127E7FF1375}"/>
    <cellStyle name="20% - Accent6 2 3 3 2 2 3" xfId="28585" xr:uid="{C0737F90-8752-4E20-BAC9-A289458CA734}"/>
    <cellStyle name="20% - Accent6 2 3 3 2 3" xfId="11734" xr:uid="{2713FD1F-DAC4-40A8-961B-38D5BDF3BEA8}"/>
    <cellStyle name="20% - Accent6 2 3 3 2 3 2" xfId="24374" xr:uid="{8A96705E-78F6-4BAE-A535-89DBED75FC29}"/>
    <cellStyle name="20% - Accent6 2 3 3 2 4" xfId="20163" xr:uid="{A8FC42BD-9731-48D7-9CB1-D4A7168E1140}"/>
    <cellStyle name="20% - Accent6 2 3 3 3" xfId="5378" xr:uid="{00000000-0005-0000-0000-000053030000}"/>
    <cellStyle name="20% - Accent6 2 3 3 3 2" xfId="13807" xr:uid="{22F66CA1-BFAF-46BF-BF68-D74B4CB17D79}"/>
    <cellStyle name="20% - Accent6 2 3 3 3 3" xfId="26440" xr:uid="{BD30AC47-B920-4717-95C7-BB0C7E7FA24A}"/>
    <cellStyle name="20% - Accent6 2 3 3 4" xfId="9589" xr:uid="{7BC51992-66C5-4552-9557-861388F4F7AE}"/>
    <cellStyle name="20% - Accent6 2 3 3 4 2" xfId="22229" xr:uid="{759B86B1-D109-4340-8439-54BEDA779DD0}"/>
    <cellStyle name="20% - Accent6 2 3 3 5" xfId="18018" xr:uid="{05EDFCF2-8391-4DEF-AB31-920FE7B13CCE}"/>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1DFD8A13-ED0A-43E9-9293-45135DD26DA4}"/>
    <cellStyle name="20% - Accent6 2 3 4 2 2 3" xfId="28998" xr:uid="{E09CBC17-BE05-41BE-9F5F-2A07B8345B76}"/>
    <cellStyle name="20% - Accent6 2 3 4 2 3" xfId="12147" xr:uid="{071A7F9C-F1DD-4E53-AD03-1A0B53EBFC38}"/>
    <cellStyle name="20% - Accent6 2 3 4 2 3 2" xfId="24787" xr:uid="{6BD4ECC2-E4FD-4446-8C2E-8B2BC3637636}"/>
    <cellStyle name="20% - Accent6 2 3 4 2 4" xfId="20576" xr:uid="{757B776E-F6EB-4D8B-BA1D-9D77E5A21D5F}"/>
    <cellStyle name="20% - Accent6 2 3 4 3" xfId="5791" xr:uid="{00000000-0005-0000-0000-000057030000}"/>
    <cellStyle name="20% - Accent6 2 3 4 3 2" xfId="14220" xr:uid="{742029D2-A7D3-46EF-AEFE-B7A4C0068CC9}"/>
    <cellStyle name="20% - Accent6 2 3 4 3 3" xfId="26853" xr:uid="{5900DE04-4A59-4599-8CAF-6C7AFEE5D5A2}"/>
    <cellStyle name="20% - Accent6 2 3 4 4" xfId="10002" xr:uid="{996D204E-4654-4AD4-B71E-9E524D5429E3}"/>
    <cellStyle name="20% - Accent6 2 3 4 4 2" xfId="22642" xr:uid="{1080384C-4162-42A6-9DAC-E873712637F1}"/>
    <cellStyle name="20% - Accent6 2 3 4 5" xfId="18431" xr:uid="{CA9E71A9-D6A4-4CC4-B577-80723404AC56}"/>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F8C9BCC0-A70D-4D49-B6AE-D799670FD3DF}"/>
    <cellStyle name="20% - Accent6 2 3 5 2 2 3" xfId="29411" xr:uid="{57ADB77C-645E-4EBF-9F8A-69FB3A7A1CBA}"/>
    <cellStyle name="20% - Accent6 2 3 5 2 3" xfId="12560" xr:uid="{38DC1218-A73F-4BBC-B182-C97525810573}"/>
    <cellStyle name="20% - Accent6 2 3 5 2 3 2" xfId="25200" xr:uid="{5E6EA1D4-A1F2-40A2-95A1-905A126466D5}"/>
    <cellStyle name="20% - Accent6 2 3 5 2 4" xfId="20989" xr:uid="{2E1D7E57-AF71-453A-94A4-33F9A8964044}"/>
    <cellStyle name="20% - Accent6 2 3 5 3" xfId="6204" xr:uid="{00000000-0005-0000-0000-00005B030000}"/>
    <cellStyle name="20% - Accent6 2 3 5 3 2" xfId="14633" xr:uid="{7C33A342-26EC-48E8-A696-37BA2404576C}"/>
    <cellStyle name="20% - Accent6 2 3 5 3 3" xfId="27266" xr:uid="{C08D5E66-8317-470F-8822-A8FD7B0A3E3B}"/>
    <cellStyle name="20% - Accent6 2 3 5 4" xfId="10415" xr:uid="{02C146E5-86C9-44A4-851A-CD3C2EDFC64E}"/>
    <cellStyle name="20% - Accent6 2 3 5 4 2" xfId="23055" xr:uid="{EB680D6C-418B-40B3-BEF9-07355337B54A}"/>
    <cellStyle name="20% - Accent6 2 3 5 5" xfId="18844" xr:uid="{FAB5FDFF-E1A6-49CE-95F3-EA4DE6520520}"/>
    <cellStyle name="20% - Accent6 2 3 6" xfId="2309" xr:uid="{00000000-0005-0000-0000-00005C030000}"/>
    <cellStyle name="20% - Accent6 2 3 6 2" xfId="6617" xr:uid="{00000000-0005-0000-0000-00005D030000}"/>
    <cellStyle name="20% - Accent6 2 3 6 2 2" xfId="15046" xr:uid="{A65F1B83-09DC-40BC-97D3-8474DC5B662D}"/>
    <cellStyle name="20% - Accent6 2 3 6 2 3" xfId="27679" xr:uid="{AB96EBE9-DC01-4D66-A0EE-17B532C9F8E8}"/>
    <cellStyle name="20% - Accent6 2 3 6 3" xfId="10828" xr:uid="{F421C289-2107-4EB0-B4BC-76A887B1D6CC}"/>
    <cellStyle name="20% - Accent6 2 3 6 3 2" xfId="23468" xr:uid="{7F177513-018D-43F0-A09D-6038AB6A6C54}"/>
    <cellStyle name="20% - Accent6 2 3 6 4" xfId="19257" xr:uid="{CCA93AC2-BA77-4EB2-AC41-D1BAC8A052BF}"/>
    <cellStyle name="20% - Accent6 2 3 7" xfId="4551" xr:uid="{00000000-0005-0000-0000-00005E030000}"/>
    <cellStyle name="20% - Accent6 2 3 7 2" xfId="12980" xr:uid="{3494B5E4-0D74-44DB-AD9E-854E863753F4}"/>
    <cellStyle name="20% - Accent6 2 3 7 3" xfId="25613" xr:uid="{A950CD2C-DAAA-41A9-88E2-C3C723AE7BF9}"/>
    <cellStyle name="20% - Accent6 2 3 8" xfId="8762" xr:uid="{E0E80E9B-0DB8-4284-A757-94F1E7B87FA2}"/>
    <cellStyle name="20% - Accent6 2 3 8 2" xfId="21402" xr:uid="{6B803AA8-61B1-4BDE-9114-EDB8CBC48CB6}"/>
    <cellStyle name="20% - Accent6 2 3 9" xfId="17191" xr:uid="{EA56F6CF-37CD-4CB9-A410-495CC3180BB9}"/>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7A541736-6892-47C6-BCB6-340FFE736C8E}"/>
    <cellStyle name="20% - Accent6 2 4 2 2 3" xfId="28169" xr:uid="{B28C2805-FA83-448C-8AEA-473974A94F95}"/>
    <cellStyle name="20% - Accent6 2 4 2 3" xfId="11318" xr:uid="{282678C5-4926-40F6-A545-B9BA611EEF7F}"/>
    <cellStyle name="20% - Accent6 2 4 2 3 2" xfId="23958" xr:uid="{EF0A9CF1-4C0D-4858-B49C-D1092BF36958}"/>
    <cellStyle name="20% - Accent6 2 4 2 4" xfId="19747" xr:uid="{352230E5-7628-4BDC-B21B-E3962773F46D}"/>
    <cellStyle name="20% - Accent6 2 4 3" xfId="4962" xr:uid="{00000000-0005-0000-0000-000062030000}"/>
    <cellStyle name="20% - Accent6 2 4 3 2" xfId="13391" xr:uid="{48933B41-9C48-4588-A494-EC4844838B7F}"/>
    <cellStyle name="20% - Accent6 2 4 3 3" xfId="26024" xr:uid="{0C21508C-8453-448A-ADA5-BBB6317ABC6F}"/>
    <cellStyle name="20% - Accent6 2 4 4" xfId="9173" xr:uid="{6656D5C6-5961-4798-8CD2-0E66625EE027}"/>
    <cellStyle name="20% - Accent6 2 4 4 2" xfId="21813" xr:uid="{6F26ABA7-B235-48C9-8565-3C0CECD93A8D}"/>
    <cellStyle name="20% - Accent6 2 4 5" xfId="17602" xr:uid="{B5D89EC8-FC50-4B2C-B077-07B4AFFC70C2}"/>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B4F0FADD-E6D3-4969-86FD-9B7468EB31C0}"/>
    <cellStyle name="20% - Accent6 2 5 2 2 3" xfId="28582" xr:uid="{57CC4A19-6DD6-4B95-90A2-8682A31A431E}"/>
    <cellStyle name="20% - Accent6 2 5 2 3" xfId="11731" xr:uid="{825A59C4-68D9-44E4-B6F4-5DE419F0E858}"/>
    <cellStyle name="20% - Accent6 2 5 2 3 2" xfId="24371" xr:uid="{3BD5D759-6741-422D-9AD1-E951215C9BDD}"/>
    <cellStyle name="20% - Accent6 2 5 2 4" xfId="20160" xr:uid="{3B28313A-E70A-41B8-8017-6338E5153F97}"/>
    <cellStyle name="20% - Accent6 2 5 3" xfId="5375" xr:uid="{00000000-0005-0000-0000-000066030000}"/>
    <cellStyle name="20% - Accent6 2 5 3 2" xfId="13804" xr:uid="{14A49450-23F8-4153-AC7F-57E21E45674B}"/>
    <cellStyle name="20% - Accent6 2 5 3 3" xfId="26437" xr:uid="{5286CADC-AD74-48E6-A9FD-9140FEB13013}"/>
    <cellStyle name="20% - Accent6 2 5 4" xfId="9586" xr:uid="{C186ED74-53D3-4C58-84E1-EC9B42A8E04D}"/>
    <cellStyle name="20% - Accent6 2 5 4 2" xfId="22226" xr:uid="{3A32ABDB-7034-4022-9BC7-741FA3D886A1}"/>
    <cellStyle name="20% - Accent6 2 5 5" xfId="18015" xr:uid="{B09F6FF6-C103-470B-B4AF-7A8B753F3DCB}"/>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CB5AA2CF-82C6-4C3C-87BA-D5D607D9AE3A}"/>
    <cellStyle name="20% - Accent6 2 6 2 2 3" xfId="28995" xr:uid="{7CB53CF7-DF23-4976-9F72-E690F694CA0E}"/>
    <cellStyle name="20% - Accent6 2 6 2 3" xfId="12144" xr:uid="{A340B220-FA06-4DCA-A73A-587321931CC0}"/>
    <cellStyle name="20% - Accent6 2 6 2 3 2" xfId="24784" xr:uid="{EB1E8243-B88B-4AC0-84C4-E1081D3713B2}"/>
    <cellStyle name="20% - Accent6 2 6 2 4" xfId="20573" xr:uid="{18A7EA37-CEF5-4FC1-BE38-8C79A5E241F3}"/>
    <cellStyle name="20% - Accent6 2 6 3" xfId="5788" xr:uid="{00000000-0005-0000-0000-00006A030000}"/>
    <cellStyle name="20% - Accent6 2 6 3 2" xfId="14217" xr:uid="{DDB3BCB1-695E-4DE1-B88A-C31CB7A5F3A0}"/>
    <cellStyle name="20% - Accent6 2 6 3 3" xfId="26850" xr:uid="{6FF67BA3-4AB5-4E1D-8299-5CA74369F215}"/>
    <cellStyle name="20% - Accent6 2 6 4" xfId="9999" xr:uid="{FE89D352-A6FC-4A52-9B09-80045DF0AED5}"/>
    <cellStyle name="20% - Accent6 2 6 4 2" xfId="22639" xr:uid="{65324BDE-9FD9-4E9B-8FB8-791C109BFCE7}"/>
    <cellStyle name="20% - Accent6 2 6 5" xfId="18428" xr:uid="{C1BDAADD-3593-4B25-BA10-8D31A60B5A5D}"/>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9581681F-A41C-4573-AC37-181182A0FBC3}"/>
    <cellStyle name="20% - Accent6 2 7 2 2 3" xfId="29408" xr:uid="{9F8F2732-5265-4304-9C5D-E468C8973678}"/>
    <cellStyle name="20% - Accent6 2 7 2 3" xfId="12557" xr:uid="{5A3FDE98-887B-4D47-9F9E-3A4F99FF38DA}"/>
    <cellStyle name="20% - Accent6 2 7 2 3 2" xfId="25197" xr:uid="{BE851609-C6AD-44EC-855E-8BE1D4A94BF2}"/>
    <cellStyle name="20% - Accent6 2 7 2 4" xfId="20986" xr:uid="{58086511-D1B9-48EB-A74E-89E242061960}"/>
    <cellStyle name="20% - Accent6 2 7 3" xfId="6201" xr:uid="{00000000-0005-0000-0000-00006E030000}"/>
    <cellStyle name="20% - Accent6 2 7 3 2" xfId="14630" xr:uid="{26125A75-85C2-421C-B5BE-EF739DDE3A46}"/>
    <cellStyle name="20% - Accent6 2 7 3 3" xfId="27263" xr:uid="{C0F0755F-53CE-4D2B-AD65-3E47026AC951}"/>
    <cellStyle name="20% - Accent6 2 7 4" xfId="10412" xr:uid="{45460A95-5761-497A-8445-05CABE137607}"/>
    <cellStyle name="20% - Accent6 2 7 4 2" xfId="23052" xr:uid="{9E043D6B-8335-43E9-AB7C-CB2584A25E90}"/>
    <cellStyle name="20% - Accent6 2 7 5" xfId="18841" xr:uid="{2F7E425F-CA26-4121-A9DC-277EA2238363}"/>
    <cellStyle name="20% - Accent6 2 8" xfId="2306" xr:uid="{00000000-0005-0000-0000-00006F030000}"/>
    <cellStyle name="20% - Accent6 2 8 2" xfId="6614" xr:uid="{00000000-0005-0000-0000-000070030000}"/>
    <cellStyle name="20% - Accent6 2 8 2 2" xfId="15043" xr:uid="{22588A19-E08A-4796-A49D-3B7A9CB4135B}"/>
    <cellStyle name="20% - Accent6 2 8 2 3" xfId="27676" xr:uid="{D9A96F0F-BD84-4C6C-9124-FEE4F4ED1D27}"/>
    <cellStyle name="20% - Accent6 2 8 3" xfId="10825" xr:uid="{B8565B06-B275-4A02-8D7D-153667924724}"/>
    <cellStyle name="20% - Accent6 2 8 3 2" xfId="23465" xr:uid="{DF59D045-4AAE-4DDC-A036-6B50E8C4B4B4}"/>
    <cellStyle name="20% - Accent6 2 8 4" xfId="19254" xr:uid="{9468700D-6374-4781-B089-D8BCB11ED690}"/>
    <cellStyle name="20% - Accent6 2 9" xfId="4548" xr:uid="{00000000-0005-0000-0000-000071030000}"/>
    <cellStyle name="20% - Accent6 2 9 2" xfId="12977" xr:uid="{7E639719-9E6B-404F-87C9-BED94CC1B815}"/>
    <cellStyle name="20% - Accent6 2 9 3" xfId="25610" xr:uid="{F6373B39-6085-4A6B-8479-0E2AEC2D3FA2}"/>
    <cellStyle name="20% - Accent6 3" xfId="46" xr:uid="{00000000-0005-0000-0000-000072030000}"/>
    <cellStyle name="20% - Accent6 3 10" xfId="17192" xr:uid="{BBDC02B0-16B5-4E99-9C53-F52FEBBB00D1}"/>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F0A265CB-E168-4EAF-8A88-78AA46173845}"/>
    <cellStyle name="20% - Accent6 3 2 2 2 2 3" xfId="28174" xr:uid="{3E800752-B70C-4AE0-95CB-1FBBC635B3CF}"/>
    <cellStyle name="20% - Accent6 3 2 2 2 3" xfId="11323" xr:uid="{F0CAB2BB-D77C-43BA-A30C-B7D239CDD93A}"/>
    <cellStyle name="20% - Accent6 3 2 2 2 3 2" xfId="23963" xr:uid="{963AF1E7-1AE7-4889-9E1B-E35C60899EBB}"/>
    <cellStyle name="20% - Accent6 3 2 2 2 4" xfId="19752" xr:uid="{2C50F7DB-209B-423C-AB3F-56A61EFCB4E2}"/>
    <cellStyle name="20% - Accent6 3 2 2 3" xfId="4967" xr:uid="{00000000-0005-0000-0000-000077030000}"/>
    <cellStyle name="20% - Accent6 3 2 2 3 2" xfId="13396" xr:uid="{F616A29F-4305-4246-8D63-1E4703C12D15}"/>
    <cellStyle name="20% - Accent6 3 2 2 3 3" xfId="26029" xr:uid="{9539A83C-BD5E-40EE-A658-A084645D9ADE}"/>
    <cellStyle name="20% - Accent6 3 2 2 4" xfId="9178" xr:uid="{1FB7F22C-7CBC-4B7A-8792-3369D8F76DF9}"/>
    <cellStyle name="20% - Accent6 3 2 2 4 2" xfId="21818" xr:uid="{BF935026-632E-4382-9ACD-A0FB4257B0B2}"/>
    <cellStyle name="20% - Accent6 3 2 2 5" xfId="17607" xr:uid="{5613DF5C-AC55-4ECE-A0E0-FE9C31318FD4}"/>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37EC5E73-0ECC-4267-B36B-2BE4C72362F4}"/>
    <cellStyle name="20% - Accent6 3 2 3 2 2 3" xfId="28587" xr:uid="{2E7F4C49-FF3D-4255-BED2-E43C495471B6}"/>
    <cellStyle name="20% - Accent6 3 2 3 2 3" xfId="11736" xr:uid="{24BA66EC-BF4B-4F6A-A05B-DD81BC61702E}"/>
    <cellStyle name="20% - Accent6 3 2 3 2 3 2" xfId="24376" xr:uid="{61B7926A-1936-43B8-BF0F-34C40A509383}"/>
    <cellStyle name="20% - Accent6 3 2 3 2 4" xfId="20165" xr:uid="{0F910D0F-ED73-4009-9B13-BB0156C2CDC3}"/>
    <cellStyle name="20% - Accent6 3 2 3 3" xfId="5380" xr:uid="{00000000-0005-0000-0000-00007B030000}"/>
    <cellStyle name="20% - Accent6 3 2 3 3 2" xfId="13809" xr:uid="{A3B846B2-FF06-4202-BCA2-BDC57F845C2C}"/>
    <cellStyle name="20% - Accent6 3 2 3 3 3" xfId="26442" xr:uid="{DC93FF52-509D-4E12-9213-FB779B317ECE}"/>
    <cellStyle name="20% - Accent6 3 2 3 4" xfId="9591" xr:uid="{CB16491B-EC58-4B1A-A478-FFFE24F9BE80}"/>
    <cellStyle name="20% - Accent6 3 2 3 4 2" xfId="22231" xr:uid="{04279928-46AD-41B5-9898-B2F5E332B06A}"/>
    <cellStyle name="20% - Accent6 3 2 3 5" xfId="18020" xr:uid="{168081DF-6E69-4927-AC72-FA673027C9CA}"/>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80E29476-31B5-4794-B072-AC5CD17D3F92}"/>
    <cellStyle name="20% - Accent6 3 2 4 2 2 3" xfId="29000" xr:uid="{28A32875-24AE-469F-90B2-9E7E70460804}"/>
    <cellStyle name="20% - Accent6 3 2 4 2 3" xfId="12149" xr:uid="{2DC488A9-59E0-4BD0-B910-83618CE118B2}"/>
    <cellStyle name="20% - Accent6 3 2 4 2 3 2" xfId="24789" xr:uid="{C92AAC30-4D59-4A1E-9B15-65D00A5ACD08}"/>
    <cellStyle name="20% - Accent6 3 2 4 2 4" xfId="20578" xr:uid="{8A4E660B-0E0F-45EB-A8C0-1C4FD1755ED8}"/>
    <cellStyle name="20% - Accent6 3 2 4 3" xfId="5793" xr:uid="{00000000-0005-0000-0000-00007F030000}"/>
    <cellStyle name="20% - Accent6 3 2 4 3 2" xfId="14222" xr:uid="{7F07860D-2413-40D7-AE1C-58C45022EE1F}"/>
    <cellStyle name="20% - Accent6 3 2 4 3 3" xfId="26855" xr:uid="{CDEE07BF-AF02-437E-A00F-2D9D2EF9667F}"/>
    <cellStyle name="20% - Accent6 3 2 4 4" xfId="10004" xr:uid="{D6E3FD12-8703-4614-A0CD-75C5B05EEFBA}"/>
    <cellStyle name="20% - Accent6 3 2 4 4 2" xfId="22644" xr:uid="{65F0D2DD-08DC-42EA-ACEF-8244FB50FFD4}"/>
    <cellStyle name="20% - Accent6 3 2 4 5" xfId="18433" xr:uid="{38FB7EAF-9B7E-406A-A55A-32BB069226A2}"/>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19A9668A-19B5-47BA-AC95-389B9B840BBF}"/>
    <cellStyle name="20% - Accent6 3 2 5 2 2 3" xfId="29413" xr:uid="{5626732A-8F1B-4D4B-BB1B-250ADA957129}"/>
    <cellStyle name="20% - Accent6 3 2 5 2 3" xfId="12562" xr:uid="{F518BF4D-CB6A-45C2-953F-DD0BE5B1193F}"/>
    <cellStyle name="20% - Accent6 3 2 5 2 3 2" xfId="25202" xr:uid="{0600CA7A-78AC-4F46-9D35-79EF6F70024E}"/>
    <cellStyle name="20% - Accent6 3 2 5 2 4" xfId="20991" xr:uid="{61D81A76-0BB1-415B-BC2E-4FE68C4C0B8C}"/>
    <cellStyle name="20% - Accent6 3 2 5 3" xfId="6206" xr:uid="{00000000-0005-0000-0000-000083030000}"/>
    <cellStyle name="20% - Accent6 3 2 5 3 2" xfId="14635" xr:uid="{3EC4DD21-B456-4413-98A3-82AD17333117}"/>
    <cellStyle name="20% - Accent6 3 2 5 3 3" xfId="27268" xr:uid="{37D35C10-D70B-448B-9E19-4154A2CBEE9A}"/>
    <cellStyle name="20% - Accent6 3 2 5 4" xfId="10417" xr:uid="{D2B03A77-A03D-4C14-AD88-A394E515614F}"/>
    <cellStyle name="20% - Accent6 3 2 5 4 2" xfId="23057" xr:uid="{2173D88F-8135-43F6-B4DC-DE095DA62358}"/>
    <cellStyle name="20% - Accent6 3 2 5 5" xfId="18846" xr:uid="{60179D1D-9163-4A34-89DD-D82E358E4BD1}"/>
    <cellStyle name="20% - Accent6 3 2 6" xfId="2311" xr:uid="{00000000-0005-0000-0000-000084030000}"/>
    <cellStyle name="20% - Accent6 3 2 6 2" xfId="6619" xr:uid="{00000000-0005-0000-0000-000085030000}"/>
    <cellStyle name="20% - Accent6 3 2 6 2 2" xfId="15048" xr:uid="{DD345D8E-1BB6-4CCC-87C1-E834590FAA03}"/>
    <cellStyle name="20% - Accent6 3 2 6 2 3" xfId="27681" xr:uid="{50A71397-3F1D-47FF-8F64-0B8BABF75597}"/>
    <cellStyle name="20% - Accent6 3 2 6 3" xfId="10830" xr:uid="{8714F535-8DAC-49D4-9B64-40C9519BB8FE}"/>
    <cellStyle name="20% - Accent6 3 2 6 3 2" xfId="23470" xr:uid="{A53B3600-B5D0-4D87-9FDE-BF733998D2D7}"/>
    <cellStyle name="20% - Accent6 3 2 6 4" xfId="19259" xr:uid="{D3791B88-57D8-47A1-A7DA-CC6A66CA1580}"/>
    <cellStyle name="20% - Accent6 3 2 7" xfId="4553" xr:uid="{00000000-0005-0000-0000-000086030000}"/>
    <cellStyle name="20% - Accent6 3 2 7 2" xfId="12982" xr:uid="{D406A3D4-D809-415D-8899-DD34A3415AE4}"/>
    <cellStyle name="20% - Accent6 3 2 7 3" xfId="25615" xr:uid="{4FE5BEC0-B0E7-4F72-84D1-7FC7AFE6DC47}"/>
    <cellStyle name="20% - Accent6 3 2 8" xfId="8764" xr:uid="{7E72EE44-C360-4E24-8ECA-F2E5FB0D070C}"/>
    <cellStyle name="20% - Accent6 3 2 8 2" xfId="21404" xr:uid="{6D36EE9A-DA42-4863-B097-6580B465B307}"/>
    <cellStyle name="20% - Accent6 3 2 9" xfId="17193" xr:uid="{B6D81E6C-7DB9-47B3-95A6-9D40359EA94C}"/>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4B248C7B-E749-4B63-BBB2-6D717F37EA28}"/>
    <cellStyle name="20% - Accent6 3 3 2 2 3" xfId="28173" xr:uid="{46AED79B-7274-484F-84DD-FED1D6BCA8D7}"/>
    <cellStyle name="20% - Accent6 3 3 2 3" xfId="11322" xr:uid="{29DD1ACD-0609-4E04-A516-F9CABA5E9B81}"/>
    <cellStyle name="20% - Accent6 3 3 2 3 2" xfId="23962" xr:uid="{0A3D0604-E81C-4994-97D6-6DE469907048}"/>
    <cellStyle name="20% - Accent6 3 3 2 4" xfId="19751" xr:uid="{1F74A779-956A-4F80-B5DC-7FADCBDCC10D}"/>
    <cellStyle name="20% - Accent6 3 3 3" xfId="4966" xr:uid="{00000000-0005-0000-0000-00008A030000}"/>
    <cellStyle name="20% - Accent6 3 3 3 2" xfId="13395" xr:uid="{F8403067-A0E1-48D4-AA82-7C07219BED2F}"/>
    <cellStyle name="20% - Accent6 3 3 3 3" xfId="26028" xr:uid="{9AF2D6B3-D621-4166-B3A8-5160F5643925}"/>
    <cellStyle name="20% - Accent6 3 3 4" xfId="9177" xr:uid="{DB3B18CF-AAFA-4CAB-837F-445B6A739B2D}"/>
    <cellStyle name="20% - Accent6 3 3 4 2" xfId="21817" xr:uid="{39354A58-E0D0-4F2C-B5A8-AE0E5ADFE06C}"/>
    <cellStyle name="20% - Accent6 3 3 5" xfId="17606" xr:uid="{83DC8768-EA44-4D50-AD5D-36A2BC46C60F}"/>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9F75348F-6AB8-4A15-86DD-A5393DE49CBF}"/>
    <cellStyle name="20% - Accent6 3 4 2 2 3" xfId="28586" xr:uid="{B638DEC7-6E81-451E-8251-2B0AF20EAA92}"/>
    <cellStyle name="20% - Accent6 3 4 2 3" xfId="11735" xr:uid="{7B4AA5B2-23C3-41E1-9F69-29E20667D722}"/>
    <cellStyle name="20% - Accent6 3 4 2 3 2" xfId="24375" xr:uid="{6D804C39-2FD7-4F9E-A1BC-ADC78E7E186F}"/>
    <cellStyle name="20% - Accent6 3 4 2 4" xfId="20164" xr:uid="{0DA08CF8-B133-416E-82A0-058288D45DC8}"/>
    <cellStyle name="20% - Accent6 3 4 3" xfId="5379" xr:uid="{00000000-0005-0000-0000-00008E030000}"/>
    <cellStyle name="20% - Accent6 3 4 3 2" xfId="13808" xr:uid="{C4EAF45E-E24C-4B1F-A9DB-174DDAB40367}"/>
    <cellStyle name="20% - Accent6 3 4 3 3" xfId="26441" xr:uid="{855FE8B5-1480-4F2D-8D67-520E20F2C74B}"/>
    <cellStyle name="20% - Accent6 3 4 4" xfId="9590" xr:uid="{59745D7C-D7CD-45FA-84BB-3BC7E307D045}"/>
    <cellStyle name="20% - Accent6 3 4 4 2" xfId="22230" xr:uid="{6D7E7837-696B-44CF-A367-F6B40144312C}"/>
    <cellStyle name="20% - Accent6 3 4 5" xfId="18019" xr:uid="{A6E7DF51-083C-403E-B168-645B8CB7CAAC}"/>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9534E674-D6BA-4B7C-9993-629914123EE1}"/>
    <cellStyle name="20% - Accent6 3 5 2 2 3" xfId="28999" xr:uid="{69600688-9435-4134-8507-9B92F7FE165B}"/>
    <cellStyle name="20% - Accent6 3 5 2 3" xfId="12148" xr:uid="{BC42EE2A-BFB2-4738-A587-D811665C434F}"/>
    <cellStyle name="20% - Accent6 3 5 2 3 2" xfId="24788" xr:uid="{5EE261D6-B7FC-4A38-AC02-FC80DE1A1261}"/>
    <cellStyle name="20% - Accent6 3 5 2 4" xfId="20577" xr:uid="{38688331-C8C3-4B62-9C9A-6D01D657750A}"/>
    <cellStyle name="20% - Accent6 3 5 3" xfId="5792" xr:uid="{00000000-0005-0000-0000-000092030000}"/>
    <cellStyle name="20% - Accent6 3 5 3 2" xfId="14221" xr:uid="{3DAD2674-4464-46D7-8F84-79A1CA269C58}"/>
    <cellStyle name="20% - Accent6 3 5 3 3" xfId="26854" xr:uid="{A65C2897-8BA7-4664-971F-06B4A0EF6042}"/>
    <cellStyle name="20% - Accent6 3 5 4" xfId="10003" xr:uid="{5914FFB7-1405-49C2-A76D-E7A54E73A469}"/>
    <cellStyle name="20% - Accent6 3 5 4 2" xfId="22643" xr:uid="{244CC677-CC7B-4287-BB89-CE30E8A52CA6}"/>
    <cellStyle name="20% - Accent6 3 5 5" xfId="18432" xr:uid="{6BCE677E-A126-423E-93CE-9C6DD32111DD}"/>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F91187E8-B39D-433E-B169-2B0790D24583}"/>
    <cellStyle name="20% - Accent6 3 6 2 2 3" xfId="29412" xr:uid="{2CA93282-8B18-4028-8778-2075A19CA7A1}"/>
    <cellStyle name="20% - Accent6 3 6 2 3" xfId="12561" xr:uid="{41768509-5ECB-47CC-A6FF-C23B3A21BFC2}"/>
    <cellStyle name="20% - Accent6 3 6 2 3 2" xfId="25201" xr:uid="{8133A7BE-B806-4BDD-AD88-E82EF66D4589}"/>
    <cellStyle name="20% - Accent6 3 6 2 4" xfId="20990" xr:uid="{472EB8A0-3A43-4B31-8036-8CCCF5147459}"/>
    <cellStyle name="20% - Accent6 3 6 3" xfId="6205" xr:uid="{00000000-0005-0000-0000-000096030000}"/>
    <cellStyle name="20% - Accent6 3 6 3 2" xfId="14634" xr:uid="{5A54F649-06EF-46B0-BE20-62AA5A439B01}"/>
    <cellStyle name="20% - Accent6 3 6 3 3" xfId="27267" xr:uid="{48A4CAF9-6F17-4B9E-BDE8-7831CA9E4984}"/>
    <cellStyle name="20% - Accent6 3 6 4" xfId="10416" xr:uid="{68D7CA44-F82E-4530-894E-35F90697E975}"/>
    <cellStyle name="20% - Accent6 3 6 4 2" xfId="23056" xr:uid="{58C63F45-EB24-4AB9-9A62-BF430048B83F}"/>
    <cellStyle name="20% - Accent6 3 6 5" xfId="18845" xr:uid="{5F7C006D-EB67-4184-854C-B13A300B0811}"/>
    <cellStyle name="20% - Accent6 3 7" xfId="2310" xr:uid="{00000000-0005-0000-0000-000097030000}"/>
    <cellStyle name="20% - Accent6 3 7 2" xfId="6618" xr:uid="{00000000-0005-0000-0000-000098030000}"/>
    <cellStyle name="20% - Accent6 3 7 2 2" xfId="15047" xr:uid="{04D75010-0F1C-4B7F-8FEB-22DA6794EA64}"/>
    <cellStyle name="20% - Accent6 3 7 2 3" xfId="27680" xr:uid="{7376CA08-5C0E-489B-BDFD-81D410C98FEF}"/>
    <cellStyle name="20% - Accent6 3 7 3" xfId="10829" xr:uid="{766B124D-3842-479B-885C-98AF891560A1}"/>
    <cellStyle name="20% - Accent6 3 7 3 2" xfId="23469" xr:uid="{D34A19A1-D81D-41CB-AB1E-A131A9BEBB81}"/>
    <cellStyle name="20% - Accent6 3 7 4" xfId="19258" xr:uid="{704C666D-0878-4D14-BAB9-4B76DD90D2CD}"/>
    <cellStyle name="20% - Accent6 3 8" xfId="4552" xr:uid="{00000000-0005-0000-0000-000099030000}"/>
    <cellStyle name="20% - Accent6 3 8 2" xfId="12981" xr:uid="{D75BB651-8CA3-497D-B78C-5DEE9E3F2B7E}"/>
    <cellStyle name="20% - Accent6 3 8 3" xfId="25614" xr:uid="{49A89829-AD03-4FBB-B606-55553FFAD6E3}"/>
    <cellStyle name="20% - Accent6 3 9" xfId="8763" xr:uid="{3ECF9853-33E2-46A3-A722-8C1EE8C5EA15}"/>
    <cellStyle name="20% - Accent6 3 9 2" xfId="21403" xr:uid="{0CA017A7-2842-4F56-A2A9-2A06C88CFC22}"/>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BE2AD7B1-97B3-41B3-8D28-2B42CDCAED3C}"/>
    <cellStyle name="20% - Accent6 4 2 2 2 3" xfId="28175" xr:uid="{9632A7C8-5046-4F6B-8B3B-4793ABEFFA6C}"/>
    <cellStyle name="20% - Accent6 4 2 2 3" xfId="11324" xr:uid="{E958E418-E849-4775-81C4-33D86200575F}"/>
    <cellStyle name="20% - Accent6 4 2 2 3 2" xfId="23964" xr:uid="{0D04E080-DC6F-42FD-8E64-E907BC8E1D1F}"/>
    <cellStyle name="20% - Accent6 4 2 2 4" xfId="19753" xr:uid="{2218CC11-6856-4B55-B8CC-A3D49F9127D1}"/>
    <cellStyle name="20% - Accent6 4 2 3" xfId="4968" xr:uid="{00000000-0005-0000-0000-00009E030000}"/>
    <cellStyle name="20% - Accent6 4 2 3 2" xfId="13397" xr:uid="{64FC2AA8-6F70-4E23-87CC-B4867CC07255}"/>
    <cellStyle name="20% - Accent6 4 2 3 3" xfId="26030" xr:uid="{2FF9E0ED-488B-4C05-BE2C-5D21899107DD}"/>
    <cellStyle name="20% - Accent6 4 2 4" xfId="9179" xr:uid="{35CDCAE8-E71F-4550-ADCE-85A0276B91FE}"/>
    <cellStyle name="20% - Accent6 4 2 4 2" xfId="21819" xr:uid="{F54D4A1C-C133-4620-972A-04D78D250265}"/>
    <cellStyle name="20% - Accent6 4 2 5" xfId="17608" xr:uid="{6B96D879-700E-4AA8-8AB2-E05F37FBAFD7}"/>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357E5323-84EA-4C2D-85C0-DF084699A595}"/>
    <cellStyle name="20% - Accent6 4 3 2 2 3" xfId="28588" xr:uid="{7EDCFD6D-D3A1-47D6-BCF1-B32CD73FD924}"/>
    <cellStyle name="20% - Accent6 4 3 2 3" xfId="11737" xr:uid="{A3CD0188-68E8-42F6-AAEA-B3DA70C578F5}"/>
    <cellStyle name="20% - Accent6 4 3 2 3 2" xfId="24377" xr:uid="{89DE5727-B2B2-4A0D-A681-D4311ACC60FF}"/>
    <cellStyle name="20% - Accent6 4 3 2 4" xfId="20166" xr:uid="{6268C91D-D071-4F54-9366-70423BB195C9}"/>
    <cellStyle name="20% - Accent6 4 3 3" xfId="5381" xr:uid="{00000000-0005-0000-0000-0000A2030000}"/>
    <cellStyle name="20% - Accent6 4 3 3 2" xfId="13810" xr:uid="{A3252F4E-C6BB-40A4-ACFC-DB319D198FC7}"/>
    <cellStyle name="20% - Accent6 4 3 3 3" xfId="26443" xr:uid="{493B6241-B81D-4600-969D-50ACF3CB65A3}"/>
    <cellStyle name="20% - Accent6 4 3 4" xfId="9592" xr:uid="{F78DA076-B0C2-4B9D-A770-8FBA7D8CD3E9}"/>
    <cellStyle name="20% - Accent6 4 3 4 2" xfId="22232" xr:uid="{6EAF12D6-3B55-40AD-807C-5A9353947DA3}"/>
    <cellStyle name="20% - Accent6 4 3 5" xfId="18021" xr:uid="{EDB4A580-BCDD-4198-B390-F2D4FD01EEFD}"/>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E5E166D1-934B-4670-9D2A-03A6CF0EC910}"/>
    <cellStyle name="20% - Accent6 4 4 2 2 3" xfId="29001" xr:uid="{171F4897-E3F6-4401-AB80-CB16FF19E590}"/>
    <cellStyle name="20% - Accent6 4 4 2 3" xfId="12150" xr:uid="{3744FD88-1F5B-4493-8E62-03703402BCF1}"/>
    <cellStyle name="20% - Accent6 4 4 2 3 2" xfId="24790" xr:uid="{E5E087CA-019B-490C-BA90-C85E7E98F439}"/>
    <cellStyle name="20% - Accent6 4 4 2 4" xfId="20579" xr:uid="{789254FC-24F0-4616-B8C1-404F3E2FAEDA}"/>
    <cellStyle name="20% - Accent6 4 4 3" xfId="5794" xr:uid="{00000000-0005-0000-0000-0000A6030000}"/>
    <cellStyle name="20% - Accent6 4 4 3 2" xfId="14223" xr:uid="{C0A8AA62-C4C5-4F34-A43D-4717F36A716B}"/>
    <cellStyle name="20% - Accent6 4 4 3 3" xfId="26856" xr:uid="{97B4BD50-E5A0-4E15-9FE6-6D91B3BDCC3B}"/>
    <cellStyle name="20% - Accent6 4 4 4" xfId="10005" xr:uid="{CA3715B2-3787-4B01-A249-3441E9AEE8D3}"/>
    <cellStyle name="20% - Accent6 4 4 4 2" xfId="22645" xr:uid="{EFABABFA-76AD-462D-9420-87C4182DF3A8}"/>
    <cellStyle name="20% - Accent6 4 4 5" xfId="18434" xr:uid="{69F53F26-F752-479E-BA38-849D77649D8E}"/>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F481B542-B67E-4991-BF4E-54D90CA5B2DD}"/>
    <cellStyle name="20% - Accent6 4 5 2 2 3" xfId="29414" xr:uid="{302C9A51-B786-4D09-8420-7E3A6B5784D5}"/>
    <cellStyle name="20% - Accent6 4 5 2 3" xfId="12563" xr:uid="{C6F21F51-62C5-4079-94AA-8D363904E5EB}"/>
    <cellStyle name="20% - Accent6 4 5 2 3 2" xfId="25203" xr:uid="{CEC995B1-D36C-4A17-8EDC-9AC5832B2C3A}"/>
    <cellStyle name="20% - Accent6 4 5 2 4" xfId="20992" xr:uid="{1AF1127B-2FA2-445B-A7D7-5EA662CADBB5}"/>
    <cellStyle name="20% - Accent6 4 5 3" xfId="6207" xr:uid="{00000000-0005-0000-0000-0000AA030000}"/>
    <cellStyle name="20% - Accent6 4 5 3 2" xfId="14636" xr:uid="{5999B800-68EF-458A-AD85-C4A3D8EFAF61}"/>
    <cellStyle name="20% - Accent6 4 5 3 3" xfId="27269" xr:uid="{F9A52A58-0EA4-4807-9B02-BFBA97C2C090}"/>
    <cellStyle name="20% - Accent6 4 5 4" xfId="10418" xr:uid="{F37D3CD6-C9D5-4382-96CC-31C09C89BE9A}"/>
    <cellStyle name="20% - Accent6 4 5 4 2" xfId="23058" xr:uid="{B35DDE03-56F7-46B3-8F72-87CFB6963E04}"/>
    <cellStyle name="20% - Accent6 4 5 5" xfId="18847" xr:uid="{44E5B6AA-B63B-4B90-9FCC-48A7B530C38D}"/>
    <cellStyle name="20% - Accent6 4 6" xfId="2312" xr:uid="{00000000-0005-0000-0000-0000AB030000}"/>
    <cellStyle name="20% - Accent6 4 6 2" xfId="6620" xr:uid="{00000000-0005-0000-0000-0000AC030000}"/>
    <cellStyle name="20% - Accent6 4 6 2 2" xfId="15049" xr:uid="{0EE72879-557C-43F5-8B5A-F3EEE5FA1C82}"/>
    <cellStyle name="20% - Accent6 4 6 2 3" xfId="27682" xr:uid="{E4A2A606-D794-4CBB-BEF0-4AADA910B8FC}"/>
    <cellStyle name="20% - Accent6 4 6 3" xfId="10831" xr:uid="{51F9494B-576A-4379-8E28-1ED9E1642B9D}"/>
    <cellStyle name="20% - Accent6 4 6 3 2" xfId="23471" xr:uid="{D900F0FB-67C7-4996-BD70-ACD9B9058977}"/>
    <cellStyle name="20% - Accent6 4 6 4" xfId="19260" xr:uid="{9A17C745-CE4F-414A-B72F-BA65DF383FA0}"/>
    <cellStyle name="20% - Accent6 4 7" xfId="4554" xr:uid="{00000000-0005-0000-0000-0000AD030000}"/>
    <cellStyle name="20% - Accent6 4 7 2" xfId="12983" xr:uid="{FBFF499F-E243-4D7C-BB16-C5DF7FEBA979}"/>
    <cellStyle name="20% - Accent6 4 7 3" xfId="25616" xr:uid="{A7E5364B-D675-4E49-947C-4D80E96FEEEF}"/>
    <cellStyle name="20% - Accent6 4 8" xfId="8765" xr:uid="{1B6125EC-C203-41A0-8E66-0979808F48D2}"/>
    <cellStyle name="20% - Accent6 4 8 2" xfId="21405" xr:uid="{37441205-3B42-4FBF-8AF8-0A53CAA2B960}"/>
    <cellStyle name="20% - Accent6 4 9" xfId="17194" xr:uid="{34B378CB-4279-4A7F-B1BE-325E40B3D9B3}"/>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6A673F3C-A40D-4224-A6DE-49D99E9C152A}"/>
    <cellStyle name="20% - Accent6 5 2 2 3" xfId="28168" xr:uid="{E82FCF4E-46D3-46F7-8961-DEA1F0F7D0A6}"/>
    <cellStyle name="20% - Accent6 5 2 3" xfId="11317" xr:uid="{F50C119E-F9CB-41C6-B485-D8ED6FE2831C}"/>
    <cellStyle name="20% - Accent6 5 2 3 2" xfId="23957" xr:uid="{B4E0CAC0-9896-447A-BB1E-547647C5BD44}"/>
    <cellStyle name="20% - Accent6 5 2 4" xfId="19746" xr:uid="{33319E5E-CF5F-4C60-91F7-BA8CF7DB6D52}"/>
    <cellStyle name="20% - Accent6 5 3" xfId="4961" xr:uid="{00000000-0005-0000-0000-0000B1030000}"/>
    <cellStyle name="20% - Accent6 5 3 2" xfId="13390" xr:uid="{B342CF14-8E03-474C-B2FB-0ABFDCE62987}"/>
    <cellStyle name="20% - Accent6 5 3 3" xfId="26023" xr:uid="{3656E260-059D-4E23-939F-F0F71E0C7F5E}"/>
    <cellStyle name="20% - Accent6 5 4" xfId="9172" xr:uid="{0269E564-FD19-49FD-AE31-F464DD2E67D2}"/>
    <cellStyle name="20% - Accent6 5 4 2" xfId="21812" xr:uid="{F1070A33-8E8C-47A0-9176-DA3F6F5DD696}"/>
    <cellStyle name="20% - Accent6 5 5" xfId="17601" xr:uid="{8E9B924C-816A-4A1C-975B-71B48E0DA061}"/>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2C1D2D6C-E9C4-4C43-8591-B0C8ECB90432}"/>
    <cellStyle name="20% - Accent6 6 2 2 3" xfId="28581" xr:uid="{83DCBA9C-6314-4031-9BC9-C4591FF49F74}"/>
    <cellStyle name="20% - Accent6 6 2 3" xfId="11730" xr:uid="{F786893D-8B05-45B3-A4D2-2A586B1FE1AC}"/>
    <cellStyle name="20% - Accent6 6 2 3 2" xfId="24370" xr:uid="{EF51B76A-C3D2-45CC-AB01-66FBF7204071}"/>
    <cellStyle name="20% - Accent6 6 2 4" xfId="20159" xr:uid="{C78040E8-AD8D-4081-A7F6-FCD2D5098113}"/>
    <cellStyle name="20% - Accent6 6 3" xfId="5374" xr:uid="{00000000-0005-0000-0000-0000B5030000}"/>
    <cellStyle name="20% - Accent6 6 3 2" xfId="13803" xr:uid="{9FA36EF0-59D6-4EFA-A3BB-40B16AF252BC}"/>
    <cellStyle name="20% - Accent6 6 3 3" xfId="26436" xr:uid="{1FBD7C9D-81F6-4BF9-A785-6102B928A3FB}"/>
    <cellStyle name="20% - Accent6 6 4" xfId="9585" xr:uid="{D9D247A9-14B8-4A3F-A52B-EA52F7D7FDD3}"/>
    <cellStyle name="20% - Accent6 6 4 2" xfId="22225" xr:uid="{C121B771-BE88-49E6-BB34-6D6DC5571039}"/>
    <cellStyle name="20% - Accent6 6 5" xfId="18014" xr:uid="{9C483270-EF02-41FC-868C-693561A8F84E}"/>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AD1D3751-7918-434D-B537-243AA0B15A98}"/>
    <cellStyle name="20% - Accent6 7 2 2 3" xfId="28994" xr:uid="{5AA231A3-20D2-42C3-96B7-108950EA71CC}"/>
    <cellStyle name="20% - Accent6 7 2 3" xfId="12143" xr:uid="{3457D6FD-9AE8-4499-910B-95352862D96E}"/>
    <cellStyle name="20% - Accent6 7 2 3 2" xfId="24783" xr:uid="{12DB2354-E0C7-49A1-A523-F9A040B161F5}"/>
    <cellStyle name="20% - Accent6 7 2 4" xfId="20572" xr:uid="{356FF249-877C-42C1-AC5C-46E7759B5F17}"/>
    <cellStyle name="20% - Accent6 7 3" xfId="5787" xr:uid="{00000000-0005-0000-0000-0000B9030000}"/>
    <cellStyle name="20% - Accent6 7 3 2" xfId="14216" xr:uid="{F779E32E-DC81-46D1-8B59-05AFFBFFD8B0}"/>
    <cellStyle name="20% - Accent6 7 3 3" xfId="26849" xr:uid="{56D10971-4594-4448-AF98-6C8CF7670324}"/>
    <cellStyle name="20% - Accent6 7 4" xfId="9998" xr:uid="{9BB13E87-6FBD-4E3C-89F4-2DEA814EBD04}"/>
    <cellStyle name="20% - Accent6 7 4 2" xfId="22638" xr:uid="{D1EDCCA3-BF31-4D7C-AA70-99FD03CC303D}"/>
    <cellStyle name="20% - Accent6 7 5" xfId="18427" xr:uid="{9CAC5F0F-B698-4006-9ABB-0B75C889F5C1}"/>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8BD1FEEE-2B47-453F-9DE3-2195886837BE}"/>
    <cellStyle name="20% - Accent6 8 2 2 3" xfId="29407" xr:uid="{BB4ECD8A-C27B-4EEA-8EAA-0F23DEB86C88}"/>
    <cellStyle name="20% - Accent6 8 2 3" xfId="12556" xr:uid="{6762E619-5291-4869-888A-DE23CF8FDDE3}"/>
    <cellStyle name="20% - Accent6 8 2 3 2" xfId="25196" xr:uid="{DCFA928E-BBFC-449A-9A4E-B539A4099DF5}"/>
    <cellStyle name="20% - Accent6 8 2 4" xfId="20985" xr:uid="{921D2768-2502-4E8B-9E21-9D2F9680E788}"/>
    <cellStyle name="20% - Accent6 8 3" xfId="6200" xr:uid="{00000000-0005-0000-0000-0000BD030000}"/>
    <cellStyle name="20% - Accent6 8 3 2" xfId="14629" xr:uid="{F9802E86-F684-4F1C-8CC8-36CDC88DA1AA}"/>
    <cellStyle name="20% - Accent6 8 3 3" xfId="27262" xr:uid="{48CA2CA1-B020-4CE4-9D61-4761C8071BD0}"/>
    <cellStyle name="20% - Accent6 8 4" xfId="10411" xr:uid="{BE2F4804-E06C-4C5E-879B-D56439BBC545}"/>
    <cellStyle name="20% - Accent6 8 4 2" xfId="23051" xr:uid="{76B8EA5F-FC4D-4D47-AAA1-EDF436AD8FD3}"/>
    <cellStyle name="20% - Accent6 8 5" xfId="18840" xr:uid="{D922AF69-0975-40DC-8ABC-A706B76360E1}"/>
    <cellStyle name="20% - Accent6 9" xfId="2305" xr:uid="{00000000-0005-0000-0000-0000BE030000}"/>
    <cellStyle name="20% - Accent6 9 2" xfId="6613" xr:uid="{00000000-0005-0000-0000-0000BF030000}"/>
    <cellStyle name="20% - Accent6 9 2 2" xfId="15042" xr:uid="{DCC16963-5426-4774-8337-4EEB8CE129B2}"/>
    <cellStyle name="20% - Accent6 9 2 3" xfId="27675" xr:uid="{29477076-7599-4ED0-B0C2-E385E0432B3E}"/>
    <cellStyle name="20% - Accent6 9 3" xfId="10824" xr:uid="{8048D353-1097-4517-AEC7-9366B38F8888}"/>
    <cellStyle name="20% - Accent6 9 3 2" xfId="23464" xr:uid="{7D7CA2CB-2FBE-48FE-A9C4-A6CF18995F23}"/>
    <cellStyle name="20% - Accent6 9 4" xfId="19253" xr:uid="{425AAAD9-DC94-4986-9AB8-D60AEBCF71FE}"/>
    <cellStyle name="40% - Accent1" xfId="49" builtinId="31" customBuiltin="1"/>
    <cellStyle name="40% - Accent1 10" xfId="4555" xr:uid="{00000000-0005-0000-0000-0000C1030000}"/>
    <cellStyle name="40% - Accent1 10 2" xfId="12984" xr:uid="{D1B6C87C-1F00-4786-BCC6-8EDFB56E10A3}"/>
    <cellStyle name="40% - Accent1 10 3" xfId="25617" xr:uid="{5A0E9184-9BA3-4E25-B553-76D07FBFA3DD}"/>
    <cellStyle name="40% - Accent1 11" xfId="8766" xr:uid="{855C3B48-902E-4955-BB18-79C34654CDBD}"/>
    <cellStyle name="40% - Accent1 11 2" xfId="21406" xr:uid="{178C4FF5-4B68-4005-A1A8-F313D73BF8D4}"/>
    <cellStyle name="40% - Accent1 12" xfId="17195" xr:uid="{D70E5718-545F-4281-94AD-1CE51A958966}"/>
    <cellStyle name="40% - Accent1 2" xfId="50" xr:uid="{00000000-0005-0000-0000-0000C2030000}"/>
    <cellStyle name="40% - Accent1 2 10" xfId="8767" xr:uid="{7B471260-0C10-49AC-96BE-3965EC42E8EF}"/>
    <cellStyle name="40% - Accent1 2 10 2" xfId="21407" xr:uid="{F0580E32-4069-45AE-8951-9067F79850E5}"/>
    <cellStyle name="40% - Accent1 2 11" xfId="17196" xr:uid="{3628600C-74A5-442C-9D9E-106B3F95A30A}"/>
    <cellStyle name="40% - Accent1 2 2" xfId="51" xr:uid="{00000000-0005-0000-0000-0000C3030000}"/>
    <cellStyle name="40% - Accent1 2 2 10" xfId="17197" xr:uid="{C772AC57-5255-4407-BA34-7A8BC71EBCFC}"/>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8E5AE5E1-3371-47E7-A31A-0FEF03251BC3}"/>
    <cellStyle name="40% - Accent1 2 2 2 2 2 2 3" xfId="28179" xr:uid="{0867139C-6A63-4ECD-AB84-5DDE83943450}"/>
    <cellStyle name="40% - Accent1 2 2 2 2 2 3" xfId="11328" xr:uid="{CE2066AC-AED3-48E9-8746-E4349117926F}"/>
    <cellStyle name="40% - Accent1 2 2 2 2 2 3 2" xfId="23968" xr:uid="{3DCD60B9-2DB9-4BD2-B88F-E9BDE0B93D08}"/>
    <cellStyle name="40% - Accent1 2 2 2 2 2 4" xfId="19757" xr:uid="{39FCB339-202F-439B-BC7A-695B68DF95F4}"/>
    <cellStyle name="40% - Accent1 2 2 2 2 3" xfId="4972" xr:uid="{00000000-0005-0000-0000-0000C8030000}"/>
    <cellStyle name="40% - Accent1 2 2 2 2 3 2" xfId="13401" xr:uid="{9AD15D14-C95C-431B-8932-B6F764B1EDCF}"/>
    <cellStyle name="40% - Accent1 2 2 2 2 3 3" xfId="26034" xr:uid="{A605E6BE-C5BC-46D7-AEC8-A697DEDC7537}"/>
    <cellStyle name="40% - Accent1 2 2 2 2 4" xfId="9183" xr:uid="{48B56376-7E13-4410-9E75-6F70080DC138}"/>
    <cellStyle name="40% - Accent1 2 2 2 2 4 2" xfId="21823" xr:uid="{C44B7AB3-E82D-4737-A3CB-402D57346646}"/>
    <cellStyle name="40% - Accent1 2 2 2 2 5" xfId="17612" xr:uid="{09EDE52D-2972-4AC0-9AF7-BBCC42FE3958}"/>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6E908A2E-66C6-4138-B16C-0065B7BF7C56}"/>
    <cellStyle name="40% - Accent1 2 2 2 3 2 2 3" xfId="28592" xr:uid="{C9EEF620-6492-4D41-8A12-AD53542433BB}"/>
    <cellStyle name="40% - Accent1 2 2 2 3 2 3" xfId="11741" xr:uid="{B41EA876-C7AC-43BA-B998-48C21BE7A654}"/>
    <cellStyle name="40% - Accent1 2 2 2 3 2 3 2" xfId="24381" xr:uid="{353394F9-D285-444E-A01C-26B7230F45FF}"/>
    <cellStyle name="40% - Accent1 2 2 2 3 2 4" xfId="20170" xr:uid="{10903EE1-6CBE-4D40-B445-2EB6CEC6DB3E}"/>
    <cellStyle name="40% - Accent1 2 2 2 3 3" xfId="5385" xr:uid="{00000000-0005-0000-0000-0000CC030000}"/>
    <cellStyle name="40% - Accent1 2 2 2 3 3 2" xfId="13814" xr:uid="{858140BD-2147-46C9-8CF2-C259D2B8E6FC}"/>
    <cellStyle name="40% - Accent1 2 2 2 3 3 3" xfId="26447" xr:uid="{1AD1325B-8762-457D-8761-D172761CF739}"/>
    <cellStyle name="40% - Accent1 2 2 2 3 4" xfId="9596" xr:uid="{3AAB2D96-35BB-46C9-B143-88ED718AD873}"/>
    <cellStyle name="40% - Accent1 2 2 2 3 4 2" xfId="22236" xr:uid="{EAC0EE12-E427-4F38-8141-43C30CE300E7}"/>
    <cellStyle name="40% - Accent1 2 2 2 3 5" xfId="18025" xr:uid="{7CBEF5F4-E6CB-474E-BD21-CB101214CAF4}"/>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445319E4-5189-4318-98BA-A6C9C006FEED}"/>
    <cellStyle name="40% - Accent1 2 2 2 4 2 2 3" xfId="29005" xr:uid="{D993C102-1879-4371-805C-C9B39B487378}"/>
    <cellStyle name="40% - Accent1 2 2 2 4 2 3" xfId="12154" xr:uid="{88401BFC-B4A6-4F5B-B36F-56AD9EB86BB2}"/>
    <cellStyle name="40% - Accent1 2 2 2 4 2 3 2" xfId="24794" xr:uid="{86689D8D-DF99-48C6-BA4F-8AA67E7AA28A}"/>
    <cellStyle name="40% - Accent1 2 2 2 4 2 4" xfId="20583" xr:uid="{C1E0E962-4F71-4002-8681-B039C3D33CAF}"/>
    <cellStyle name="40% - Accent1 2 2 2 4 3" xfId="5798" xr:uid="{00000000-0005-0000-0000-0000D0030000}"/>
    <cellStyle name="40% - Accent1 2 2 2 4 3 2" xfId="14227" xr:uid="{8DE874DD-136B-469B-97DE-A97CD3F72F67}"/>
    <cellStyle name="40% - Accent1 2 2 2 4 3 3" xfId="26860" xr:uid="{10E03C30-75DF-45FF-97F9-D4A2F6C055A1}"/>
    <cellStyle name="40% - Accent1 2 2 2 4 4" xfId="10009" xr:uid="{F8E1C8C1-C585-4413-B29F-452607F4059A}"/>
    <cellStyle name="40% - Accent1 2 2 2 4 4 2" xfId="22649" xr:uid="{267F03B2-22AD-4ABE-82EC-5C0DB67632A9}"/>
    <cellStyle name="40% - Accent1 2 2 2 4 5" xfId="18438" xr:uid="{C1F9D223-9606-4349-8B1C-B5FE09936B16}"/>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AC75AC73-23D1-4EAC-8B4C-95D4FF4B179C}"/>
    <cellStyle name="40% - Accent1 2 2 2 5 2 2 3" xfId="29418" xr:uid="{049FCD98-170D-462A-BBA9-1FE29D565712}"/>
    <cellStyle name="40% - Accent1 2 2 2 5 2 3" xfId="12567" xr:uid="{351CAAF9-A5F5-4D8C-87F7-2C94DB5D2A51}"/>
    <cellStyle name="40% - Accent1 2 2 2 5 2 3 2" xfId="25207" xr:uid="{C83CB607-7488-40D7-8ECA-536C5344D122}"/>
    <cellStyle name="40% - Accent1 2 2 2 5 2 4" xfId="20996" xr:uid="{2D933CBE-FAEE-4CD3-A75B-8EA1114BFEA3}"/>
    <cellStyle name="40% - Accent1 2 2 2 5 3" xfId="6211" xr:uid="{00000000-0005-0000-0000-0000D4030000}"/>
    <cellStyle name="40% - Accent1 2 2 2 5 3 2" xfId="14640" xr:uid="{A9231AC1-AE01-4C47-852B-E82EBE7923E2}"/>
    <cellStyle name="40% - Accent1 2 2 2 5 3 3" xfId="27273" xr:uid="{628EA487-9E1F-4DB4-91E1-31EF4FC2B1EC}"/>
    <cellStyle name="40% - Accent1 2 2 2 5 4" xfId="10422" xr:uid="{210F91D9-5C0C-4F9A-A3DC-EC945BD43573}"/>
    <cellStyle name="40% - Accent1 2 2 2 5 4 2" xfId="23062" xr:uid="{1E0A56BE-97ED-4DE9-A9F7-AB89BE7E0316}"/>
    <cellStyle name="40% - Accent1 2 2 2 5 5" xfId="18851" xr:uid="{BB9F3E37-50C6-4059-AD8D-D8B04FA99F75}"/>
    <cellStyle name="40% - Accent1 2 2 2 6" xfId="2316" xr:uid="{00000000-0005-0000-0000-0000D5030000}"/>
    <cellStyle name="40% - Accent1 2 2 2 6 2" xfId="6624" xr:uid="{00000000-0005-0000-0000-0000D6030000}"/>
    <cellStyle name="40% - Accent1 2 2 2 6 2 2" xfId="15053" xr:uid="{EA82D5C3-8DA6-4E97-969A-09937F817ADB}"/>
    <cellStyle name="40% - Accent1 2 2 2 6 2 3" xfId="27686" xr:uid="{5F6F9BC8-CC26-43A6-B424-2B1C79429B0F}"/>
    <cellStyle name="40% - Accent1 2 2 2 6 3" xfId="10835" xr:uid="{223ABD3C-D0C7-4BCD-BB27-EAF6F76A666A}"/>
    <cellStyle name="40% - Accent1 2 2 2 6 3 2" xfId="23475" xr:uid="{D30B371D-756D-4F7D-8768-BAA3F5A8CAF4}"/>
    <cellStyle name="40% - Accent1 2 2 2 6 4" xfId="19264" xr:uid="{D611E592-8878-4909-8F37-9FB87700498A}"/>
    <cellStyle name="40% - Accent1 2 2 2 7" xfId="4558" xr:uid="{00000000-0005-0000-0000-0000D7030000}"/>
    <cellStyle name="40% - Accent1 2 2 2 7 2" xfId="12987" xr:uid="{E18BE590-B1EE-47C9-A6CD-EC0CDBECE39F}"/>
    <cellStyle name="40% - Accent1 2 2 2 7 3" xfId="25620" xr:uid="{3BF4E4F1-FF40-49B8-BE32-BF20262B3E3F}"/>
    <cellStyle name="40% - Accent1 2 2 2 8" xfId="8769" xr:uid="{9622B0B4-BDF1-4764-908A-E5230B7F5C2B}"/>
    <cellStyle name="40% - Accent1 2 2 2 8 2" xfId="21409" xr:uid="{2FFC7000-4C74-4075-AC70-90766325C094}"/>
    <cellStyle name="40% - Accent1 2 2 2 9" xfId="17198" xr:uid="{A060154A-31D4-4F2B-BE64-6EF86FF24980}"/>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23B09391-7B1A-4651-B91C-97AE178876CF}"/>
    <cellStyle name="40% - Accent1 2 2 3 2 2 3" xfId="28178" xr:uid="{57B5501E-9B69-420B-907D-4715E42412C2}"/>
    <cellStyle name="40% - Accent1 2 2 3 2 3" xfId="11327" xr:uid="{D4EAB6DC-2720-47A8-8555-8409BE5F6132}"/>
    <cellStyle name="40% - Accent1 2 2 3 2 3 2" xfId="23967" xr:uid="{673AFCD7-69FB-4788-88C3-38F849A3092E}"/>
    <cellStyle name="40% - Accent1 2 2 3 2 4" xfId="19756" xr:uid="{194CC115-DA5B-4D6E-9EFA-79009C76FD75}"/>
    <cellStyle name="40% - Accent1 2 2 3 3" xfId="4971" xr:uid="{00000000-0005-0000-0000-0000DB030000}"/>
    <cellStyle name="40% - Accent1 2 2 3 3 2" xfId="13400" xr:uid="{02EE4D58-4721-4BFD-A42A-53A897BAC8C7}"/>
    <cellStyle name="40% - Accent1 2 2 3 3 3" xfId="26033" xr:uid="{0B58AFFF-E489-4B2B-865F-4A8BBCAE9132}"/>
    <cellStyle name="40% - Accent1 2 2 3 4" xfId="9182" xr:uid="{81EBAA04-B758-45D9-88B4-E81F469C5CAA}"/>
    <cellStyle name="40% - Accent1 2 2 3 4 2" xfId="21822" xr:uid="{DA72CDCE-E593-42A2-A04C-C6DC54E38377}"/>
    <cellStyle name="40% - Accent1 2 2 3 5" xfId="17611" xr:uid="{4A312DD4-6866-421B-9A83-19329D9B7EF9}"/>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0128844C-6221-4B7B-AD4E-2E2087C22B2B}"/>
    <cellStyle name="40% - Accent1 2 2 4 2 2 3" xfId="28591" xr:uid="{37CC93B2-3391-40BF-A30C-5ED8440A349A}"/>
    <cellStyle name="40% - Accent1 2 2 4 2 3" xfId="11740" xr:uid="{0F040E5F-69A8-4BC8-8921-AF09118789A6}"/>
    <cellStyle name="40% - Accent1 2 2 4 2 3 2" xfId="24380" xr:uid="{DF83F04F-0F86-497A-BC41-60A51BE697F7}"/>
    <cellStyle name="40% - Accent1 2 2 4 2 4" xfId="20169" xr:uid="{40EA0596-7C3B-4F8E-9557-33F1F9F21801}"/>
    <cellStyle name="40% - Accent1 2 2 4 3" xfId="5384" xr:uid="{00000000-0005-0000-0000-0000DF030000}"/>
    <cellStyle name="40% - Accent1 2 2 4 3 2" xfId="13813" xr:uid="{2D61D39D-8A08-4243-BDCB-C4AE68E5F4C5}"/>
    <cellStyle name="40% - Accent1 2 2 4 3 3" xfId="26446" xr:uid="{A9E672C7-575F-4B2C-8DD9-D243CD063113}"/>
    <cellStyle name="40% - Accent1 2 2 4 4" xfId="9595" xr:uid="{1AB36371-F0CB-4881-9CC5-28626E42A38B}"/>
    <cellStyle name="40% - Accent1 2 2 4 4 2" xfId="22235" xr:uid="{E20E41A1-E5C0-4426-8BA9-6CF652B60F8A}"/>
    <cellStyle name="40% - Accent1 2 2 4 5" xfId="18024" xr:uid="{30331CA7-CADE-4071-B674-E549B1D461D8}"/>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20BD3642-6BF3-4DF4-A05B-4C9466F89E8D}"/>
    <cellStyle name="40% - Accent1 2 2 5 2 2 3" xfId="29004" xr:uid="{B0E9FE44-869A-4B8B-8D09-01647A061C03}"/>
    <cellStyle name="40% - Accent1 2 2 5 2 3" xfId="12153" xr:uid="{50F7CE07-D99C-4719-91FC-92A91597789C}"/>
    <cellStyle name="40% - Accent1 2 2 5 2 3 2" xfId="24793" xr:uid="{4CFC7A21-DC09-4CA8-972A-507ABEAF0D08}"/>
    <cellStyle name="40% - Accent1 2 2 5 2 4" xfId="20582" xr:uid="{AA6CCA93-3E0C-4EC9-8AFE-EBFF72529651}"/>
    <cellStyle name="40% - Accent1 2 2 5 3" xfId="5797" xr:uid="{00000000-0005-0000-0000-0000E3030000}"/>
    <cellStyle name="40% - Accent1 2 2 5 3 2" xfId="14226" xr:uid="{AF589797-4F86-4392-8F59-9B6D1D43580F}"/>
    <cellStyle name="40% - Accent1 2 2 5 3 3" xfId="26859" xr:uid="{7CFCBB8E-BE2A-4982-B4C9-D5D92FC422E3}"/>
    <cellStyle name="40% - Accent1 2 2 5 4" xfId="10008" xr:uid="{25E0238E-CD00-4481-8EFA-4C5C7894FBF7}"/>
    <cellStyle name="40% - Accent1 2 2 5 4 2" xfId="22648" xr:uid="{1422FD5D-E628-42A4-BA4C-97938D5BEFBE}"/>
    <cellStyle name="40% - Accent1 2 2 5 5" xfId="18437" xr:uid="{3DB4C998-A1C6-4BDE-B5C4-039D3DFF85DA}"/>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E576B65E-8DA0-4B8B-B354-0107DD26830D}"/>
    <cellStyle name="40% - Accent1 2 2 6 2 2 3" xfId="29417" xr:uid="{455D4B63-46E3-44EB-9285-C5803286F32C}"/>
    <cellStyle name="40% - Accent1 2 2 6 2 3" xfId="12566" xr:uid="{73930EB1-C429-46E2-B9B0-34B9C5AE4575}"/>
    <cellStyle name="40% - Accent1 2 2 6 2 3 2" xfId="25206" xr:uid="{05873B3C-0A5D-4E85-831E-33D4CE173632}"/>
    <cellStyle name="40% - Accent1 2 2 6 2 4" xfId="20995" xr:uid="{1CD6C0C4-5162-44A5-A9E5-76E2412AF0D4}"/>
    <cellStyle name="40% - Accent1 2 2 6 3" xfId="6210" xr:uid="{00000000-0005-0000-0000-0000E7030000}"/>
    <cellStyle name="40% - Accent1 2 2 6 3 2" xfId="14639" xr:uid="{C16BC618-E6BA-4485-AC4B-D84526C008A8}"/>
    <cellStyle name="40% - Accent1 2 2 6 3 3" xfId="27272" xr:uid="{24C7D9F7-7C8F-4700-B6F4-1CA76ED4A20E}"/>
    <cellStyle name="40% - Accent1 2 2 6 4" xfId="10421" xr:uid="{5B4B2FBD-327E-427A-BEF4-3360DA1524FB}"/>
    <cellStyle name="40% - Accent1 2 2 6 4 2" xfId="23061" xr:uid="{656F19F6-05DA-40BE-A8D7-F41DF7A00CAD}"/>
    <cellStyle name="40% - Accent1 2 2 6 5" xfId="18850" xr:uid="{0EB92129-55CD-44DC-89CE-4C747AE1C62C}"/>
    <cellStyle name="40% - Accent1 2 2 7" xfId="2315" xr:uid="{00000000-0005-0000-0000-0000E8030000}"/>
    <cellStyle name="40% - Accent1 2 2 7 2" xfId="6623" xr:uid="{00000000-0005-0000-0000-0000E9030000}"/>
    <cellStyle name="40% - Accent1 2 2 7 2 2" xfId="15052" xr:uid="{E974D8D1-777B-49CC-A5A6-717F23C31ED0}"/>
    <cellStyle name="40% - Accent1 2 2 7 2 3" xfId="27685" xr:uid="{6DC28D54-BFA2-4C4F-BB08-CD7469BD26C9}"/>
    <cellStyle name="40% - Accent1 2 2 7 3" xfId="10834" xr:uid="{7B002636-DC55-46F0-8E57-B1F26E962F07}"/>
    <cellStyle name="40% - Accent1 2 2 7 3 2" xfId="23474" xr:uid="{A818FD4D-46CC-4611-826D-98AEE3354B2C}"/>
    <cellStyle name="40% - Accent1 2 2 7 4" xfId="19263" xr:uid="{CD79B2A0-A637-4BC6-B298-B03BDAD43633}"/>
    <cellStyle name="40% - Accent1 2 2 8" xfId="4557" xr:uid="{00000000-0005-0000-0000-0000EA030000}"/>
    <cellStyle name="40% - Accent1 2 2 8 2" xfId="12986" xr:uid="{844261D1-CC3F-4415-A2A4-54BF37E77902}"/>
    <cellStyle name="40% - Accent1 2 2 8 3" xfId="25619" xr:uid="{CE6992C2-866F-4368-9A84-189D70CD8D54}"/>
    <cellStyle name="40% - Accent1 2 2 9" xfId="8768" xr:uid="{E252C5C8-ED52-41F6-BF1B-8289319DAEA9}"/>
    <cellStyle name="40% - Accent1 2 2 9 2" xfId="21408" xr:uid="{09B2815B-E158-4F62-A8CB-6A8F8980B4F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0058C69B-22F3-4180-A2BC-66E911802187}"/>
    <cellStyle name="40% - Accent1 2 3 2 2 2 3" xfId="28180" xr:uid="{F3C01BED-B548-4A14-ABE1-7670F7DB6263}"/>
    <cellStyle name="40% - Accent1 2 3 2 2 3" xfId="11329" xr:uid="{7A1BE735-852B-424F-BB59-CA02136A1BD8}"/>
    <cellStyle name="40% - Accent1 2 3 2 2 3 2" xfId="23969" xr:uid="{39A7107F-7C2D-4AAF-BE0A-ED74F07F1E0E}"/>
    <cellStyle name="40% - Accent1 2 3 2 2 4" xfId="19758" xr:uid="{FAF9F09D-0ECA-4DDF-BB9B-B4488FE31888}"/>
    <cellStyle name="40% - Accent1 2 3 2 3" xfId="4973" xr:uid="{00000000-0005-0000-0000-0000EF030000}"/>
    <cellStyle name="40% - Accent1 2 3 2 3 2" xfId="13402" xr:uid="{1282B041-20E6-4C09-8F36-347EDD356301}"/>
    <cellStyle name="40% - Accent1 2 3 2 3 3" xfId="26035" xr:uid="{7ACBCDC0-5A1F-45E2-8A04-163A3372E85C}"/>
    <cellStyle name="40% - Accent1 2 3 2 4" xfId="9184" xr:uid="{0C5B1B4E-A1F1-4F41-8503-E6AB970BB2AB}"/>
    <cellStyle name="40% - Accent1 2 3 2 4 2" xfId="21824" xr:uid="{992C0005-5B6E-402C-9B34-301D2CAAE6EA}"/>
    <cellStyle name="40% - Accent1 2 3 2 5" xfId="17613" xr:uid="{7288D24A-4F1F-4FF0-9B80-E83E455AA7E5}"/>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8D008D12-A6A1-4E92-BEE6-716E9FA2ED70}"/>
    <cellStyle name="40% - Accent1 2 3 3 2 2 3" xfId="28593" xr:uid="{337A8CBD-077A-40EB-8A59-C45931D7C51A}"/>
    <cellStyle name="40% - Accent1 2 3 3 2 3" xfId="11742" xr:uid="{CE64B227-25FB-41A6-BC0D-41DE60D10C6B}"/>
    <cellStyle name="40% - Accent1 2 3 3 2 3 2" xfId="24382" xr:uid="{E7CB0F0A-7BB4-4421-B2BF-57D162005650}"/>
    <cellStyle name="40% - Accent1 2 3 3 2 4" xfId="20171" xr:uid="{453C1575-D631-4981-9B6A-D371E905AD06}"/>
    <cellStyle name="40% - Accent1 2 3 3 3" xfId="5386" xr:uid="{00000000-0005-0000-0000-0000F3030000}"/>
    <cellStyle name="40% - Accent1 2 3 3 3 2" xfId="13815" xr:uid="{21B11BE3-CD87-4B31-8196-54E599EC7171}"/>
    <cellStyle name="40% - Accent1 2 3 3 3 3" xfId="26448" xr:uid="{CF3A91EE-C166-4E0D-96F4-C8DC0512900E}"/>
    <cellStyle name="40% - Accent1 2 3 3 4" xfId="9597" xr:uid="{6A301234-A036-4624-8678-8F9176FA9D31}"/>
    <cellStyle name="40% - Accent1 2 3 3 4 2" xfId="22237" xr:uid="{766A371A-ACD0-4307-A0C1-D415E28002F3}"/>
    <cellStyle name="40% - Accent1 2 3 3 5" xfId="18026" xr:uid="{1250D440-2786-4DC9-A8DE-A42231F89956}"/>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5362BDA4-12B3-4EB4-B2B7-B6C524D2044D}"/>
    <cellStyle name="40% - Accent1 2 3 4 2 2 3" xfId="29006" xr:uid="{7B0970E6-5D43-461C-AF78-0D770FB5BC9C}"/>
    <cellStyle name="40% - Accent1 2 3 4 2 3" xfId="12155" xr:uid="{245F818D-484C-4EB8-9B5F-B70271B1F35B}"/>
    <cellStyle name="40% - Accent1 2 3 4 2 3 2" xfId="24795" xr:uid="{4E40C97B-F6FD-4438-A0A7-B40EB43AFC30}"/>
    <cellStyle name="40% - Accent1 2 3 4 2 4" xfId="20584" xr:uid="{F43645B0-787D-4D5C-BDA6-6E4C7D7E65A2}"/>
    <cellStyle name="40% - Accent1 2 3 4 3" xfId="5799" xr:uid="{00000000-0005-0000-0000-0000F7030000}"/>
    <cellStyle name="40% - Accent1 2 3 4 3 2" xfId="14228" xr:uid="{A67E1DA8-B524-44BC-993C-C1FC9C2B083A}"/>
    <cellStyle name="40% - Accent1 2 3 4 3 3" xfId="26861" xr:uid="{9D46D8AF-5014-445A-8EE8-E6C80E970BDB}"/>
    <cellStyle name="40% - Accent1 2 3 4 4" xfId="10010" xr:uid="{5D338262-49EA-4E0C-8595-92E262B675CF}"/>
    <cellStyle name="40% - Accent1 2 3 4 4 2" xfId="22650" xr:uid="{2D255E3B-5641-4DDD-BD0C-558CAAD46E7F}"/>
    <cellStyle name="40% - Accent1 2 3 4 5" xfId="18439" xr:uid="{0CDD7FB6-5E4F-4F87-9F0D-F411692D17A3}"/>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71BBD1E9-7895-40F2-AFBA-5076B533C184}"/>
    <cellStyle name="40% - Accent1 2 3 5 2 2 3" xfId="29419" xr:uid="{129751E1-D630-452E-B37C-6A44C426557B}"/>
    <cellStyle name="40% - Accent1 2 3 5 2 3" xfId="12568" xr:uid="{B186EC66-A66D-4DFB-B9A8-18ACEB89AEF0}"/>
    <cellStyle name="40% - Accent1 2 3 5 2 3 2" xfId="25208" xr:uid="{FCDE9F41-3AAB-4F50-8552-0B7B0D033050}"/>
    <cellStyle name="40% - Accent1 2 3 5 2 4" xfId="20997" xr:uid="{594EE262-4C5D-4149-A0A9-839D7DFCB81A}"/>
    <cellStyle name="40% - Accent1 2 3 5 3" xfId="6212" xr:uid="{00000000-0005-0000-0000-0000FB030000}"/>
    <cellStyle name="40% - Accent1 2 3 5 3 2" xfId="14641" xr:uid="{02326147-C204-4776-A2A4-E0032BC8E44E}"/>
    <cellStyle name="40% - Accent1 2 3 5 3 3" xfId="27274" xr:uid="{B2B81F63-DEC6-423A-ABAF-262DF4A310EC}"/>
    <cellStyle name="40% - Accent1 2 3 5 4" xfId="10423" xr:uid="{64A091FE-989A-4867-9CE3-962E274ED6FC}"/>
    <cellStyle name="40% - Accent1 2 3 5 4 2" xfId="23063" xr:uid="{4E152BCD-60C9-4B4A-9867-E33FAAF6CE93}"/>
    <cellStyle name="40% - Accent1 2 3 5 5" xfId="18852" xr:uid="{EC6D7CD9-895D-4CBA-8A1B-D506433F3985}"/>
    <cellStyle name="40% - Accent1 2 3 6" xfId="2317" xr:uid="{00000000-0005-0000-0000-0000FC030000}"/>
    <cellStyle name="40% - Accent1 2 3 6 2" xfId="6625" xr:uid="{00000000-0005-0000-0000-0000FD030000}"/>
    <cellStyle name="40% - Accent1 2 3 6 2 2" xfId="15054" xr:uid="{70014B43-E416-4647-BAD2-778A45742DB5}"/>
    <cellStyle name="40% - Accent1 2 3 6 2 3" xfId="27687" xr:uid="{4782F70D-906E-4777-A096-957F209ED824}"/>
    <cellStyle name="40% - Accent1 2 3 6 3" xfId="10836" xr:uid="{C2668351-301B-4A59-B30D-C0EA50CC16C6}"/>
    <cellStyle name="40% - Accent1 2 3 6 3 2" xfId="23476" xr:uid="{53452F5C-804B-43D3-AEA4-E3FA06FFAB8C}"/>
    <cellStyle name="40% - Accent1 2 3 6 4" xfId="19265" xr:uid="{AFC5115A-AB61-4BBB-9B2C-5597FB9D3629}"/>
    <cellStyle name="40% - Accent1 2 3 7" xfId="4559" xr:uid="{00000000-0005-0000-0000-0000FE030000}"/>
    <cellStyle name="40% - Accent1 2 3 7 2" xfId="12988" xr:uid="{97F9784D-7289-413F-8369-139A5BA4C8DE}"/>
    <cellStyle name="40% - Accent1 2 3 7 3" xfId="25621" xr:uid="{2A559033-2596-40F1-9096-73E84D174C42}"/>
    <cellStyle name="40% - Accent1 2 3 8" xfId="8770" xr:uid="{72ADD1DD-E764-48DD-B4E4-8EC0B7D9641B}"/>
    <cellStyle name="40% - Accent1 2 3 8 2" xfId="21410" xr:uid="{1CFEC25C-F095-474E-BDEE-B65313655CA4}"/>
    <cellStyle name="40% - Accent1 2 3 9" xfId="17199" xr:uid="{358C291B-989B-4178-8A16-3F954160BFCD}"/>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BF19C359-3EC5-4078-AE5C-2DDCDD12677E}"/>
    <cellStyle name="40% - Accent1 2 4 2 2 3" xfId="28177" xr:uid="{395CBDA8-3AF5-4A2B-BAA6-A3ADBA925F3F}"/>
    <cellStyle name="40% - Accent1 2 4 2 3" xfId="11326" xr:uid="{EB4A5D7D-5C05-4F51-9642-AAB01302FA0E}"/>
    <cellStyle name="40% - Accent1 2 4 2 3 2" xfId="23966" xr:uid="{A0B4E6D8-E9A8-496C-BBE4-04CE64ABC7B4}"/>
    <cellStyle name="40% - Accent1 2 4 2 4" xfId="19755" xr:uid="{E1BE7097-505E-45AF-B44C-13DAD63726BA}"/>
    <cellStyle name="40% - Accent1 2 4 3" xfId="4970" xr:uid="{00000000-0005-0000-0000-000002040000}"/>
    <cellStyle name="40% - Accent1 2 4 3 2" xfId="13399" xr:uid="{ED854755-3324-40C1-93A2-585066DCBF25}"/>
    <cellStyle name="40% - Accent1 2 4 3 3" xfId="26032" xr:uid="{70E3EC18-63BF-4C77-9EC8-18271E0220F8}"/>
    <cellStyle name="40% - Accent1 2 4 4" xfId="9181" xr:uid="{0673B3B1-E606-4EB5-800A-516B8FD9129C}"/>
    <cellStyle name="40% - Accent1 2 4 4 2" xfId="21821" xr:uid="{080B2533-BA3E-462A-8205-8D102C2D6537}"/>
    <cellStyle name="40% - Accent1 2 4 5" xfId="17610" xr:uid="{82D29C60-AFF4-40CE-A82A-6116E1BD3936}"/>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7D69BF29-FE1C-4B88-9206-8E1803A02204}"/>
    <cellStyle name="40% - Accent1 2 5 2 2 3" xfId="28590" xr:uid="{03AC9E42-464B-4422-85E4-090E6F69B9FF}"/>
    <cellStyle name="40% - Accent1 2 5 2 3" xfId="11739" xr:uid="{A55E0E12-EB09-4C30-9723-0BC824BC64DD}"/>
    <cellStyle name="40% - Accent1 2 5 2 3 2" xfId="24379" xr:uid="{6935397E-C48A-4E8C-A8E8-9163C6843B9D}"/>
    <cellStyle name="40% - Accent1 2 5 2 4" xfId="20168" xr:uid="{3E05A231-8B46-4639-9B06-224F35380BCC}"/>
    <cellStyle name="40% - Accent1 2 5 3" xfId="5383" xr:uid="{00000000-0005-0000-0000-000006040000}"/>
    <cellStyle name="40% - Accent1 2 5 3 2" xfId="13812" xr:uid="{1B3E3B9D-9CD8-4B93-8782-649DF8B1590A}"/>
    <cellStyle name="40% - Accent1 2 5 3 3" xfId="26445" xr:uid="{323FCDA8-5DFB-4461-B2D8-D7D4FECE1F96}"/>
    <cellStyle name="40% - Accent1 2 5 4" xfId="9594" xr:uid="{62DE3312-71FE-430E-AAAA-2888F9790DD1}"/>
    <cellStyle name="40% - Accent1 2 5 4 2" xfId="22234" xr:uid="{AF9FB5B8-5912-4348-BC86-4124AB5FB9B3}"/>
    <cellStyle name="40% - Accent1 2 5 5" xfId="18023" xr:uid="{381A902E-2486-450D-A701-1039F9C0FEC4}"/>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05F081E8-2624-4237-8E43-E697758B880C}"/>
    <cellStyle name="40% - Accent1 2 6 2 2 3" xfId="29003" xr:uid="{E7AF95A2-61D5-424D-A53E-81A81BE55C63}"/>
    <cellStyle name="40% - Accent1 2 6 2 3" xfId="12152" xr:uid="{A1B3F58F-EEE9-4D5F-8671-A26AE0712258}"/>
    <cellStyle name="40% - Accent1 2 6 2 3 2" xfId="24792" xr:uid="{E3CC80E8-7CC1-44D4-BEDA-96AFA3439060}"/>
    <cellStyle name="40% - Accent1 2 6 2 4" xfId="20581" xr:uid="{EA7B75C9-ED4C-4BB0-84A8-D782E89EE6CC}"/>
    <cellStyle name="40% - Accent1 2 6 3" xfId="5796" xr:uid="{00000000-0005-0000-0000-00000A040000}"/>
    <cellStyle name="40% - Accent1 2 6 3 2" xfId="14225" xr:uid="{41C4D426-05F9-4638-A38B-3C424A548A6C}"/>
    <cellStyle name="40% - Accent1 2 6 3 3" xfId="26858" xr:uid="{EA938BD7-4248-49A4-8760-A47B72A513D0}"/>
    <cellStyle name="40% - Accent1 2 6 4" xfId="10007" xr:uid="{7CE43CF1-E5A8-45E1-AA37-E4D1FAFA491F}"/>
    <cellStyle name="40% - Accent1 2 6 4 2" xfId="22647" xr:uid="{F1B9A9F4-DD36-4D44-8821-1A9EF82B50F2}"/>
    <cellStyle name="40% - Accent1 2 6 5" xfId="18436" xr:uid="{51368C78-0CBC-48FC-BC44-2E77D72CA835}"/>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A10772D7-A3C6-42D6-91A6-50550D6AAF7C}"/>
    <cellStyle name="40% - Accent1 2 7 2 2 3" xfId="29416" xr:uid="{FD6826B4-D434-4294-8E56-E0FF77F95785}"/>
    <cellStyle name="40% - Accent1 2 7 2 3" xfId="12565" xr:uid="{22686FE7-28EB-41E2-8F86-C5C9ED07FF5F}"/>
    <cellStyle name="40% - Accent1 2 7 2 3 2" xfId="25205" xr:uid="{4F05079C-CA1F-43D9-B7F0-2962EB0E9CF8}"/>
    <cellStyle name="40% - Accent1 2 7 2 4" xfId="20994" xr:uid="{98A1234C-55E9-4084-B648-BB88CB360948}"/>
    <cellStyle name="40% - Accent1 2 7 3" xfId="6209" xr:uid="{00000000-0005-0000-0000-00000E040000}"/>
    <cellStyle name="40% - Accent1 2 7 3 2" xfId="14638" xr:uid="{FACC5EBD-559C-4600-A71A-A269419753CA}"/>
    <cellStyle name="40% - Accent1 2 7 3 3" xfId="27271" xr:uid="{4FCEEAD6-4BAF-4B69-AC5D-BFDC9D69D2A9}"/>
    <cellStyle name="40% - Accent1 2 7 4" xfId="10420" xr:uid="{0F3F920D-F478-414D-AEEE-F611CC1EDAF8}"/>
    <cellStyle name="40% - Accent1 2 7 4 2" xfId="23060" xr:uid="{A32B9A42-07C6-4A07-AB42-081CFE024E25}"/>
    <cellStyle name="40% - Accent1 2 7 5" xfId="18849" xr:uid="{E3CEFD37-45B0-4641-BAA9-C22669ED16EE}"/>
    <cellStyle name="40% - Accent1 2 8" xfId="2314" xr:uid="{00000000-0005-0000-0000-00000F040000}"/>
    <cellStyle name="40% - Accent1 2 8 2" xfId="6622" xr:uid="{00000000-0005-0000-0000-000010040000}"/>
    <cellStyle name="40% - Accent1 2 8 2 2" xfId="15051" xr:uid="{539640EA-DACC-45AD-AC4F-2C01752F4663}"/>
    <cellStyle name="40% - Accent1 2 8 2 3" xfId="27684" xr:uid="{98B98F03-E432-4A3D-8E2D-258285E1929A}"/>
    <cellStyle name="40% - Accent1 2 8 3" xfId="10833" xr:uid="{4877D931-F36E-4CF0-B64A-A7B4C80F37C1}"/>
    <cellStyle name="40% - Accent1 2 8 3 2" xfId="23473" xr:uid="{A46C623C-ED3A-4383-A351-B70A92267BAC}"/>
    <cellStyle name="40% - Accent1 2 8 4" xfId="19262" xr:uid="{5DCDAE2E-A3FE-4038-9776-2A6C84422EF5}"/>
    <cellStyle name="40% - Accent1 2 9" xfId="4556" xr:uid="{00000000-0005-0000-0000-000011040000}"/>
    <cellStyle name="40% - Accent1 2 9 2" xfId="12985" xr:uid="{BE822EE9-65CC-4968-9EAF-BC527C738CC8}"/>
    <cellStyle name="40% - Accent1 2 9 3" xfId="25618" xr:uid="{30FA0451-1847-4D69-8729-A7F0DD4FB287}"/>
    <cellStyle name="40% - Accent1 3" xfId="54" xr:uid="{00000000-0005-0000-0000-000012040000}"/>
    <cellStyle name="40% - Accent1 3 10" xfId="17200" xr:uid="{64C4345F-AD03-46F4-B840-CF2F95C86A61}"/>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185ECB65-B876-42EC-ACBD-0DB12F482BE0}"/>
    <cellStyle name="40% - Accent1 3 2 2 2 2 3" xfId="28182" xr:uid="{D5B41B73-C2C1-4952-A457-974B5D7D38A5}"/>
    <cellStyle name="40% - Accent1 3 2 2 2 3" xfId="11331" xr:uid="{A3A4D6DC-B5EA-4FF0-B1D6-E87B069B29F8}"/>
    <cellStyle name="40% - Accent1 3 2 2 2 3 2" xfId="23971" xr:uid="{7700354B-5EB4-4A0D-B75F-1615ADAED281}"/>
    <cellStyle name="40% - Accent1 3 2 2 2 4" xfId="19760" xr:uid="{891D0F84-9370-4A68-A869-4B8461877C7C}"/>
    <cellStyle name="40% - Accent1 3 2 2 3" xfId="4975" xr:uid="{00000000-0005-0000-0000-000017040000}"/>
    <cellStyle name="40% - Accent1 3 2 2 3 2" xfId="13404" xr:uid="{67DC3ED1-4AE4-4DED-BA44-9D777202E61F}"/>
    <cellStyle name="40% - Accent1 3 2 2 3 3" xfId="26037" xr:uid="{1DF52967-BC8A-4FBD-AF1C-BB80F3787EE5}"/>
    <cellStyle name="40% - Accent1 3 2 2 4" xfId="9186" xr:uid="{65FE6D4D-9857-4E50-90E0-67DEC1004CCB}"/>
    <cellStyle name="40% - Accent1 3 2 2 4 2" xfId="21826" xr:uid="{118DE68F-F215-431B-A35D-6436AC46206A}"/>
    <cellStyle name="40% - Accent1 3 2 2 5" xfId="17615" xr:uid="{FDE25627-056D-4208-A993-CBEC9DFD1CA4}"/>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C2C61106-4CEF-453D-A8D5-FE756F08CFAD}"/>
    <cellStyle name="40% - Accent1 3 2 3 2 2 3" xfId="28595" xr:uid="{1DBE8C5B-FFF9-4C38-BD08-9FCFA037D97F}"/>
    <cellStyle name="40% - Accent1 3 2 3 2 3" xfId="11744" xr:uid="{3C5C9BC4-9AE5-4089-B182-3785B430618B}"/>
    <cellStyle name="40% - Accent1 3 2 3 2 3 2" xfId="24384" xr:uid="{E0C27B22-EA83-4D8C-ADAE-819463566EB2}"/>
    <cellStyle name="40% - Accent1 3 2 3 2 4" xfId="20173" xr:uid="{5C0DA141-7D29-41FA-8AE5-645809B41485}"/>
    <cellStyle name="40% - Accent1 3 2 3 3" xfId="5388" xr:uid="{00000000-0005-0000-0000-00001B040000}"/>
    <cellStyle name="40% - Accent1 3 2 3 3 2" xfId="13817" xr:uid="{56D5C3F0-14BC-4313-A843-E012B4851FB9}"/>
    <cellStyle name="40% - Accent1 3 2 3 3 3" xfId="26450" xr:uid="{9E2F11CF-2F86-421C-8F66-93552F62BB4D}"/>
    <cellStyle name="40% - Accent1 3 2 3 4" xfId="9599" xr:uid="{D9589792-1A78-4164-927B-A756F7A546B1}"/>
    <cellStyle name="40% - Accent1 3 2 3 4 2" xfId="22239" xr:uid="{B5924C84-7EC4-4374-A93C-AB067F94BAF3}"/>
    <cellStyle name="40% - Accent1 3 2 3 5" xfId="18028" xr:uid="{FD68934F-1A7F-40C3-AE27-53C3F75F12CC}"/>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E79B958B-1AE7-49E0-A347-A7FB16CFF433}"/>
    <cellStyle name="40% - Accent1 3 2 4 2 2 3" xfId="29008" xr:uid="{0E3C7D57-1403-4AA8-9689-6D3E00A73D35}"/>
    <cellStyle name="40% - Accent1 3 2 4 2 3" xfId="12157" xr:uid="{20ACF7AC-8948-49FD-9815-B03AD0CF2993}"/>
    <cellStyle name="40% - Accent1 3 2 4 2 3 2" xfId="24797" xr:uid="{A0189E0B-BF22-44B4-A182-07F6A2B113FF}"/>
    <cellStyle name="40% - Accent1 3 2 4 2 4" xfId="20586" xr:uid="{0330A762-40C0-486A-865A-63F2F2A24A2B}"/>
    <cellStyle name="40% - Accent1 3 2 4 3" xfId="5801" xr:uid="{00000000-0005-0000-0000-00001F040000}"/>
    <cellStyle name="40% - Accent1 3 2 4 3 2" xfId="14230" xr:uid="{158FB53F-692A-4CA5-BD0F-4C7D767A5979}"/>
    <cellStyle name="40% - Accent1 3 2 4 3 3" xfId="26863" xr:uid="{0AF868DD-4AAD-497E-800B-0B27076F2942}"/>
    <cellStyle name="40% - Accent1 3 2 4 4" xfId="10012" xr:uid="{F0D84ED0-2410-4DEC-B7A8-F07F418DF82D}"/>
    <cellStyle name="40% - Accent1 3 2 4 4 2" xfId="22652" xr:uid="{3F1AB535-FAF5-4633-8D5C-A159BF77CEA7}"/>
    <cellStyle name="40% - Accent1 3 2 4 5" xfId="18441" xr:uid="{25A7D4DE-FAC7-41B8-AA13-DFFDAB6A21EC}"/>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0F2E0524-C134-4B49-AC32-40285A681E39}"/>
    <cellStyle name="40% - Accent1 3 2 5 2 2 3" xfId="29421" xr:uid="{977ADABF-3614-4B7B-89C7-3C660E5628D8}"/>
    <cellStyle name="40% - Accent1 3 2 5 2 3" xfId="12570" xr:uid="{CFCB5417-63EC-4D3B-A8C2-72AB6A4A8E0A}"/>
    <cellStyle name="40% - Accent1 3 2 5 2 3 2" xfId="25210" xr:uid="{30E59264-A2AB-42B3-B14D-99163E024B33}"/>
    <cellStyle name="40% - Accent1 3 2 5 2 4" xfId="20999" xr:uid="{848DE6CA-52C6-4EEF-9700-F4EAC9D3163F}"/>
    <cellStyle name="40% - Accent1 3 2 5 3" xfId="6214" xr:uid="{00000000-0005-0000-0000-000023040000}"/>
    <cellStyle name="40% - Accent1 3 2 5 3 2" xfId="14643" xr:uid="{EA4EDC07-95B6-4C7A-AE25-55CDA61345F5}"/>
    <cellStyle name="40% - Accent1 3 2 5 3 3" xfId="27276" xr:uid="{B793EBEF-DC2E-4921-AA70-CE4BFCA10DE4}"/>
    <cellStyle name="40% - Accent1 3 2 5 4" xfId="10425" xr:uid="{9E3AE68B-486E-4534-9F12-588360F7D05F}"/>
    <cellStyle name="40% - Accent1 3 2 5 4 2" xfId="23065" xr:uid="{2DDF45F8-D823-4653-A36B-7116BB2B390C}"/>
    <cellStyle name="40% - Accent1 3 2 5 5" xfId="18854" xr:uid="{ADBC0B0D-9A29-4121-A0D4-D32C04B3050B}"/>
    <cellStyle name="40% - Accent1 3 2 6" xfId="2319" xr:uid="{00000000-0005-0000-0000-000024040000}"/>
    <cellStyle name="40% - Accent1 3 2 6 2" xfId="6627" xr:uid="{00000000-0005-0000-0000-000025040000}"/>
    <cellStyle name="40% - Accent1 3 2 6 2 2" xfId="15056" xr:uid="{D4A1BE1E-7BC5-4676-8602-C4FCA281DD7C}"/>
    <cellStyle name="40% - Accent1 3 2 6 2 3" xfId="27689" xr:uid="{1A4CCCEE-048D-4BFC-9228-590BBE464638}"/>
    <cellStyle name="40% - Accent1 3 2 6 3" xfId="10838" xr:uid="{FBE718AC-0623-4F7E-9E37-0593FA2CF034}"/>
    <cellStyle name="40% - Accent1 3 2 6 3 2" xfId="23478" xr:uid="{9E0DB7B9-0391-4CF4-8927-474803CD91C0}"/>
    <cellStyle name="40% - Accent1 3 2 6 4" xfId="19267" xr:uid="{BC920CF6-DFB2-4389-932C-FC4CCE9D8B77}"/>
    <cellStyle name="40% - Accent1 3 2 7" xfId="4561" xr:uid="{00000000-0005-0000-0000-000026040000}"/>
    <cellStyle name="40% - Accent1 3 2 7 2" xfId="12990" xr:uid="{633B9ACA-6B22-4D2B-A05D-41C7577D00C5}"/>
    <cellStyle name="40% - Accent1 3 2 7 3" xfId="25623" xr:uid="{7AD95DAF-96A1-405A-8243-CD23AC7DADA8}"/>
    <cellStyle name="40% - Accent1 3 2 8" xfId="8772" xr:uid="{F09C9D57-00AE-45B6-9EB5-4454BEEBF459}"/>
    <cellStyle name="40% - Accent1 3 2 8 2" xfId="21412" xr:uid="{8B389F5F-8CCD-44E0-A02B-8A928C11029A}"/>
    <cellStyle name="40% - Accent1 3 2 9" xfId="17201" xr:uid="{BE09D9E4-F2DF-4369-B1F7-DC4B988A8DE1}"/>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604754DD-9130-4F3D-B6A6-A577FA23100F}"/>
    <cellStyle name="40% - Accent1 3 3 2 2 3" xfId="28181" xr:uid="{51D27D8B-39B8-4249-805E-3469F522AF8C}"/>
    <cellStyle name="40% - Accent1 3 3 2 3" xfId="11330" xr:uid="{FA2D900A-9EAC-4437-8D1D-6BB21F9F73E5}"/>
    <cellStyle name="40% - Accent1 3 3 2 3 2" xfId="23970" xr:uid="{33F48E4D-3DE3-4D43-912C-92A193AD3450}"/>
    <cellStyle name="40% - Accent1 3 3 2 4" xfId="19759" xr:uid="{440AD196-9408-42DC-B492-731C2B5C0950}"/>
    <cellStyle name="40% - Accent1 3 3 3" xfId="4974" xr:uid="{00000000-0005-0000-0000-00002A040000}"/>
    <cellStyle name="40% - Accent1 3 3 3 2" xfId="13403" xr:uid="{6021F14C-7B02-44DA-9917-CB402B8916C6}"/>
    <cellStyle name="40% - Accent1 3 3 3 3" xfId="26036" xr:uid="{D81E8B2B-F259-47B5-92CD-C3164A5E6AA8}"/>
    <cellStyle name="40% - Accent1 3 3 4" xfId="9185" xr:uid="{51F64400-CAFB-46CC-8FF8-547262BB57D2}"/>
    <cellStyle name="40% - Accent1 3 3 4 2" xfId="21825" xr:uid="{0CE16E19-5C05-470E-8C18-BEA244F08B24}"/>
    <cellStyle name="40% - Accent1 3 3 5" xfId="17614" xr:uid="{F8FEFA74-D007-409D-98E3-FB0FDC9407C6}"/>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D9303E85-F01E-47CA-9EC2-4519C01FAD97}"/>
    <cellStyle name="40% - Accent1 3 4 2 2 3" xfId="28594" xr:uid="{D11AC8F5-E40C-4DDA-BB42-EE97FC2E34DF}"/>
    <cellStyle name="40% - Accent1 3 4 2 3" xfId="11743" xr:uid="{7DC12C25-DACF-41CE-B198-E5518640280A}"/>
    <cellStyle name="40% - Accent1 3 4 2 3 2" xfId="24383" xr:uid="{091AC38B-EDA2-47F0-80AB-1D17B0962355}"/>
    <cellStyle name="40% - Accent1 3 4 2 4" xfId="20172" xr:uid="{CD898B2E-884B-4EAD-B864-3F2774AF1A3D}"/>
    <cellStyle name="40% - Accent1 3 4 3" xfId="5387" xr:uid="{00000000-0005-0000-0000-00002E040000}"/>
    <cellStyle name="40% - Accent1 3 4 3 2" xfId="13816" xr:uid="{94650277-FA34-4460-AF20-0B16D3C6C56A}"/>
    <cellStyle name="40% - Accent1 3 4 3 3" xfId="26449" xr:uid="{326B9DA5-8199-479C-970F-C40D80BFB421}"/>
    <cellStyle name="40% - Accent1 3 4 4" xfId="9598" xr:uid="{5707736D-F2F8-4680-B4AD-3D5FF06BFFDD}"/>
    <cellStyle name="40% - Accent1 3 4 4 2" xfId="22238" xr:uid="{A8C46CB8-D92B-4120-A8AF-67A6E289F3EB}"/>
    <cellStyle name="40% - Accent1 3 4 5" xfId="18027" xr:uid="{D2FB573F-7ADA-48B5-8B9A-ECFAB21221D7}"/>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D319A643-1514-4C94-9D1D-D2893D288179}"/>
    <cellStyle name="40% - Accent1 3 5 2 2 3" xfId="29007" xr:uid="{CF45728A-A559-4BC2-A3E2-2E5BC2389AAD}"/>
    <cellStyle name="40% - Accent1 3 5 2 3" xfId="12156" xr:uid="{1E50C61E-1127-4407-89E0-A9E35732AD5C}"/>
    <cellStyle name="40% - Accent1 3 5 2 3 2" xfId="24796" xr:uid="{38A577FB-2420-4860-A873-C1736B985B9A}"/>
    <cellStyle name="40% - Accent1 3 5 2 4" xfId="20585" xr:uid="{D300F1FF-F068-4AB9-AACD-D51D948EBAAC}"/>
    <cellStyle name="40% - Accent1 3 5 3" xfId="5800" xr:uid="{00000000-0005-0000-0000-000032040000}"/>
    <cellStyle name="40% - Accent1 3 5 3 2" xfId="14229" xr:uid="{02603B21-6BAD-44FE-97F6-A6B053FD5159}"/>
    <cellStyle name="40% - Accent1 3 5 3 3" xfId="26862" xr:uid="{B7325C63-30CB-4C80-8F61-A30E58D73C14}"/>
    <cellStyle name="40% - Accent1 3 5 4" xfId="10011" xr:uid="{79B9BC93-9206-4B9E-BF75-EE1990869E3B}"/>
    <cellStyle name="40% - Accent1 3 5 4 2" xfId="22651" xr:uid="{6BADDA9E-AF13-46A2-A4D8-68AF7C547774}"/>
    <cellStyle name="40% - Accent1 3 5 5" xfId="18440" xr:uid="{006A0B81-6C6D-4EE5-969F-64C4F0D9F4D3}"/>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AFD6DE46-B412-4FAE-9789-5DAC49391A67}"/>
    <cellStyle name="40% - Accent1 3 6 2 2 3" xfId="29420" xr:uid="{2BF3CA7F-DD4E-4FFA-9797-7E7E2E3021C1}"/>
    <cellStyle name="40% - Accent1 3 6 2 3" xfId="12569" xr:uid="{B4021DCB-42A0-458E-BE6E-05FFEC9D93B2}"/>
    <cellStyle name="40% - Accent1 3 6 2 3 2" xfId="25209" xr:uid="{DED109F1-7152-43F5-8259-8C897A60AB4C}"/>
    <cellStyle name="40% - Accent1 3 6 2 4" xfId="20998" xr:uid="{3756EE53-3AED-4565-8DE1-58AB3DED1234}"/>
    <cellStyle name="40% - Accent1 3 6 3" xfId="6213" xr:uid="{00000000-0005-0000-0000-000036040000}"/>
    <cellStyle name="40% - Accent1 3 6 3 2" xfId="14642" xr:uid="{537C5FE5-19F6-4DCC-B6F3-D91FE21FF852}"/>
    <cellStyle name="40% - Accent1 3 6 3 3" xfId="27275" xr:uid="{A53D5BDE-2D4A-428A-929D-752702E63B14}"/>
    <cellStyle name="40% - Accent1 3 6 4" xfId="10424" xr:uid="{28119F35-B85A-4F00-ABA2-6F0A64F0C167}"/>
    <cellStyle name="40% - Accent1 3 6 4 2" xfId="23064" xr:uid="{9CAF7CDD-8D42-40D7-8F15-9923E7ABCB36}"/>
    <cellStyle name="40% - Accent1 3 6 5" xfId="18853" xr:uid="{F8F3B313-CB43-46B3-A2ED-212340DD80AD}"/>
    <cellStyle name="40% - Accent1 3 7" xfId="2318" xr:uid="{00000000-0005-0000-0000-000037040000}"/>
    <cellStyle name="40% - Accent1 3 7 2" xfId="6626" xr:uid="{00000000-0005-0000-0000-000038040000}"/>
    <cellStyle name="40% - Accent1 3 7 2 2" xfId="15055" xr:uid="{FA905180-8CDF-43CD-A778-2036A66FEB8E}"/>
    <cellStyle name="40% - Accent1 3 7 2 3" xfId="27688" xr:uid="{CB309CD3-5CD0-457C-AE0D-3BC201C786EA}"/>
    <cellStyle name="40% - Accent1 3 7 3" xfId="10837" xr:uid="{785726C4-8110-49C6-9394-0D98875FC938}"/>
    <cellStyle name="40% - Accent1 3 7 3 2" xfId="23477" xr:uid="{1301DA10-BD75-45BE-9BF4-7CF871CA2B4A}"/>
    <cellStyle name="40% - Accent1 3 7 4" xfId="19266" xr:uid="{84623ABE-5BCD-4544-BE1B-E8535F437F9F}"/>
    <cellStyle name="40% - Accent1 3 8" xfId="4560" xr:uid="{00000000-0005-0000-0000-000039040000}"/>
    <cellStyle name="40% - Accent1 3 8 2" xfId="12989" xr:uid="{F1FC008F-A20F-4945-9A3A-C1DDFFB6D491}"/>
    <cellStyle name="40% - Accent1 3 8 3" xfId="25622" xr:uid="{55449114-1028-4713-811D-703367F05862}"/>
    <cellStyle name="40% - Accent1 3 9" xfId="8771" xr:uid="{F1ADE492-373E-4EBA-902D-734A9EE33140}"/>
    <cellStyle name="40% - Accent1 3 9 2" xfId="21411" xr:uid="{19A82F15-B00D-4C2D-8488-DC87D42EF34B}"/>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B17A65AF-34CD-4559-A929-718A049C49FE}"/>
    <cellStyle name="40% - Accent1 4 2 2 2 3" xfId="28183" xr:uid="{69834A15-4FCA-4F48-B112-3657D90B7774}"/>
    <cellStyle name="40% - Accent1 4 2 2 3" xfId="11332" xr:uid="{E77A5525-EE65-455F-8782-A0455F5E575A}"/>
    <cellStyle name="40% - Accent1 4 2 2 3 2" xfId="23972" xr:uid="{E69993A5-8545-47EC-B895-FE220D9FE919}"/>
    <cellStyle name="40% - Accent1 4 2 2 4" xfId="19761" xr:uid="{AE05A4B7-0D94-408F-8B2E-9003BD312A9E}"/>
    <cellStyle name="40% - Accent1 4 2 3" xfId="4976" xr:uid="{00000000-0005-0000-0000-00003E040000}"/>
    <cellStyle name="40% - Accent1 4 2 3 2" xfId="13405" xr:uid="{76C71B58-D2D8-483E-9CBF-0C9F1A7324A1}"/>
    <cellStyle name="40% - Accent1 4 2 3 3" xfId="26038" xr:uid="{14BEAE4C-4806-4FAA-AD2C-A34FD9AD7B52}"/>
    <cellStyle name="40% - Accent1 4 2 4" xfId="9187" xr:uid="{ECEC74EF-0C9C-4309-B3D9-15B4B01ACDDF}"/>
    <cellStyle name="40% - Accent1 4 2 4 2" xfId="21827" xr:uid="{4FD41363-2D50-4DA6-96F9-299D3FCBD21B}"/>
    <cellStyle name="40% - Accent1 4 2 5" xfId="17616" xr:uid="{B22EDD8D-C445-49DE-BDDC-235842B4979F}"/>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664079CE-9C3B-4232-B575-514561D075DB}"/>
    <cellStyle name="40% - Accent1 4 3 2 2 3" xfId="28596" xr:uid="{96342350-87EB-440B-9894-0976463A7CE9}"/>
    <cellStyle name="40% - Accent1 4 3 2 3" xfId="11745" xr:uid="{3835510C-55A4-4FE2-B4E0-E29FDCC449F5}"/>
    <cellStyle name="40% - Accent1 4 3 2 3 2" xfId="24385" xr:uid="{B97867DE-29E4-4776-A8CD-2B41DBFFBF73}"/>
    <cellStyle name="40% - Accent1 4 3 2 4" xfId="20174" xr:uid="{7CE13BDF-5854-48C5-8B60-167F38B8D3B7}"/>
    <cellStyle name="40% - Accent1 4 3 3" xfId="5389" xr:uid="{00000000-0005-0000-0000-000042040000}"/>
    <cellStyle name="40% - Accent1 4 3 3 2" xfId="13818" xr:uid="{C124BEBE-FCF4-4DEE-B40D-8CA85DC3811C}"/>
    <cellStyle name="40% - Accent1 4 3 3 3" xfId="26451" xr:uid="{2E72EFCD-FB98-4D65-8C91-4F0F542EF53E}"/>
    <cellStyle name="40% - Accent1 4 3 4" xfId="9600" xr:uid="{BEACF659-7E47-4162-9F62-BFD79A033E82}"/>
    <cellStyle name="40% - Accent1 4 3 4 2" xfId="22240" xr:uid="{FBBC0FD5-4B4F-41DE-9164-AC4DA91D3122}"/>
    <cellStyle name="40% - Accent1 4 3 5" xfId="18029" xr:uid="{2248AA6F-F0FA-4AEA-B3A2-F592EADF54C1}"/>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37D909A6-6D7B-48D2-BA0D-4505A7388230}"/>
    <cellStyle name="40% - Accent1 4 4 2 2 3" xfId="29009" xr:uid="{0CA470BD-E7E6-4919-AB57-00C8273338A1}"/>
    <cellStyle name="40% - Accent1 4 4 2 3" xfId="12158" xr:uid="{9499820A-E764-4375-8640-2BFFB476E7B0}"/>
    <cellStyle name="40% - Accent1 4 4 2 3 2" xfId="24798" xr:uid="{939BED5A-A73B-4B0F-9866-6681B3B30763}"/>
    <cellStyle name="40% - Accent1 4 4 2 4" xfId="20587" xr:uid="{3100F36E-16E2-45FB-A25F-38108EB6E796}"/>
    <cellStyle name="40% - Accent1 4 4 3" xfId="5802" xr:uid="{00000000-0005-0000-0000-000046040000}"/>
    <cellStyle name="40% - Accent1 4 4 3 2" xfId="14231" xr:uid="{643D25B8-6F3A-4CFC-82CD-51A80E992C4C}"/>
    <cellStyle name="40% - Accent1 4 4 3 3" xfId="26864" xr:uid="{545B5461-117F-4608-9F39-BABEA6265E3F}"/>
    <cellStyle name="40% - Accent1 4 4 4" xfId="10013" xr:uid="{795983FC-A604-48ED-873A-5E17EB852234}"/>
    <cellStyle name="40% - Accent1 4 4 4 2" xfId="22653" xr:uid="{A67DDF5A-0B8D-469C-A2A8-7BC7E170377A}"/>
    <cellStyle name="40% - Accent1 4 4 5" xfId="18442" xr:uid="{62F27E9D-0A64-4767-AC34-2BC99A833DCD}"/>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1DC85621-4019-4CD0-9459-D4C34AE1E938}"/>
    <cellStyle name="40% - Accent1 4 5 2 2 3" xfId="29422" xr:uid="{B970F25B-0A67-4D68-9F75-6EDF0E2020FD}"/>
    <cellStyle name="40% - Accent1 4 5 2 3" xfId="12571" xr:uid="{CECFE957-F124-408B-BB85-461DF1D716DA}"/>
    <cellStyle name="40% - Accent1 4 5 2 3 2" xfId="25211" xr:uid="{43E3FE08-878B-4A34-ADA2-AD9508503EF4}"/>
    <cellStyle name="40% - Accent1 4 5 2 4" xfId="21000" xr:uid="{35F0B5D3-EE7A-44DF-A80A-0109773D2828}"/>
    <cellStyle name="40% - Accent1 4 5 3" xfId="6215" xr:uid="{00000000-0005-0000-0000-00004A040000}"/>
    <cellStyle name="40% - Accent1 4 5 3 2" xfId="14644" xr:uid="{BCE03C15-8BBF-4762-B4AA-16F57DBC2472}"/>
    <cellStyle name="40% - Accent1 4 5 3 3" xfId="27277" xr:uid="{F706F074-4D3D-465B-8E09-B5D1D05F9DF5}"/>
    <cellStyle name="40% - Accent1 4 5 4" xfId="10426" xr:uid="{C2E215BD-8CC6-47DA-AD49-0CC7DE548B74}"/>
    <cellStyle name="40% - Accent1 4 5 4 2" xfId="23066" xr:uid="{F93107C2-0447-40F0-B127-1E9B08A66FB7}"/>
    <cellStyle name="40% - Accent1 4 5 5" xfId="18855" xr:uid="{6EADD08F-B77B-4B31-806C-E1B915D47005}"/>
    <cellStyle name="40% - Accent1 4 6" xfId="2320" xr:uid="{00000000-0005-0000-0000-00004B040000}"/>
    <cellStyle name="40% - Accent1 4 6 2" xfId="6628" xr:uid="{00000000-0005-0000-0000-00004C040000}"/>
    <cellStyle name="40% - Accent1 4 6 2 2" xfId="15057" xr:uid="{259CCB3F-68F2-46B0-9760-FA6D6E6C6612}"/>
    <cellStyle name="40% - Accent1 4 6 2 3" xfId="27690" xr:uid="{7C47D90E-AE21-49BA-AEA9-07F4C2E80EE0}"/>
    <cellStyle name="40% - Accent1 4 6 3" xfId="10839" xr:uid="{36C2D462-FF4E-4886-82FE-682241763B6D}"/>
    <cellStyle name="40% - Accent1 4 6 3 2" xfId="23479" xr:uid="{498CE748-8C64-485A-9C11-C155E48B0932}"/>
    <cellStyle name="40% - Accent1 4 6 4" xfId="19268" xr:uid="{B4B7ACCF-AA7E-4562-B109-60A85CFD3CEA}"/>
    <cellStyle name="40% - Accent1 4 7" xfId="4562" xr:uid="{00000000-0005-0000-0000-00004D040000}"/>
    <cellStyle name="40% - Accent1 4 7 2" xfId="12991" xr:uid="{D18F5405-B08A-4421-BDE0-E5C1954281F8}"/>
    <cellStyle name="40% - Accent1 4 7 3" xfId="25624" xr:uid="{19A246CC-10FC-41A0-AC8F-370FC87C955A}"/>
    <cellStyle name="40% - Accent1 4 8" xfId="8773" xr:uid="{56BFE52B-A48F-494B-BFCB-50AA24B76BC3}"/>
    <cellStyle name="40% - Accent1 4 8 2" xfId="21413" xr:uid="{79E5C515-3FC4-4C9C-A2F9-D5E67A644651}"/>
    <cellStyle name="40% - Accent1 4 9" xfId="17202" xr:uid="{EB70977F-FF7F-4DAD-9F0D-173FE4AF7AB1}"/>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4EC4525F-9826-42E1-932C-308DB60538ED}"/>
    <cellStyle name="40% - Accent1 5 2 2 3" xfId="28176" xr:uid="{BA59995C-2208-46B7-BDC5-7F4344A55843}"/>
    <cellStyle name="40% - Accent1 5 2 3" xfId="11325" xr:uid="{D1E58B5F-7763-4E78-9BF7-ABA8C98A65A2}"/>
    <cellStyle name="40% - Accent1 5 2 3 2" xfId="23965" xr:uid="{B4CCEB30-78E9-42A3-ADFC-2C4E29FAD7ED}"/>
    <cellStyle name="40% - Accent1 5 2 4" xfId="19754" xr:uid="{33BA1DD4-9A94-491D-B5E6-798570F27FF8}"/>
    <cellStyle name="40% - Accent1 5 3" xfId="4969" xr:uid="{00000000-0005-0000-0000-000051040000}"/>
    <cellStyle name="40% - Accent1 5 3 2" xfId="13398" xr:uid="{B47FC8C8-9270-42DD-821A-EC8AF489480D}"/>
    <cellStyle name="40% - Accent1 5 3 3" xfId="26031" xr:uid="{5811F389-21A7-49E7-AE3A-FABAB25CC225}"/>
    <cellStyle name="40% - Accent1 5 4" xfId="9180" xr:uid="{F02C92AA-3792-4670-9E71-9732E9EB1F3C}"/>
    <cellStyle name="40% - Accent1 5 4 2" xfId="21820" xr:uid="{302008BB-44F2-4815-A6F0-E2A03446563C}"/>
    <cellStyle name="40% - Accent1 5 5" xfId="17609" xr:uid="{49AD920A-2E4D-4DD7-AF93-97D2618AEAC4}"/>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6A1476F5-49C9-4F04-891C-2763B5BE7931}"/>
    <cellStyle name="40% - Accent1 6 2 2 3" xfId="28589" xr:uid="{0F667D15-1DF3-44F6-8492-9B2673502B11}"/>
    <cellStyle name="40% - Accent1 6 2 3" xfId="11738" xr:uid="{68977C06-298C-4D91-832A-38DC3F2AD02E}"/>
    <cellStyle name="40% - Accent1 6 2 3 2" xfId="24378" xr:uid="{E6AF4F56-05D1-44DA-AF91-D77B57F20F8E}"/>
    <cellStyle name="40% - Accent1 6 2 4" xfId="20167" xr:uid="{3603F764-FC3A-40C8-987D-7C3BE173DA56}"/>
    <cellStyle name="40% - Accent1 6 3" xfId="5382" xr:uid="{00000000-0005-0000-0000-000055040000}"/>
    <cellStyle name="40% - Accent1 6 3 2" xfId="13811" xr:uid="{E1E38EE3-F59E-4731-B572-C5A2DA8E5ED4}"/>
    <cellStyle name="40% - Accent1 6 3 3" xfId="26444" xr:uid="{2D23236E-F95E-4AF2-A933-48FF706CF801}"/>
    <cellStyle name="40% - Accent1 6 4" xfId="9593" xr:uid="{87A8360A-98B7-4603-9130-704FFF2A8296}"/>
    <cellStyle name="40% - Accent1 6 4 2" xfId="22233" xr:uid="{A603F0BE-708A-4DBD-875A-214DA11A3861}"/>
    <cellStyle name="40% - Accent1 6 5" xfId="18022" xr:uid="{E046113F-8CFC-4533-B755-7AE1894781E1}"/>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1F17654D-6B4E-43F1-9C7B-759D1ABB2DD3}"/>
    <cellStyle name="40% - Accent1 7 2 2 3" xfId="29002" xr:uid="{1484908D-9266-4A40-A427-5A20A534ABFC}"/>
    <cellStyle name="40% - Accent1 7 2 3" xfId="12151" xr:uid="{8A0C7B33-108A-4703-BDBD-111807870B1D}"/>
    <cellStyle name="40% - Accent1 7 2 3 2" xfId="24791" xr:uid="{1031353E-0233-4968-A6E8-C0FF5EBE842D}"/>
    <cellStyle name="40% - Accent1 7 2 4" xfId="20580" xr:uid="{74CD88E6-4C62-48F1-A8AE-06111505DA3A}"/>
    <cellStyle name="40% - Accent1 7 3" xfId="5795" xr:uid="{00000000-0005-0000-0000-000059040000}"/>
    <cellStyle name="40% - Accent1 7 3 2" xfId="14224" xr:uid="{587A360F-EB87-4634-86F2-F38B93C803C9}"/>
    <cellStyle name="40% - Accent1 7 3 3" xfId="26857" xr:uid="{E5C688EC-66DA-430C-9111-0C643F6F4E3B}"/>
    <cellStyle name="40% - Accent1 7 4" xfId="10006" xr:uid="{818761E0-6B17-48CE-A3EC-5BFCB9B23D97}"/>
    <cellStyle name="40% - Accent1 7 4 2" xfId="22646" xr:uid="{1D7908C1-3BF6-4573-BC8D-D5A233D4F722}"/>
    <cellStyle name="40% - Accent1 7 5" xfId="18435" xr:uid="{16135986-E79D-4903-8496-9592836F756B}"/>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D03CE72D-DE7C-41DC-B9B3-E66F6DF204AD}"/>
    <cellStyle name="40% - Accent1 8 2 2 3" xfId="29415" xr:uid="{DFA18AE1-3548-470C-82C7-B348EA3E4F57}"/>
    <cellStyle name="40% - Accent1 8 2 3" xfId="12564" xr:uid="{BBFE074D-091A-4995-9C7D-1D1E24292316}"/>
    <cellStyle name="40% - Accent1 8 2 3 2" xfId="25204" xr:uid="{D458192B-B68D-4E25-B9A6-B9721D4E6029}"/>
    <cellStyle name="40% - Accent1 8 2 4" xfId="20993" xr:uid="{58944AFB-7934-43EF-9B23-CC3070EC2A05}"/>
    <cellStyle name="40% - Accent1 8 3" xfId="6208" xr:uid="{00000000-0005-0000-0000-00005D040000}"/>
    <cellStyle name="40% - Accent1 8 3 2" xfId="14637" xr:uid="{FCC501A2-962E-4196-8FC8-7DFBF8EC1BE5}"/>
    <cellStyle name="40% - Accent1 8 3 3" xfId="27270" xr:uid="{4322497D-7BA3-47EB-9D14-31AA6C0DAFE4}"/>
    <cellStyle name="40% - Accent1 8 4" xfId="10419" xr:uid="{7D8E30DA-4E68-4145-825C-9D9E13616BA3}"/>
    <cellStyle name="40% - Accent1 8 4 2" xfId="23059" xr:uid="{394FA84B-4161-48FD-8A61-D222DEE2E071}"/>
    <cellStyle name="40% - Accent1 8 5" xfId="18848" xr:uid="{2A1145AB-E7E6-4FED-A2C1-45E39FBDFA21}"/>
    <cellStyle name="40% - Accent1 9" xfId="2313" xr:uid="{00000000-0005-0000-0000-00005E040000}"/>
    <cellStyle name="40% - Accent1 9 2" xfId="6621" xr:uid="{00000000-0005-0000-0000-00005F040000}"/>
    <cellStyle name="40% - Accent1 9 2 2" xfId="15050" xr:uid="{36F9B0AE-9BF1-4E9D-A9B9-69C72FA17C6F}"/>
    <cellStyle name="40% - Accent1 9 2 3" xfId="27683" xr:uid="{AB290495-9F85-40E2-8EE5-AA5DAEF7D638}"/>
    <cellStyle name="40% - Accent1 9 3" xfId="10832" xr:uid="{B23BE753-E976-47F9-A9C7-5FE2A418726A}"/>
    <cellStyle name="40% - Accent1 9 3 2" xfId="23472" xr:uid="{0D2EA5F5-B69F-44E9-A282-E0470221962E}"/>
    <cellStyle name="40% - Accent1 9 4" xfId="19261" xr:uid="{D03E8700-BDBF-4398-B76F-4755397EA95E}"/>
    <cellStyle name="40% - Accent2" xfId="57" builtinId="35" customBuiltin="1"/>
    <cellStyle name="40% - Accent2 10" xfId="4563" xr:uid="{00000000-0005-0000-0000-000061040000}"/>
    <cellStyle name="40% - Accent2 10 2" xfId="12992" xr:uid="{D964AC23-14CC-4D98-9974-A304F3B7A9C9}"/>
    <cellStyle name="40% - Accent2 10 3" xfId="25625" xr:uid="{80D7EFCE-E0CA-4015-9FF3-5990625A509D}"/>
    <cellStyle name="40% - Accent2 11" xfId="8774" xr:uid="{B133B8ED-ADF6-4FFF-A640-C20B7C497215}"/>
    <cellStyle name="40% - Accent2 11 2" xfId="21414" xr:uid="{90EA5E18-D52E-43F6-AC17-EA9992E745EE}"/>
    <cellStyle name="40% - Accent2 12" xfId="17203" xr:uid="{A92E3393-190E-4559-98A7-E73B127A3678}"/>
    <cellStyle name="40% - Accent2 2" xfId="58" xr:uid="{00000000-0005-0000-0000-000062040000}"/>
    <cellStyle name="40% - Accent2 2 10" xfId="8775" xr:uid="{FEC9B26F-CCE9-4A7A-B626-B0EC91FE6FDB}"/>
    <cellStyle name="40% - Accent2 2 10 2" xfId="21415" xr:uid="{42F0B363-28EE-4504-8BCC-0D8B4EF52AA5}"/>
    <cellStyle name="40% - Accent2 2 11" xfId="17204" xr:uid="{155DBC04-4535-4580-BF6C-8C869C0C13E9}"/>
    <cellStyle name="40% - Accent2 2 2" xfId="59" xr:uid="{00000000-0005-0000-0000-000063040000}"/>
    <cellStyle name="40% - Accent2 2 2 10" xfId="17205" xr:uid="{8A1F2649-0023-49E5-899C-C434919D71DE}"/>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4B7A8BAF-64AF-48E0-B675-AFED3FCA4FE5}"/>
    <cellStyle name="40% - Accent2 2 2 2 2 2 2 3" xfId="28187" xr:uid="{F70E0D43-F879-4110-8990-201DCC77417C}"/>
    <cellStyle name="40% - Accent2 2 2 2 2 2 3" xfId="11336" xr:uid="{2250A46D-B5C6-47EC-9DC5-4D82BBC564B2}"/>
    <cellStyle name="40% - Accent2 2 2 2 2 2 3 2" xfId="23976" xr:uid="{A504D376-856E-4629-AD92-7639847C6BFE}"/>
    <cellStyle name="40% - Accent2 2 2 2 2 2 4" xfId="19765" xr:uid="{B4C1F3EE-064A-4480-AA6B-0285D76B5D9B}"/>
    <cellStyle name="40% - Accent2 2 2 2 2 3" xfId="4980" xr:uid="{00000000-0005-0000-0000-000068040000}"/>
    <cellStyle name="40% - Accent2 2 2 2 2 3 2" xfId="13409" xr:uid="{CE43E0DD-74AD-499A-B2EB-681204DF45FB}"/>
    <cellStyle name="40% - Accent2 2 2 2 2 3 3" xfId="26042" xr:uid="{2830A039-5B3E-4D3F-817A-3954D63735C5}"/>
    <cellStyle name="40% - Accent2 2 2 2 2 4" xfId="9191" xr:uid="{81EA5050-C887-4CCA-9073-E7239FAA2DD7}"/>
    <cellStyle name="40% - Accent2 2 2 2 2 4 2" xfId="21831" xr:uid="{297B489C-121E-4979-B06E-1652B73547F7}"/>
    <cellStyle name="40% - Accent2 2 2 2 2 5" xfId="17620" xr:uid="{C2BAA68B-1156-4DEA-82E8-CB8B9BC384A6}"/>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D5DC911C-BF2B-4199-B54F-9F18AE048880}"/>
    <cellStyle name="40% - Accent2 2 2 2 3 2 2 3" xfId="28600" xr:uid="{E4ED3033-B2F2-4636-B89D-EF9D425575AC}"/>
    <cellStyle name="40% - Accent2 2 2 2 3 2 3" xfId="11749" xr:uid="{EDCC2592-4B5A-4688-869F-70BE60A16F8C}"/>
    <cellStyle name="40% - Accent2 2 2 2 3 2 3 2" xfId="24389" xr:uid="{2E277CCE-C79E-4BA4-B057-FF59F13711DE}"/>
    <cellStyle name="40% - Accent2 2 2 2 3 2 4" xfId="20178" xr:uid="{3F231078-9E01-491B-B6B7-B1DAB9CC3632}"/>
    <cellStyle name="40% - Accent2 2 2 2 3 3" xfId="5393" xr:uid="{00000000-0005-0000-0000-00006C040000}"/>
    <cellStyle name="40% - Accent2 2 2 2 3 3 2" xfId="13822" xr:uid="{08E64F83-9EF9-4A5E-BE1F-CE9E39EE671D}"/>
    <cellStyle name="40% - Accent2 2 2 2 3 3 3" xfId="26455" xr:uid="{74480DB8-90D8-406B-BF05-974F241F6642}"/>
    <cellStyle name="40% - Accent2 2 2 2 3 4" xfId="9604" xr:uid="{EFA14683-A5EA-4755-BD5F-5A7E56643964}"/>
    <cellStyle name="40% - Accent2 2 2 2 3 4 2" xfId="22244" xr:uid="{50A16FE2-A0BC-4FE5-B95C-AD77B1A9367C}"/>
    <cellStyle name="40% - Accent2 2 2 2 3 5" xfId="18033" xr:uid="{70A9D908-036D-43BA-BC00-53EB43F8C945}"/>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F54D6706-E178-4AA9-A7D9-92C0426DD3E4}"/>
    <cellStyle name="40% - Accent2 2 2 2 4 2 2 3" xfId="29013" xr:uid="{8E724785-F2E4-4E55-8B1F-3D0B110E8884}"/>
    <cellStyle name="40% - Accent2 2 2 2 4 2 3" xfId="12162" xr:uid="{4C49871E-9CF2-4D1E-A80D-21132697484A}"/>
    <cellStyle name="40% - Accent2 2 2 2 4 2 3 2" xfId="24802" xr:uid="{0B328B23-DC61-4030-B0BE-E5071553E51D}"/>
    <cellStyle name="40% - Accent2 2 2 2 4 2 4" xfId="20591" xr:uid="{FA285816-9916-4DFD-8D8C-F81FFDE1B6B4}"/>
    <cellStyle name="40% - Accent2 2 2 2 4 3" xfId="5806" xr:uid="{00000000-0005-0000-0000-000070040000}"/>
    <cellStyle name="40% - Accent2 2 2 2 4 3 2" xfId="14235" xr:uid="{AA37A360-60DF-45F0-9894-AF95079614F8}"/>
    <cellStyle name="40% - Accent2 2 2 2 4 3 3" xfId="26868" xr:uid="{84FDD8F6-D346-4D5B-8004-49DC2C736E77}"/>
    <cellStyle name="40% - Accent2 2 2 2 4 4" xfId="10017" xr:uid="{B218D659-4830-4A6E-9892-51A8106451D8}"/>
    <cellStyle name="40% - Accent2 2 2 2 4 4 2" xfId="22657" xr:uid="{0BD22DA3-2E28-412F-9256-F44593F3B38A}"/>
    <cellStyle name="40% - Accent2 2 2 2 4 5" xfId="18446" xr:uid="{D43CAFB5-1213-41A3-B9D5-83962D897E06}"/>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E650FCD9-7B79-4AFB-8FF3-3B0B9A4D524D}"/>
    <cellStyle name="40% - Accent2 2 2 2 5 2 2 3" xfId="29426" xr:uid="{8C0CB1D5-53C8-4B22-BAC6-EC746CE9FA31}"/>
    <cellStyle name="40% - Accent2 2 2 2 5 2 3" xfId="12575" xr:uid="{EF77C589-5509-4023-AFBB-6F458AF55CBC}"/>
    <cellStyle name="40% - Accent2 2 2 2 5 2 3 2" xfId="25215" xr:uid="{8D17E6B7-356B-49C0-87D2-89255E5D8080}"/>
    <cellStyle name="40% - Accent2 2 2 2 5 2 4" xfId="21004" xr:uid="{7B2511AB-20E7-44CC-9A97-378E10835F40}"/>
    <cellStyle name="40% - Accent2 2 2 2 5 3" xfId="6219" xr:uid="{00000000-0005-0000-0000-000074040000}"/>
    <cellStyle name="40% - Accent2 2 2 2 5 3 2" xfId="14648" xr:uid="{8810DEBA-589B-4AC6-B6E0-87A3A44EEE1D}"/>
    <cellStyle name="40% - Accent2 2 2 2 5 3 3" xfId="27281" xr:uid="{9CC079A0-FF57-46A7-AA9C-C3E82CD6331E}"/>
    <cellStyle name="40% - Accent2 2 2 2 5 4" xfId="10430" xr:uid="{B6411284-E011-4E3A-8AE0-37949D7DACB0}"/>
    <cellStyle name="40% - Accent2 2 2 2 5 4 2" xfId="23070" xr:uid="{60D70581-F84A-45B6-8261-626B8A2F1AE2}"/>
    <cellStyle name="40% - Accent2 2 2 2 5 5" xfId="18859" xr:uid="{958DBBE0-40BC-4D03-B46B-21AD9CB57F5A}"/>
    <cellStyle name="40% - Accent2 2 2 2 6" xfId="2324" xr:uid="{00000000-0005-0000-0000-000075040000}"/>
    <cellStyle name="40% - Accent2 2 2 2 6 2" xfId="6632" xr:uid="{00000000-0005-0000-0000-000076040000}"/>
    <cellStyle name="40% - Accent2 2 2 2 6 2 2" xfId="15061" xr:uid="{245ACE94-FFF0-4424-B854-1159164D888B}"/>
    <cellStyle name="40% - Accent2 2 2 2 6 2 3" xfId="27694" xr:uid="{361DE9C0-4BD6-4E1F-8A02-139DFDF41CD3}"/>
    <cellStyle name="40% - Accent2 2 2 2 6 3" xfId="10843" xr:uid="{D30B773E-3857-49F4-92E6-99BFB67A94BD}"/>
    <cellStyle name="40% - Accent2 2 2 2 6 3 2" xfId="23483" xr:uid="{E7D869C6-FBF4-4612-96FD-2AB9084D9C31}"/>
    <cellStyle name="40% - Accent2 2 2 2 6 4" xfId="19272" xr:uid="{81BC0CA3-B107-449D-91CF-F0372F77973F}"/>
    <cellStyle name="40% - Accent2 2 2 2 7" xfId="4566" xr:uid="{00000000-0005-0000-0000-000077040000}"/>
    <cellStyle name="40% - Accent2 2 2 2 7 2" xfId="12995" xr:uid="{D7104162-EB28-42B3-864F-3023A20CCD95}"/>
    <cellStyle name="40% - Accent2 2 2 2 7 3" xfId="25628" xr:uid="{17763903-D962-46E1-AA36-9AC32EA58FED}"/>
    <cellStyle name="40% - Accent2 2 2 2 8" xfId="8777" xr:uid="{12439D5D-B6DF-4656-9830-64690A607AB5}"/>
    <cellStyle name="40% - Accent2 2 2 2 8 2" xfId="21417" xr:uid="{BFD4A7FD-C23A-4BEC-9121-69B21A32C56F}"/>
    <cellStyle name="40% - Accent2 2 2 2 9" xfId="17206" xr:uid="{69444711-41BE-4E6E-BCC4-24E22F255D7D}"/>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04DE18EA-23CB-4B30-B13E-FF595B9DA2CB}"/>
    <cellStyle name="40% - Accent2 2 2 3 2 2 3" xfId="28186" xr:uid="{C061389B-6FB5-416B-8C25-C5E99D96892F}"/>
    <cellStyle name="40% - Accent2 2 2 3 2 3" xfId="11335" xr:uid="{B63FFED9-4CB2-47FE-B1EC-EC5173DA82B7}"/>
    <cellStyle name="40% - Accent2 2 2 3 2 3 2" xfId="23975" xr:uid="{62120445-36B9-4094-8B09-5E58E09A1371}"/>
    <cellStyle name="40% - Accent2 2 2 3 2 4" xfId="19764" xr:uid="{DAFB6BA9-2653-4D9A-84A1-828058F984A3}"/>
    <cellStyle name="40% - Accent2 2 2 3 3" xfId="4979" xr:uid="{00000000-0005-0000-0000-00007B040000}"/>
    <cellStyle name="40% - Accent2 2 2 3 3 2" xfId="13408" xr:uid="{608D3174-8E67-45CB-97B4-57EDE4176F5A}"/>
    <cellStyle name="40% - Accent2 2 2 3 3 3" xfId="26041" xr:uid="{F4AA86EF-0183-4C7A-8319-691A9D6FC3A4}"/>
    <cellStyle name="40% - Accent2 2 2 3 4" xfId="9190" xr:uid="{86EAD84C-FA3F-48D8-B1A5-86A052AFF979}"/>
    <cellStyle name="40% - Accent2 2 2 3 4 2" xfId="21830" xr:uid="{4ECC22AC-4314-4701-8D32-AC9A70544D9B}"/>
    <cellStyle name="40% - Accent2 2 2 3 5" xfId="17619" xr:uid="{3C52E15F-4068-4180-A7FC-159F248458AD}"/>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220A6116-2A53-4528-87AA-84C3BBAC8C92}"/>
    <cellStyle name="40% - Accent2 2 2 4 2 2 3" xfId="28599" xr:uid="{5CA32B65-505E-4DEC-96ED-CBDADB8A70F1}"/>
    <cellStyle name="40% - Accent2 2 2 4 2 3" xfId="11748" xr:uid="{BB13303C-35B2-48DE-830F-EF23FEB9456D}"/>
    <cellStyle name="40% - Accent2 2 2 4 2 3 2" xfId="24388" xr:uid="{EADF2146-2246-4CDC-AA7E-EF1B013184B9}"/>
    <cellStyle name="40% - Accent2 2 2 4 2 4" xfId="20177" xr:uid="{8F66927A-4D54-46D7-A2F2-9D98D61BDDA4}"/>
    <cellStyle name="40% - Accent2 2 2 4 3" xfId="5392" xr:uid="{00000000-0005-0000-0000-00007F040000}"/>
    <cellStyle name="40% - Accent2 2 2 4 3 2" xfId="13821" xr:uid="{A920B27E-5694-4C54-9CBD-662432CD1B5D}"/>
    <cellStyle name="40% - Accent2 2 2 4 3 3" xfId="26454" xr:uid="{B58225BC-1409-4EBC-997E-F783A07B9A27}"/>
    <cellStyle name="40% - Accent2 2 2 4 4" xfId="9603" xr:uid="{71111076-6824-4202-B711-60A02ACFE75B}"/>
    <cellStyle name="40% - Accent2 2 2 4 4 2" xfId="22243" xr:uid="{0644B40C-CD65-4AE3-AC23-F4B4DE377878}"/>
    <cellStyle name="40% - Accent2 2 2 4 5" xfId="18032" xr:uid="{633F1C80-E3E1-4910-ABDB-EC80FD832A28}"/>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F881B5CD-4F04-45B0-B61A-DB0F78186DF8}"/>
    <cellStyle name="40% - Accent2 2 2 5 2 2 3" xfId="29012" xr:uid="{C2BC0CA2-CA0F-45B1-9D19-AD5AEAFB7F42}"/>
    <cellStyle name="40% - Accent2 2 2 5 2 3" xfId="12161" xr:uid="{4E476B32-DCCD-42E6-B563-7DC82EFFD6E1}"/>
    <cellStyle name="40% - Accent2 2 2 5 2 3 2" xfId="24801" xr:uid="{9AFC9EC6-0B3E-4756-88B5-1C4653CD9B83}"/>
    <cellStyle name="40% - Accent2 2 2 5 2 4" xfId="20590" xr:uid="{F5EBF525-455A-4CC8-8833-41058416D6FF}"/>
    <cellStyle name="40% - Accent2 2 2 5 3" xfId="5805" xr:uid="{00000000-0005-0000-0000-000083040000}"/>
    <cellStyle name="40% - Accent2 2 2 5 3 2" xfId="14234" xr:uid="{CA4E6231-9C55-4DE4-9272-54E507A0D63C}"/>
    <cellStyle name="40% - Accent2 2 2 5 3 3" xfId="26867" xr:uid="{4F85A1A8-0159-4EA0-8303-ADF754F37400}"/>
    <cellStyle name="40% - Accent2 2 2 5 4" xfId="10016" xr:uid="{FD259EE1-E45E-4729-BC1F-9076DF23F5EF}"/>
    <cellStyle name="40% - Accent2 2 2 5 4 2" xfId="22656" xr:uid="{87D85072-3B8B-4E31-9744-3E10F989C77D}"/>
    <cellStyle name="40% - Accent2 2 2 5 5" xfId="18445" xr:uid="{7795C9C3-BD29-47AD-9DEF-DB65629F038D}"/>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033C8A19-19BF-424C-A304-EF902759C7F4}"/>
    <cellStyle name="40% - Accent2 2 2 6 2 2 3" xfId="29425" xr:uid="{5FFA4386-8505-4205-A268-C01828A304D9}"/>
    <cellStyle name="40% - Accent2 2 2 6 2 3" xfId="12574" xr:uid="{A53BAF90-6582-400D-940D-CBD6792010DF}"/>
    <cellStyle name="40% - Accent2 2 2 6 2 3 2" xfId="25214" xr:uid="{C9F945A3-B7B5-47D6-B925-A6E29E0C9415}"/>
    <cellStyle name="40% - Accent2 2 2 6 2 4" xfId="21003" xr:uid="{AC4FFA05-5A06-4429-9E64-E5C1CBFE1E33}"/>
    <cellStyle name="40% - Accent2 2 2 6 3" xfId="6218" xr:uid="{00000000-0005-0000-0000-000087040000}"/>
    <cellStyle name="40% - Accent2 2 2 6 3 2" xfId="14647" xr:uid="{E147CF91-89BA-4B00-B080-E70329FAE2EF}"/>
    <cellStyle name="40% - Accent2 2 2 6 3 3" xfId="27280" xr:uid="{A7808837-7274-409A-925C-85D650BD6853}"/>
    <cellStyle name="40% - Accent2 2 2 6 4" xfId="10429" xr:uid="{74088057-C03E-4947-9B05-05164822048F}"/>
    <cellStyle name="40% - Accent2 2 2 6 4 2" xfId="23069" xr:uid="{2504405B-731C-46C2-A38A-EDD006317EBB}"/>
    <cellStyle name="40% - Accent2 2 2 6 5" xfId="18858" xr:uid="{F38EFEC7-0032-41E1-B3A1-8D8B0652FF73}"/>
    <cellStyle name="40% - Accent2 2 2 7" xfId="2323" xr:uid="{00000000-0005-0000-0000-000088040000}"/>
    <cellStyle name="40% - Accent2 2 2 7 2" xfId="6631" xr:uid="{00000000-0005-0000-0000-000089040000}"/>
    <cellStyle name="40% - Accent2 2 2 7 2 2" xfId="15060" xr:uid="{58A8DBCA-7FF2-4648-84C3-9EEDA390E3CD}"/>
    <cellStyle name="40% - Accent2 2 2 7 2 3" xfId="27693" xr:uid="{737F7D6C-6D7F-4C93-B670-D45022B864E0}"/>
    <cellStyle name="40% - Accent2 2 2 7 3" xfId="10842" xr:uid="{597C7C8F-7604-4F2F-9B23-440979783FFF}"/>
    <cellStyle name="40% - Accent2 2 2 7 3 2" xfId="23482" xr:uid="{B3224D73-779D-4E1C-842B-B1D7D25FDE58}"/>
    <cellStyle name="40% - Accent2 2 2 7 4" xfId="19271" xr:uid="{0C2BB26C-3E33-4A67-95D4-922CF0C4C87F}"/>
    <cellStyle name="40% - Accent2 2 2 8" xfId="4565" xr:uid="{00000000-0005-0000-0000-00008A040000}"/>
    <cellStyle name="40% - Accent2 2 2 8 2" xfId="12994" xr:uid="{B49D2FDC-7967-4E53-9957-27629FCAE333}"/>
    <cellStyle name="40% - Accent2 2 2 8 3" xfId="25627" xr:uid="{CA104BEE-61ED-44DB-A63C-DB0C72B3C3B2}"/>
    <cellStyle name="40% - Accent2 2 2 9" xfId="8776" xr:uid="{E4D61A00-44DC-4894-928C-5DBFFE861983}"/>
    <cellStyle name="40% - Accent2 2 2 9 2" xfId="21416" xr:uid="{ECCF1487-5DA7-41B9-B2FB-38B02CA29974}"/>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17BE3B60-54DF-4042-A1C5-616B47F65562}"/>
    <cellStyle name="40% - Accent2 2 3 2 2 2 3" xfId="28188" xr:uid="{18F6553F-7039-454F-B19F-064638165211}"/>
    <cellStyle name="40% - Accent2 2 3 2 2 3" xfId="11337" xr:uid="{3B9B21E0-9015-4C50-907E-77BF5DD86D23}"/>
    <cellStyle name="40% - Accent2 2 3 2 2 3 2" xfId="23977" xr:uid="{0A932C0D-83E5-40DD-9E0C-4272C540CD45}"/>
    <cellStyle name="40% - Accent2 2 3 2 2 4" xfId="19766" xr:uid="{A9933174-A6A6-448E-B644-49B4F487A293}"/>
    <cellStyle name="40% - Accent2 2 3 2 3" xfId="4981" xr:uid="{00000000-0005-0000-0000-00008F040000}"/>
    <cellStyle name="40% - Accent2 2 3 2 3 2" xfId="13410" xr:uid="{EFD00DE1-19C5-43C7-A3BE-DE77D58F87E4}"/>
    <cellStyle name="40% - Accent2 2 3 2 3 3" xfId="26043" xr:uid="{40045CC1-66C8-44F3-BAF9-B6CBC5ACD4E0}"/>
    <cellStyle name="40% - Accent2 2 3 2 4" xfId="9192" xr:uid="{365FBFBE-F738-49F7-BF6A-429143CB071D}"/>
    <cellStyle name="40% - Accent2 2 3 2 4 2" xfId="21832" xr:uid="{DEB8C249-BB22-4328-887A-71FCC312B3FE}"/>
    <cellStyle name="40% - Accent2 2 3 2 5" xfId="17621" xr:uid="{07AEBB11-90AC-4302-90CA-3ED5334CF6C9}"/>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8291A667-18E3-4854-90D2-66D695FE5BEB}"/>
    <cellStyle name="40% - Accent2 2 3 3 2 2 3" xfId="28601" xr:uid="{A6E02FA3-1FEE-4C2E-9531-8A5E2AD70986}"/>
    <cellStyle name="40% - Accent2 2 3 3 2 3" xfId="11750" xr:uid="{E532E01C-F542-4029-97C2-29391FBDAF19}"/>
    <cellStyle name="40% - Accent2 2 3 3 2 3 2" xfId="24390" xr:uid="{F9BB5145-43FC-4958-8AA4-6A699E946270}"/>
    <cellStyle name="40% - Accent2 2 3 3 2 4" xfId="20179" xr:uid="{7DFB05BB-1B93-4369-AEF8-38E24B9A1CBA}"/>
    <cellStyle name="40% - Accent2 2 3 3 3" xfId="5394" xr:uid="{00000000-0005-0000-0000-000093040000}"/>
    <cellStyle name="40% - Accent2 2 3 3 3 2" xfId="13823" xr:uid="{5683B4B5-89CF-43B7-92E1-D3766BFB9A11}"/>
    <cellStyle name="40% - Accent2 2 3 3 3 3" xfId="26456" xr:uid="{73EE7EC1-FD56-4609-B6BB-1F0760E73B17}"/>
    <cellStyle name="40% - Accent2 2 3 3 4" xfId="9605" xr:uid="{3FF35C0D-E68E-4834-8F5C-37EB3D5F0BE3}"/>
    <cellStyle name="40% - Accent2 2 3 3 4 2" xfId="22245" xr:uid="{54580AFA-FAD1-4F19-9B4A-87CBF517551E}"/>
    <cellStyle name="40% - Accent2 2 3 3 5" xfId="18034" xr:uid="{C84F2065-5AED-4BEE-8437-4132F340A9C1}"/>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02C31F59-0B3E-46EE-A553-EB00E4BE619E}"/>
    <cellStyle name="40% - Accent2 2 3 4 2 2 3" xfId="29014" xr:uid="{B4F27C43-5E89-4058-9569-29280FDE591A}"/>
    <cellStyle name="40% - Accent2 2 3 4 2 3" xfId="12163" xr:uid="{ECAE32C6-3C64-4E35-B447-F36126C1B500}"/>
    <cellStyle name="40% - Accent2 2 3 4 2 3 2" xfId="24803" xr:uid="{A2837362-0141-49FB-8DD7-579C2600ECFD}"/>
    <cellStyle name="40% - Accent2 2 3 4 2 4" xfId="20592" xr:uid="{3EEC1CB1-2FC1-40D6-AD51-20C31698B30F}"/>
    <cellStyle name="40% - Accent2 2 3 4 3" xfId="5807" xr:uid="{00000000-0005-0000-0000-000097040000}"/>
    <cellStyle name="40% - Accent2 2 3 4 3 2" xfId="14236" xr:uid="{72AE0252-0108-49B9-8C17-F7ADCAC13AED}"/>
    <cellStyle name="40% - Accent2 2 3 4 3 3" xfId="26869" xr:uid="{C68ED438-297C-4F9D-8CCE-5442EB873A3F}"/>
    <cellStyle name="40% - Accent2 2 3 4 4" xfId="10018" xr:uid="{80B2D477-4ACD-4D64-B83E-4C8D59C1A820}"/>
    <cellStyle name="40% - Accent2 2 3 4 4 2" xfId="22658" xr:uid="{277CB6F4-80A7-4E8C-ADFF-7C49A801A4F4}"/>
    <cellStyle name="40% - Accent2 2 3 4 5" xfId="18447" xr:uid="{19636E5D-BD5B-433B-A605-792C828274B7}"/>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75BBE83F-6DBA-4E89-B4EF-4787397C1927}"/>
    <cellStyle name="40% - Accent2 2 3 5 2 2 3" xfId="29427" xr:uid="{F76C0BEF-54E1-4511-A2E2-4C11CD4846D4}"/>
    <cellStyle name="40% - Accent2 2 3 5 2 3" xfId="12576" xr:uid="{5A7D7784-A2E8-401A-AB75-85EB2A5ED967}"/>
    <cellStyle name="40% - Accent2 2 3 5 2 3 2" xfId="25216" xr:uid="{DBC9B11F-D857-48C0-8F8C-9DBEB61F27E8}"/>
    <cellStyle name="40% - Accent2 2 3 5 2 4" xfId="21005" xr:uid="{AE48A212-F6E3-4541-B5EE-B060650A7EEC}"/>
    <cellStyle name="40% - Accent2 2 3 5 3" xfId="6220" xr:uid="{00000000-0005-0000-0000-00009B040000}"/>
    <cellStyle name="40% - Accent2 2 3 5 3 2" xfId="14649" xr:uid="{1F75D3C3-C4FC-4CE8-91E4-3C8ECAC24BA5}"/>
    <cellStyle name="40% - Accent2 2 3 5 3 3" xfId="27282" xr:uid="{9FD7F012-E9BD-4D10-BF05-F40EB71BA0CD}"/>
    <cellStyle name="40% - Accent2 2 3 5 4" xfId="10431" xr:uid="{0F070BCF-F5AA-4B8D-AB49-BEB909993AF6}"/>
    <cellStyle name="40% - Accent2 2 3 5 4 2" xfId="23071" xr:uid="{EDA8FF29-F722-4E51-B9DA-8862B866A6CE}"/>
    <cellStyle name="40% - Accent2 2 3 5 5" xfId="18860" xr:uid="{F3A523E7-0154-4B12-80DB-1A5F55B9F4C9}"/>
    <cellStyle name="40% - Accent2 2 3 6" xfId="2325" xr:uid="{00000000-0005-0000-0000-00009C040000}"/>
    <cellStyle name="40% - Accent2 2 3 6 2" xfId="6633" xr:uid="{00000000-0005-0000-0000-00009D040000}"/>
    <cellStyle name="40% - Accent2 2 3 6 2 2" xfId="15062" xr:uid="{14DA47F4-61F6-4138-8A95-92D93CCA5826}"/>
    <cellStyle name="40% - Accent2 2 3 6 2 3" xfId="27695" xr:uid="{4A1155DE-EB08-4CCF-A784-702FFD384C2D}"/>
    <cellStyle name="40% - Accent2 2 3 6 3" xfId="10844" xr:uid="{0509D0BC-856B-41B6-8F3D-9F33D0DF4117}"/>
    <cellStyle name="40% - Accent2 2 3 6 3 2" xfId="23484" xr:uid="{D4F9B3A1-A893-474E-9F06-6B294D302E75}"/>
    <cellStyle name="40% - Accent2 2 3 6 4" xfId="19273" xr:uid="{A9CD28EE-D02C-4892-BB0C-8C7811F53B0E}"/>
    <cellStyle name="40% - Accent2 2 3 7" xfId="4567" xr:uid="{00000000-0005-0000-0000-00009E040000}"/>
    <cellStyle name="40% - Accent2 2 3 7 2" xfId="12996" xr:uid="{EBFBE434-9437-44A8-98FF-EF4C45999835}"/>
    <cellStyle name="40% - Accent2 2 3 7 3" xfId="25629" xr:uid="{3AA3BCB6-45BD-46FC-B0DB-14CF5E07252F}"/>
    <cellStyle name="40% - Accent2 2 3 8" xfId="8778" xr:uid="{952B7937-621F-4212-B975-331961DEC07B}"/>
    <cellStyle name="40% - Accent2 2 3 8 2" xfId="21418" xr:uid="{8CF9A56B-C915-4B52-8904-41A675CDDECA}"/>
    <cellStyle name="40% - Accent2 2 3 9" xfId="17207" xr:uid="{2D5ACC71-F342-4332-B7A6-C98136F55EA6}"/>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08DFB39D-B534-429A-9EEC-A5EAE0A176F8}"/>
    <cellStyle name="40% - Accent2 2 4 2 2 3" xfId="28185" xr:uid="{4B2186B9-E2A1-49BB-BC7F-DD289B9B4D83}"/>
    <cellStyle name="40% - Accent2 2 4 2 3" xfId="11334" xr:uid="{72ED81CE-42A3-4E6C-8C5F-9EC7619DC3F3}"/>
    <cellStyle name="40% - Accent2 2 4 2 3 2" xfId="23974" xr:uid="{3651AAB5-772E-4A86-ACB9-B24FF7848A05}"/>
    <cellStyle name="40% - Accent2 2 4 2 4" xfId="19763" xr:uid="{30EEC2F0-89A2-4064-A2AD-F3315692DC0D}"/>
    <cellStyle name="40% - Accent2 2 4 3" xfId="4978" xr:uid="{00000000-0005-0000-0000-0000A2040000}"/>
    <cellStyle name="40% - Accent2 2 4 3 2" xfId="13407" xr:uid="{2C5E1136-47F2-4971-8979-0DA3513C615C}"/>
    <cellStyle name="40% - Accent2 2 4 3 3" xfId="26040" xr:uid="{03E20209-9F38-4D1A-AEE1-FD5FC95D64FE}"/>
    <cellStyle name="40% - Accent2 2 4 4" xfId="9189" xr:uid="{E479778F-E2A2-4FD5-A063-F3C2496080CD}"/>
    <cellStyle name="40% - Accent2 2 4 4 2" xfId="21829" xr:uid="{68CA2488-6381-4F77-9F89-CBDCC2A69D17}"/>
    <cellStyle name="40% - Accent2 2 4 5" xfId="17618" xr:uid="{180D8B1E-E853-41BE-928C-2F2E8FBD305B}"/>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B5737687-0647-4727-93D5-03D062EBA1D0}"/>
    <cellStyle name="40% - Accent2 2 5 2 2 3" xfId="28598" xr:uid="{F523CEF3-A2C5-4B47-B2D6-70AC1ADCFDB2}"/>
    <cellStyle name="40% - Accent2 2 5 2 3" xfId="11747" xr:uid="{BEC67DCB-230B-40B7-A61F-B46F134B72E5}"/>
    <cellStyle name="40% - Accent2 2 5 2 3 2" xfId="24387" xr:uid="{3DC3F03E-52EC-4408-82C4-D460EEE1BB95}"/>
    <cellStyle name="40% - Accent2 2 5 2 4" xfId="20176" xr:uid="{ADE903BE-73FB-41B0-B160-85EB6D26BE05}"/>
    <cellStyle name="40% - Accent2 2 5 3" xfId="5391" xr:uid="{00000000-0005-0000-0000-0000A6040000}"/>
    <cellStyle name="40% - Accent2 2 5 3 2" xfId="13820" xr:uid="{A9F9115D-97EA-46DA-B9DD-58F383790C55}"/>
    <cellStyle name="40% - Accent2 2 5 3 3" xfId="26453" xr:uid="{ED9B1A32-DEF1-4FEC-A0F2-FD8F8107BA3F}"/>
    <cellStyle name="40% - Accent2 2 5 4" xfId="9602" xr:uid="{E09FC753-CD72-419D-9BC1-D3ACC971EB9A}"/>
    <cellStyle name="40% - Accent2 2 5 4 2" xfId="22242" xr:uid="{CA6519EA-90C9-4A84-8B4F-D75D0B5F3629}"/>
    <cellStyle name="40% - Accent2 2 5 5" xfId="18031" xr:uid="{5CC1DD13-F83E-48D5-9708-7A7D007A9450}"/>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23FF3695-D73C-4152-A309-5FF757119FAF}"/>
    <cellStyle name="40% - Accent2 2 6 2 2 3" xfId="29011" xr:uid="{D14097AE-F830-4B9C-8D4C-29BEE0A43841}"/>
    <cellStyle name="40% - Accent2 2 6 2 3" xfId="12160" xr:uid="{A0966752-9503-4490-85BA-5501CF35B47C}"/>
    <cellStyle name="40% - Accent2 2 6 2 3 2" xfId="24800" xr:uid="{3D006750-46E6-4DBF-9FDE-EE29C577D8A4}"/>
    <cellStyle name="40% - Accent2 2 6 2 4" xfId="20589" xr:uid="{EF8F5602-E7BE-4504-9CE1-CADD7D5DA0D2}"/>
    <cellStyle name="40% - Accent2 2 6 3" xfId="5804" xr:uid="{00000000-0005-0000-0000-0000AA040000}"/>
    <cellStyle name="40% - Accent2 2 6 3 2" xfId="14233" xr:uid="{8334D28D-46E0-4023-8662-D9AB0D0A629E}"/>
    <cellStyle name="40% - Accent2 2 6 3 3" xfId="26866" xr:uid="{C0519111-F6DE-4B65-8C36-F79F2B741C4D}"/>
    <cellStyle name="40% - Accent2 2 6 4" xfId="10015" xr:uid="{1B02C1B0-32FC-45F3-ADC7-BC7E8414F3C5}"/>
    <cellStyle name="40% - Accent2 2 6 4 2" xfId="22655" xr:uid="{182C0C6B-2B9A-4BC5-87C0-A131B0A4796F}"/>
    <cellStyle name="40% - Accent2 2 6 5" xfId="18444" xr:uid="{85471611-82F0-44DE-9045-02F599F0C05A}"/>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549C06F3-F0D3-4CA7-991F-91F97B3D1263}"/>
    <cellStyle name="40% - Accent2 2 7 2 2 3" xfId="29424" xr:uid="{E15AD758-421F-40D7-B01C-7482A00CA6CC}"/>
    <cellStyle name="40% - Accent2 2 7 2 3" xfId="12573" xr:uid="{AFAE63D1-0AE2-404C-9E09-1A0368CC2E2B}"/>
    <cellStyle name="40% - Accent2 2 7 2 3 2" xfId="25213" xr:uid="{C4E6BD43-62D7-452F-B72C-3C55F69CF405}"/>
    <cellStyle name="40% - Accent2 2 7 2 4" xfId="21002" xr:uid="{55DF5B33-F6E9-4082-A559-D70170455A1D}"/>
    <cellStyle name="40% - Accent2 2 7 3" xfId="6217" xr:uid="{00000000-0005-0000-0000-0000AE040000}"/>
    <cellStyle name="40% - Accent2 2 7 3 2" xfId="14646" xr:uid="{8599DE1C-0316-496D-86E4-712B725057F1}"/>
    <cellStyle name="40% - Accent2 2 7 3 3" xfId="27279" xr:uid="{1D54A33C-27A8-49A8-8E08-254C5B792D53}"/>
    <cellStyle name="40% - Accent2 2 7 4" xfId="10428" xr:uid="{B9BA23E6-50CF-4B60-A4FC-D2849A7E52F4}"/>
    <cellStyle name="40% - Accent2 2 7 4 2" xfId="23068" xr:uid="{5E13A9EE-5A61-4640-A491-F39DC31D7933}"/>
    <cellStyle name="40% - Accent2 2 7 5" xfId="18857" xr:uid="{EFC20553-D9A5-463A-9108-A6385E41688D}"/>
    <cellStyle name="40% - Accent2 2 8" xfId="2322" xr:uid="{00000000-0005-0000-0000-0000AF040000}"/>
    <cellStyle name="40% - Accent2 2 8 2" xfId="6630" xr:uid="{00000000-0005-0000-0000-0000B0040000}"/>
    <cellStyle name="40% - Accent2 2 8 2 2" xfId="15059" xr:uid="{49900EC2-3602-4C26-8272-B93807CA207F}"/>
    <cellStyle name="40% - Accent2 2 8 2 3" xfId="27692" xr:uid="{2BCF862D-6F3C-4225-91CB-246277273CC6}"/>
    <cellStyle name="40% - Accent2 2 8 3" xfId="10841" xr:uid="{A0C6B07C-A175-4D32-9E63-EAA6909EA819}"/>
    <cellStyle name="40% - Accent2 2 8 3 2" xfId="23481" xr:uid="{310A00E2-90C8-488B-A061-07059185DAF3}"/>
    <cellStyle name="40% - Accent2 2 8 4" xfId="19270" xr:uid="{09DCE461-2D9A-4169-A835-43CF3C597222}"/>
    <cellStyle name="40% - Accent2 2 9" xfId="4564" xr:uid="{00000000-0005-0000-0000-0000B1040000}"/>
    <cellStyle name="40% - Accent2 2 9 2" xfId="12993" xr:uid="{C31F8224-37B1-4B84-9B55-E24D0A4FCB14}"/>
    <cellStyle name="40% - Accent2 2 9 3" xfId="25626" xr:uid="{9E991C99-8FBD-4716-8704-06C0F18072E3}"/>
    <cellStyle name="40% - Accent2 3" xfId="62" xr:uid="{00000000-0005-0000-0000-0000B2040000}"/>
    <cellStyle name="40% - Accent2 3 10" xfId="17208" xr:uid="{55D82477-F760-45BC-892E-3224F4286252}"/>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289B81AE-5F80-41FF-8779-A6ECDAB4B48F}"/>
    <cellStyle name="40% - Accent2 3 2 2 2 2 3" xfId="28190" xr:uid="{267D4380-9B03-4DB5-8DA2-0CD6DA4FF7E1}"/>
    <cellStyle name="40% - Accent2 3 2 2 2 3" xfId="11339" xr:uid="{DD7A1A19-8BF9-46DA-9A67-11AAE851AFA9}"/>
    <cellStyle name="40% - Accent2 3 2 2 2 3 2" xfId="23979" xr:uid="{75831D63-201C-4992-B4BD-6FF7A3BB3ACF}"/>
    <cellStyle name="40% - Accent2 3 2 2 2 4" xfId="19768" xr:uid="{15CB9352-3B66-4581-B2F8-A2D097FA61ED}"/>
    <cellStyle name="40% - Accent2 3 2 2 3" xfId="4983" xr:uid="{00000000-0005-0000-0000-0000B7040000}"/>
    <cellStyle name="40% - Accent2 3 2 2 3 2" xfId="13412" xr:uid="{35D0A3E5-01D9-4CCE-A27F-8847F8907A51}"/>
    <cellStyle name="40% - Accent2 3 2 2 3 3" xfId="26045" xr:uid="{E0AC762E-24CC-4FC8-BFBD-C2F41778BE6D}"/>
    <cellStyle name="40% - Accent2 3 2 2 4" xfId="9194" xr:uid="{FEF5D1F6-B4E1-4D99-BBE8-C6D2CF1CA69F}"/>
    <cellStyle name="40% - Accent2 3 2 2 4 2" xfId="21834" xr:uid="{354B7602-EFB9-4EEC-8178-288F0721C195}"/>
    <cellStyle name="40% - Accent2 3 2 2 5" xfId="17623" xr:uid="{F0B4D430-5337-4F1C-93D1-F8EA34311499}"/>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17EC71C1-39A2-4D61-A29D-C0ADC0CA577C}"/>
    <cellStyle name="40% - Accent2 3 2 3 2 2 3" xfId="28603" xr:uid="{C5216960-A2DE-4243-90A8-7F938420638D}"/>
    <cellStyle name="40% - Accent2 3 2 3 2 3" xfId="11752" xr:uid="{CE80F69C-F203-4EE1-A6BC-61326C55B803}"/>
    <cellStyle name="40% - Accent2 3 2 3 2 3 2" xfId="24392" xr:uid="{D9C11CB0-FE64-402E-B7B4-F7B4D7F51451}"/>
    <cellStyle name="40% - Accent2 3 2 3 2 4" xfId="20181" xr:uid="{146A967F-5414-44B3-BDEE-DC887EA5E380}"/>
    <cellStyle name="40% - Accent2 3 2 3 3" xfId="5396" xr:uid="{00000000-0005-0000-0000-0000BB040000}"/>
    <cellStyle name="40% - Accent2 3 2 3 3 2" xfId="13825" xr:uid="{5FE9A97C-811A-4B1E-9E85-08FE80FACFA0}"/>
    <cellStyle name="40% - Accent2 3 2 3 3 3" xfId="26458" xr:uid="{B9EFBB74-0310-4BC2-BB00-8FC2278E56C4}"/>
    <cellStyle name="40% - Accent2 3 2 3 4" xfId="9607" xr:uid="{1049DE9C-CE1B-49CD-8A22-C7772165DB17}"/>
    <cellStyle name="40% - Accent2 3 2 3 4 2" xfId="22247" xr:uid="{B760DB78-8021-4CA3-9870-B47EFC98010D}"/>
    <cellStyle name="40% - Accent2 3 2 3 5" xfId="18036" xr:uid="{BB0841D7-AA9C-4A25-BDC9-829D300B07AE}"/>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A471EADE-2099-44F5-B4A3-CA49646B273F}"/>
    <cellStyle name="40% - Accent2 3 2 4 2 2 3" xfId="29016" xr:uid="{0E83ACAD-433D-4761-8354-0D82FA29D494}"/>
    <cellStyle name="40% - Accent2 3 2 4 2 3" xfId="12165" xr:uid="{13287A77-F0DD-471D-9A28-55C5D9A296B3}"/>
    <cellStyle name="40% - Accent2 3 2 4 2 3 2" xfId="24805" xr:uid="{529EBAFF-62AB-4A77-B75D-72D24D83EA52}"/>
    <cellStyle name="40% - Accent2 3 2 4 2 4" xfId="20594" xr:uid="{E374541C-15DF-4A92-97F4-5E0E29DC8EA3}"/>
    <cellStyle name="40% - Accent2 3 2 4 3" xfId="5809" xr:uid="{00000000-0005-0000-0000-0000BF040000}"/>
    <cellStyle name="40% - Accent2 3 2 4 3 2" xfId="14238" xr:uid="{2C2B1F66-CD8E-4C29-A837-632F0B426506}"/>
    <cellStyle name="40% - Accent2 3 2 4 3 3" xfId="26871" xr:uid="{AC6475FC-AE12-453C-AA68-E1847123C034}"/>
    <cellStyle name="40% - Accent2 3 2 4 4" xfId="10020" xr:uid="{61972020-F754-45B8-9614-83E33E6EE6B4}"/>
    <cellStyle name="40% - Accent2 3 2 4 4 2" xfId="22660" xr:uid="{19DFA02B-DDDC-49CC-A282-DE9DB3F9E9C3}"/>
    <cellStyle name="40% - Accent2 3 2 4 5" xfId="18449" xr:uid="{DEF0342F-A7CF-4001-8CD2-7EC71444390D}"/>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00053BFA-7DFF-48CC-9313-7AF653024EC0}"/>
    <cellStyle name="40% - Accent2 3 2 5 2 2 3" xfId="29429" xr:uid="{B672D4D6-E4D0-41C7-882D-E823A13666E8}"/>
    <cellStyle name="40% - Accent2 3 2 5 2 3" xfId="12578" xr:uid="{2715EBC7-3F19-4049-88E5-24DE54ADAEF9}"/>
    <cellStyle name="40% - Accent2 3 2 5 2 3 2" xfId="25218" xr:uid="{5398EB52-2E2E-4212-90BA-7A3760EEC989}"/>
    <cellStyle name="40% - Accent2 3 2 5 2 4" xfId="21007" xr:uid="{3AAD23FD-9A29-4BBA-B962-F2C07868996A}"/>
    <cellStyle name="40% - Accent2 3 2 5 3" xfId="6222" xr:uid="{00000000-0005-0000-0000-0000C3040000}"/>
    <cellStyle name="40% - Accent2 3 2 5 3 2" xfId="14651" xr:uid="{F4DA278D-1530-4052-B36B-8DDD71A46303}"/>
    <cellStyle name="40% - Accent2 3 2 5 3 3" xfId="27284" xr:uid="{4BCAA3C2-E41F-4C09-B162-83C68C602527}"/>
    <cellStyle name="40% - Accent2 3 2 5 4" xfId="10433" xr:uid="{DEDE3C7A-421C-4DC8-A397-F32951E5433F}"/>
    <cellStyle name="40% - Accent2 3 2 5 4 2" xfId="23073" xr:uid="{2615096D-9055-45FA-B70B-EB1E2A006C27}"/>
    <cellStyle name="40% - Accent2 3 2 5 5" xfId="18862" xr:uid="{7518C27D-72BC-4954-9FE4-8086B27BE27E}"/>
    <cellStyle name="40% - Accent2 3 2 6" xfId="2327" xr:uid="{00000000-0005-0000-0000-0000C4040000}"/>
    <cellStyle name="40% - Accent2 3 2 6 2" xfId="6635" xr:uid="{00000000-0005-0000-0000-0000C5040000}"/>
    <cellStyle name="40% - Accent2 3 2 6 2 2" xfId="15064" xr:uid="{3DCC6607-31AF-4A9E-9195-68D1E048FAA0}"/>
    <cellStyle name="40% - Accent2 3 2 6 2 3" xfId="27697" xr:uid="{E33F650A-1AB5-47EC-A067-8C3F7B648C72}"/>
    <cellStyle name="40% - Accent2 3 2 6 3" xfId="10846" xr:uid="{C1420047-D1D9-41E3-A4C8-A1437231AF6D}"/>
    <cellStyle name="40% - Accent2 3 2 6 3 2" xfId="23486" xr:uid="{4C2E196D-7A14-4726-93AD-732358284748}"/>
    <cellStyle name="40% - Accent2 3 2 6 4" xfId="19275" xr:uid="{A7F7B16D-2637-482B-B96C-119BD1B7D3E7}"/>
    <cellStyle name="40% - Accent2 3 2 7" xfId="4569" xr:uid="{00000000-0005-0000-0000-0000C6040000}"/>
    <cellStyle name="40% - Accent2 3 2 7 2" xfId="12998" xr:uid="{96A65923-C34A-484F-B348-2D98552EAFF7}"/>
    <cellStyle name="40% - Accent2 3 2 7 3" xfId="25631" xr:uid="{BB5975EE-77C7-44E6-8858-EA1D2CEBAE8B}"/>
    <cellStyle name="40% - Accent2 3 2 8" xfId="8780" xr:uid="{1FB70449-E6A8-4667-9703-859820F50E35}"/>
    <cellStyle name="40% - Accent2 3 2 8 2" xfId="21420" xr:uid="{3FF10BA9-C94F-44D2-BF9E-522127A82C2C}"/>
    <cellStyle name="40% - Accent2 3 2 9" xfId="17209" xr:uid="{D812321B-83E7-4127-ACDE-1CBE1BC6EC43}"/>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0F70F95E-1DF2-4848-8698-3C540353C344}"/>
    <cellStyle name="40% - Accent2 3 3 2 2 3" xfId="28189" xr:uid="{2471D297-B7B5-45B0-B855-8F4A479EA5A1}"/>
    <cellStyle name="40% - Accent2 3 3 2 3" xfId="11338" xr:uid="{172C9B09-FFA9-4FF3-B998-7DEC6C77AF62}"/>
    <cellStyle name="40% - Accent2 3 3 2 3 2" xfId="23978" xr:uid="{587BCC88-1EEC-48B6-8375-8DE229EFD758}"/>
    <cellStyle name="40% - Accent2 3 3 2 4" xfId="19767" xr:uid="{40ACCD26-B571-473D-81A3-679D11F5BD16}"/>
    <cellStyle name="40% - Accent2 3 3 3" xfId="4982" xr:uid="{00000000-0005-0000-0000-0000CA040000}"/>
    <cellStyle name="40% - Accent2 3 3 3 2" xfId="13411" xr:uid="{BC970D9C-32D8-46E0-AFD5-4A49F52BD950}"/>
    <cellStyle name="40% - Accent2 3 3 3 3" xfId="26044" xr:uid="{B5319B18-6627-4F2A-8D96-106EE222F553}"/>
    <cellStyle name="40% - Accent2 3 3 4" xfId="9193" xr:uid="{29C89ACD-F31F-459D-A2AC-5159EE6019E8}"/>
    <cellStyle name="40% - Accent2 3 3 4 2" xfId="21833" xr:uid="{3876A252-DDDD-44C1-A2F1-037BB8F40195}"/>
    <cellStyle name="40% - Accent2 3 3 5" xfId="17622" xr:uid="{FE24441B-99CE-4E67-849C-F9900268B8D0}"/>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6A037ECB-1C97-4062-A12D-F0BB8EDB3CF2}"/>
    <cellStyle name="40% - Accent2 3 4 2 2 3" xfId="28602" xr:uid="{0E015B45-4EED-4F83-BD43-98881D250E71}"/>
    <cellStyle name="40% - Accent2 3 4 2 3" xfId="11751" xr:uid="{F32225A5-DD6A-4094-8511-4E3E0361D8B5}"/>
    <cellStyle name="40% - Accent2 3 4 2 3 2" xfId="24391" xr:uid="{B6A57EB5-BD84-4A2E-847F-31CE38337633}"/>
    <cellStyle name="40% - Accent2 3 4 2 4" xfId="20180" xr:uid="{3D47C5E9-CBA8-409E-BC90-4249691E42B5}"/>
    <cellStyle name="40% - Accent2 3 4 3" xfId="5395" xr:uid="{00000000-0005-0000-0000-0000CE040000}"/>
    <cellStyle name="40% - Accent2 3 4 3 2" xfId="13824" xr:uid="{95FF0507-1C72-409F-9CDE-AD9F829D54D4}"/>
    <cellStyle name="40% - Accent2 3 4 3 3" xfId="26457" xr:uid="{C832B512-8A4F-45F8-8183-A3AEE10DB583}"/>
    <cellStyle name="40% - Accent2 3 4 4" xfId="9606" xr:uid="{A4E1B08C-BD21-4A29-9F3C-23E266C9E2B5}"/>
    <cellStyle name="40% - Accent2 3 4 4 2" xfId="22246" xr:uid="{8ABE19CF-7936-4C4D-A7C4-FB9BABF0D6B0}"/>
    <cellStyle name="40% - Accent2 3 4 5" xfId="18035" xr:uid="{69204786-32F8-4B49-BDE5-DE1DD777AFAD}"/>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846DA424-5B04-41AE-AD27-8A44F9B0CA24}"/>
    <cellStyle name="40% - Accent2 3 5 2 2 3" xfId="29015" xr:uid="{CD17A9B9-1383-4C88-9CB1-2D52496E1A40}"/>
    <cellStyle name="40% - Accent2 3 5 2 3" xfId="12164" xr:uid="{FA208EBE-0287-4139-A087-76EE47F88357}"/>
    <cellStyle name="40% - Accent2 3 5 2 3 2" xfId="24804" xr:uid="{C1F17946-31FD-4A1E-B6CC-E2094BE33C9F}"/>
    <cellStyle name="40% - Accent2 3 5 2 4" xfId="20593" xr:uid="{D1DADE4D-85BA-4093-A57C-5A7CA148D5DC}"/>
    <cellStyle name="40% - Accent2 3 5 3" xfId="5808" xr:uid="{00000000-0005-0000-0000-0000D2040000}"/>
    <cellStyle name="40% - Accent2 3 5 3 2" xfId="14237" xr:uid="{97A58B41-9472-4C36-B0F5-839C6EB395E3}"/>
    <cellStyle name="40% - Accent2 3 5 3 3" xfId="26870" xr:uid="{2BD096F4-2C45-4169-91EC-21967C129B74}"/>
    <cellStyle name="40% - Accent2 3 5 4" xfId="10019" xr:uid="{A4B50DE4-A9D0-42C0-87DA-95FA28C7AE1F}"/>
    <cellStyle name="40% - Accent2 3 5 4 2" xfId="22659" xr:uid="{04745EFB-9437-474D-B781-4E51D1D708EB}"/>
    <cellStyle name="40% - Accent2 3 5 5" xfId="18448" xr:uid="{7555E2FD-F96E-4CA4-AA43-2CE5B0B9F6FD}"/>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AA6F4D45-C65E-4733-8C75-6F472A82253A}"/>
    <cellStyle name="40% - Accent2 3 6 2 2 3" xfId="29428" xr:uid="{29CA694D-F2F3-44A7-8F9C-1EC11AD054BE}"/>
    <cellStyle name="40% - Accent2 3 6 2 3" xfId="12577" xr:uid="{B37408EB-6458-45D2-9EAE-4479953E4E67}"/>
    <cellStyle name="40% - Accent2 3 6 2 3 2" xfId="25217" xr:uid="{81A768E1-B9B3-4901-AF07-BAB395558113}"/>
    <cellStyle name="40% - Accent2 3 6 2 4" xfId="21006" xr:uid="{78EFA3B4-3A2B-4177-A455-A8B0C0B53E5A}"/>
    <cellStyle name="40% - Accent2 3 6 3" xfId="6221" xr:uid="{00000000-0005-0000-0000-0000D6040000}"/>
    <cellStyle name="40% - Accent2 3 6 3 2" xfId="14650" xr:uid="{67A2D11C-923D-4EAB-BE45-E3BE1455468C}"/>
    <cellStyle name="40% - Accent2 3 6 3 3" xfId="27283" xr:uid="{01D01E92-501C-4885-AA9E-7044E26C16F3}"/>
    <cellStyle name="40% - Accent2 3 6 4" xfId="10432" xr:uid="{6135EE67-31D5-47EC-B2A1-74BF23FD9DAB}"/>
    <cellStyle name="40% - Accent2 3 6 4 2" xfId="23072" xr:uid="{4BD1AF1B-2E03-4774-8D9E-47E8A342CA8A}"/>
    <cellStyle name="40% - Accent2 3 6 5" xfId="18861" xr:uid="{F04E4203-6A38-427F-BF68-400FFD8EBD7F}"/>
    <cellStyle name="40% - Accent2 3 7" xfId="2326" xr:uid="{00000000-0005-0000-0000-0000D7040000}"/>
    <cellStyle name="40% - Accent2 3 7 2" xfId="6634" xr:uid="{00000000-0005-0000-0000-0000D8040000}"/>
    <cellStyle name="40% - Accent2 3 7 2 2" xfId="15063" xr:uid="{BC5C4892-E37B-4633-B1BD-6B011C621311}"/>
    <cellStyle name="40% - Accent2 3 7 2 3" xfId="27696" xr:uid="{14067AF1-3A16-44A6-8CD2-FF070B458354}"/>
    <cellStyle name="40% - Accent2 3 7 3" xfId="10845" xr:uid="{F29A1B89-4B95-44BE-8E5F-ADE1765B5E9E}"/>
    <cellStyle name="40% - Accent2 3 7 3 2" xfId="23485" xr:uid="{05652643-0D0F-4173-A14A-33EE3201E91D}"/>
    <cellStyle name="40% - Accent2 3 7 4" xfId="19274" xr:uid="{A913D32D-FF8E-4543-A180-E905B4222A1F}"/>
    <cellStyle name="40% - Accent2 3 8" xfId="4568" xr:uid="{00000000-0005-0000-0000-0000D9040000}"/>
    <cellStyle name="40% - Accent2 3 8 2" xfId="12997" xr:uid="{D368CA3D-77F3-4A43-B185-E00F1EF3C0E6}"/>
    <cellStyle name="40% - Accent2 3 8 3" xfId="25630" xr:uid="{E90B3A79-2682-4C74-8D1E-6247A8E3CD91}"/>
    <cellStyle name="40% - Accent2 3 9" xfId="8779" xr:uid="{4F9B0E55-3658-4B3D-B1DA-6B8DFBB74A24}"/>
    <cellStyle name="40% - Accent2 3 9 2" xfId="21419" xr:uid="{B763A077-9D8E-4967-AB4F-03A3BC4E9AC9}"/>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CA3625C3-8104-4013-A9E5-4575D3E4CA4A}"/>
    <cellStyle name="40% - Accent2 4 2 2 2 3" xfId="28191" xr:uid="{97ECDD5F-2D57-4B13-BE93-9A27F0B58E6F}"/>
    <cellStyle name="40% - Accent2 4 2 2 3" xfId="11340" xr:uid="{62FBF6BF-A2BB-4EFB-8B58-945E0E7979A6}"/>
    <cellStyle name="40% - Accent2 4 2 2 3 2" xfId="23980" xr:uid="{08285BB9-1D8A-41BD-9C6B-46A827843004}"/>
    <cellStyle name="40% - Accent2 4 2 2 4" xfId="19769" xr:uid="{D4A69576-98B9-4512-85A3-3C86C468A432}"/>
    <cellStyle name="40% - Accent2 4 2 3" xfId="4984" xr:uid="{00000000-0005-0000-0000-0000DE040000}"/>
    <cellStyle name="40% - Accent2 4 2 3 2" xfId="13413" xr:uid="{3C980627-504C-42BA-A85D-54D2E0E56A14}"/>
    <cellStyle name="40% - Accent2 4 2 3 3" xfId="26046" xr:uid="{7589A2A3-53A8-46CF-9D91-07DF750AAE42}"/>
    <cellStyle name="40% - Accent2 4 2 4" xfId="9195" xr:uid="{D00E4679-B58C-4A93-BC84-19BC25CBAD7A}"/>
    <cellStyle name="40% - Accent2 4 2 4 2" xfId="21835" xr:uid="{C5495F8F-53F6-4B9E-B336-3E9244669D40}"/>
    <cellStyle name="40% - Accent2 4 2 5" xfId="17624" xr:uid="{BEAA1D2A-5126-45E7-9B30-B3D77FC46936}"/>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46C3951C-8E24-4595-9191-5DC2119609CB}"/>
    <cellStyle name="40% - Accent2 4 3 2 2 3" xfId="28604" xr:uid="{C6D2FA21-8352-4094-B37A-9BFC3BEE5B30}"/>
    <cellStyle name="40% - Accent2 4 3 2 3" xfId="11753" xr:uid="{EEDEC3A3-C759-4F6C-9BD0-556B31E53A35}"/>
    <cellStyle name="40% - Accent2 4 3 2 3 2" xfId="24393" xr:uid="{3F661400-FAAC-4E40-8182-C81254D119A4}"/>
    <cellStyle name="40% - Accent2 4 3 2 4" xfId="20182" xr:uid="{D854C313-7986-441F-9BA4-ECA4A3AD5FBB}"/>
    <cellStyle name="40% - Accent2 4 3 3" xfId="5397" xr:uid="{00000000-0005-0000-0000-0000E2040000}"/>
    <cellStyle name="40% - Accent2 4 3 3 2" xfId="13826" xr:uid="{73DF42A7-93D8-487C-A08F-E6BA9AF9CF03}"/>
    <cellStyle name="40% - Accent2 4 3 3 3" xfId="26459" xr:uid="{61A2579A-15A5-48CC-AD27-96EAA9E688BB}"/>
    <cellStyle name="40% - Accent2 4 3 4" xfId="9608" xr:uid="{ED79F681-E0AE-45C6-B72A-139733A93E15}"/>
    <cellStyle name="40% - Accent2 4 3 4 2" xfId="22248" xr:uid="{A533538A-57A4-4D3B-A24D-06DBB9F82C01}"/>
    <cellStyle name="40% - Accent2 4 3 5" xfId="18037" xr:uid="{29982C3A-3725-4BA0-969D-38C7B7A01E7D}"/>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811097E3-0481-49D6-A6CD-4121AA596232}"/>
    <cellStyle name="40% - Accent2 4 4 2 2 3" xfId="29017" xr:uid="{EE4F0557-E017-4959-BCF8-032B3BA5EDE4}"/>
    <cellStyle name="40% - Accent2 4 4 2 3" xfId="12166" xr:uid="{4DDF17F8-E9F3-4E95-B409-EE03B09F1B95}"/>
    <cellStyle name="40% - Accent2 4 4 2 3 2" xfId="24806" xr:uid="{4E8F1479-389E-443E-8C91-8A1B01A48D9B}"/>
    <cellStyle name="40% - Accent2 4 4 2 4" xfId="20595" xr:uid="{02CA2F53-46E5-415B-AD71-A4BE462BA75E}"/>
    <cellStyle name="40% - Accent2 4 4 3" xfId="5810" xr:uid="{00000000-0005-0000-0000-0000E6040000}"/>
    <cellStyle name="40% - Accent2 4 4 3 2" xfId="14239" xr:uid="{82E98228-E17E-4E00-A9E2-41E3D1E5F874}"/>
    <cellStyle name="40% - Accent2 4 4 3 3" xfId="26872" xr:uid="{E25DBBA3-4BE6-401C-9A60-328BC6310F3C}"/>
    <cellStyle name="40% - Accent2 4 4 4" xfId="10021" xr:uid="{7E562CD4-EE3A-4AAA-9E4B-481D23509768}"/>
    <cellStyle name="40% - Accent2 4 4 4 2" xfId="22661" xr:uid="{3C2193C6-BEF8-40A1-8D84-9EBC481F6C0D}"/>
    <cellStyle name="40% - Accent2 4 4 5" xfId="18450" xr:uid="{074BD881-F8B3-4FB0-8632-C8C7D419240D}"/>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92C60BF7-59FE-4353-8E24-86DD70452330}"/>
    <cellStyle name="40% - Accent2 4 5 2 2 3" xfId="29430" xr:uid="{2F50CAD4-8C10-4734-8AF8-B99E57A845B9}"/>
    <cellStyle name="40% - Accent2 4 5 2 3" xfId="12579" xr:uid="{5E777F72-93F1-484D-8E10-7EE74382D80D}"/>
    <cellStyle name="40% - Accent2 4 5 2 3 2" xfId="25219" xr:uid="{D1C2E163-EC77-412F-9CE2-9CF73125DBC0}"/>
    <cellStyle name="40% - Accent2 4 5 2 4" xfId="21008" xr:uid="{F30F8F5F-8724-48D5-82D6-4BDCBE17F248}"/>
    <cellStyle name="40% - Accent2 4 5 3" xfId="6223" xr:uid="{00000000-0005-0000-0000-0000EA040000}"/>
    <cellStyle name="40% - Accent2 4 5 3 2" xfId="14652" xr:uid="{BFB2F8C4-E788-4216-868D-AD3C2FD39CEB}"/>
    <cellStyle name="40% - Accent2 4 5 3 3" xfId="27285" xr:uid="{49741593-B49D-40C2-B60B-800E07E31DAC}"/>
    <cellStyle name="40% - Accent2 4 5 4" xfId="10434" xr:uid="{2F8A812E-9363-4851-A470-5A3E88A8AC64}"/>
    <cellStyle name="40% - Accent2 4 5 4 2" xfId="23074" xr:uid="{25393D21-E6AC-4F9A-AF33-EB1BEC69C08F}"/>
    <cellStyle name="40% - Accent2 4 5 5" xfId="18863" xr:uid="{A9AAF850-7DF1-466B-A796-F1C66839D77E}"/>
    <cellStyle name="40% - Accent2 4 6" xfId="2328" xr:uid="{00000000-0005-0000-0000-0000EB040000}"/>
    <cellStyle name="40% - Accent2 4 6 2" xfId="6636" xr:uid="{00000000-0005-0000-0000-0000EC040000}"/>
    <cellStyle name="40% - Accent2 4 6 2 2" xfId="15065" xr:uid="{C3C3CEA8-2F4D-47D3-AE95-16AD71AF9076}"/>
    <cellStyle name="40% - Accent2 4 6 2 3" xfId="27698" xr:uid="{FCAEC6A0-9BC9-45B5-9496-929C65998049}"/>
    <cellStyle name="40% - Accent2 4 6 3" xfId="10847" xr:uid="{93B24B0B-766E-420E-860D-8CD2409DBAF0}"/>
    <cellStyle name="40% - Accent2 4 6 3 2" xfId="23487" xr:uid="{E9DBAFB1-DD94-440C-B655-D7C0F1D72326}"/>
    <cellStyle name="40% - Accent2 4 6 4" xfId="19276" xr:uid="{73912FCA-FFE3-4B03-8B21-EA365774A17E}"/>
    <cellStyle name="40% - Accent2 4 7" xfId="4570" xr:uid="{00000000-0005-0000-0000-0000ED040000}"/>
    <cellStyle name="40% - Accent2 4 7 2" xfId="12999" xr:uid="{0AD3FA42-6B82-4FD4-A1E4-5BF58DAFC73E}"/>
    <cellStyle name="40% - Accent2 4 7 3" xfId="25632" xr:uid="{88D77AA2-4E7B-4CC2-8745-40D80823CB5C}"/>
    <cellStyle name="40% - Accent2 4 8" xfId="8781" xr:uid="{BD65AF13-34A3-42E9-ABC4-E85555B7D3DA}"/>
    <cellStyle name="40% - Accent2 4 8 2" xfId="21421" xr:uid="{8A9F2803-DBA1-47F9-9954-DAA8DB166F9B}"/>
    <cellStyle name="40% - Accent2 4 9" xfId="17210" xr:uid="{41AB475B-AA67-47DD-802A-CBDA5521C62E}"/>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AFDC20DD-1B3A-4E5E-859F-256072C3B6EF}"/>
    <cellStyle name="40% - Accent2 5 2 2 3" xfId="28184" xr:uid="{FC7CCD1E-3A06-47C3-B32F-5343D13B6C88}"/>
    <cellStyle name="40% - Accent2 5 2 3" xfId="11333" xr:uid="{00C4769A-C7AC-4113-AB4C-EE881F05A671}"/>
    <cellStyle name="40% - Accent2 5 2 3 2" xfId="23973" xr:uid="{807807C8-D8CB-4FC4-8D02-505A9C2538EB}"/>
    <cellStyle name="40% - Accent2 5 2 4" xfId="19762" xr:uid="{A6DD3FDB-E1EA-4CEC-B311-05C730935DA6}"/>
    <cellStyle name="40% - Accent2 5 3" xfId="4977" xr:uid="{00000000-0005-0000-0000-0000F1040000}"/>
    <cellStyle name="40% - Accent2 5 3 2" xfId="13406" xr:uid="{58921528-7A3E-4717-BE14-1907E96E3542}"/>
    <cellStyle name="40% - Accent2 5 3 3" xfId="26039" xr:uid="{70C7FFDA-51DE-4334-98F5-F40C05E6E054}"/>
    <cellStyle name="40% - Accent2 5 4" xfId="9188" xr:uid="{EC215646-71AF-460A-8506-B61A58F7A1A0}"/>
    <cellStyle name="40% - Accent2 5 4 2" xfId="21828" xr:uid="{C95669A1-015B-4AC1-A534-2154C452B917}"/>
    <cellStyle name="40% - Accent2 5 5" xfId="17617" xr:uid="{CC953DA8-64F3-4B89-B07B-DAB2BB77EB1B}"/>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CFEED0E8-803B-4AD8-8519-D52241058B8B}"/>
    <cellStyle name="40% - Accent2 6 2 2 3" xfId="28597" xr:uid="{610D593B-81F7-4BC7-B932-12FAFB76D0A3}"/>
    <cellStyle name="40% - Accent2 6 2 3" xfId="11746" xr:uid="{487E9CA7-ADF6-4C0F-A54D-2F694C29B98B}"/>
    <cellStyle name="40% - Accent2 6 2 3 2" xfId="24386" xr:uid="{D3B46A64-E973-4650-9917-DE24A5611F6B}"/>
    <cellStyle name="40% - Accent2 6 2 4" xfId="20175" xr:uid="{413C925F-979D-4C29-95F6-E9140964D621}"/>
    <cellStyle name="40% - Accent2 6 3" xfId="5390" xr:uid="{00000000-0005-0000-0000-0000F5040000}"/>
    <cellStyle name="40% - Accent2 6 3 2" xfId="13819" xr:uid="{2B952906-FB98-49E7-BF6B-DAC7252233E8}"/>
    <cellStyle name="40% - Accent2 6 3 3" xfId="26452" xr:uid="{84BDECCF-E399-4D01-B6A7-26EE61C926DF}"/>
    <cellStyle name="40% - Accent2 6 4" xfId="9601" xr:uid="{19110614-7818-4F92-A59D-E7D59587C289}"/>
    <cellStyle name="40% - Accent2 6 4 2" xfId="22241" xr:uid="{1C66FD0C-FCE1-4599-A533-EFAB69FC4256}"/>
    <cellStyle name="40% - Accent2 6 5" xfId="18030" xr:uid="{78530507-AFAA-4817-A20C-4F6835351182}"/>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58B0968F-BC8B-474B-A9F3-7F2F584E54A0}"/>
    <cellStyle name="40% - Accent2 7 2 2 3" xfId="29010" xr:uid="{91052D78-28FE-4B6A-A4EB-5FA2EA71E431}"/>
    <cellStyle name="40% - Accent2 7 2 3" xfId="12159" xr:uid="{0895FCCB-3AFD-4FDC-B288-7DBFB665AE0A}"/>
    <cellStyle name="40% - Accent2 7 2 3 2" xfId="24799" xr:uid="{1AB680EB-CBE4-40AC-B370-28E48E8FBF0F}"/>
    <cellStyle name="40% - Accent2 7 2 4" xfId="20588" xr:uid="{A15CE1B0-80B5-4E81-B5B7-DFB6FC855F82}"/>
    <cellStyle name="40% - Accent2 7 3" xfId="5803" xr:uid="{00000000-0005-0000-0000-0000F9040000}"/>
    <cellStyle name="40% - Accent2 7 3 2" xfId="14232" xr:uid="{19ADA99A-79D8-4130-9D41-BBA42CBEBAD5}"/>
    <cellStyle name="40% - Accent2 7 3 3" xfId="26865" xr:uid="{C4C7FAD3-E3F2-4FAA-96EA-4428C92E1592}"/>
    <cellStyle name="40% - Accent2 7 4" xfId="10014" xr:uid="{1E6412D5-5125-485E-B493-AAD93AF516A9}"/>
    <cellStyle name="40% - Accent2 7 4 2" xfId="22654" xr:uid="{DDA394C4-6977-4E9A-A89F-6CDF8D714741}"/>
    <cellStyle name="40% - Accent2 7 5" xfId="18443" xr:uid="{6046F411-6BDA-408F-B2D3-988EABCD4F48}"/>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AD66A4D1-6EA1-418D-87AC-0B3632929B47}"/>
    <cellStyle name="40% - Accent2 8 2 2 3" xfId="29423" xr:uid="{BB0509C8-CE96-4128-B048-C8F855CC5227}"/>
    <cellStyle name="40% - Accent2 8 2 3" xfId="12572" xr:uid="{2C71BE22-AEFA-4518-AC00-1F00A7866A45}"/>
    <cellStyle name="40% - Accent2 8 2 3 2" xfId="25212" xr:uid="{A10B809A-3CAE-43B7-B3A0-DF3DCD357748}"/>
    <cellStyle name="40% - Accent2 8 2 4" xfId="21001" xr:uid="{C4B46888-0A7F-45A2-8791-BC436790AF69}"/>
    <cellStyle name="40% - Accent2 8 3" xfId="6216" xr:uid="{00000000-0005-0000-0000-0000FD040000}"/>
    <cellStyle name="40% - Accent2 8 3 2" xfId="14645" xr:uid="{880F6848-E27F-4CD8-96F8-DD54D37AA3A8}"/>
    <cellStyle name="40% - Accent2 8 3 3" xfId="27278" xr:uid="{148A7238-2020-4F19-AEAB-1CEC8F31FC0F}"/>
    <cellStyle name="40% - Accent2 8 4" xfId="10427" xr:uid="{E401C318-3CDE-4C1E-9455-66B6D629938B}"/>
    <cellStyle name="40% - Accent2 8 4 2" xfId="23067" xr:uid="{E8AC3A26-EB73-466E-9DFE-19A1B083CECF}"/>
    <cellStyle name="40% - Accent2 8 5" xfId="18856" xr:uid="{C075E1EE-851E-4DB8-BD2B-B13075E9471E}"/>
    <cellStyle name="40% - Accent2 9" xfId="2321" xr:uid="{00000000-0005-0000-0000-0000FE040000}"/>
    <cellStyle name="40% - Accent2 9 2" xfId="6629" xr:uid="{00000000-0005-0000-0000-0000FF040000}"/>
    <cellStyle name="40% - Accent2 9 2 2" xfId="15058" xr:uid="{95D790F1-FF8E-4168-8ABA-9872DEFA8DD9}"/>
    <cellStyle name="40% - Accent2 9 2 3" xfId="27691" xr:uid="{27E459DA-46D6-4223-BCD8-2109102995A2}"/>
    <cellStyle name="40% - Accent2 9 3" xfId="10840" xr:uid="{39CEA5B9-00E0-40D1-AC77-9BD090614C3F}"/>
    <cellStyle name="40% - Accent2 9 3 2" xfId="23480" xr:uid="{231CAF95-A748-497D-889A-CEF72C78F868}"/>
    <cellStyle name="40% - Accent2 9 4" xfId="19269" xr:uid="{FE514692-7520-4130-A1BB-A761E150EF29}"/>
    <cellStyle name="40% - Accent3" xfId="65" builtinId="39" customBuiltin="1"/>
    <cellStyle name="40% - Accent3 10" xfId="4571" xr:uid="{00000000-0005-0000-0000-000001050000}"/>
    <cellStyle name="40% - Accent3 10 2" xfId="13000" xr:uid="{B9418748-1EE1-45D7-AF66-B0AE557555D0}"/>
    <cellStyle name="40% - Accent3 10 3" xfId="25633" xr:uid="{F7A1EB02-D103-41C9-AE80-CE863E7BCEBB}"/>
    <cellStyle name="40% - Accent3 11" xfId="8782" xr:uid="{8CF123AC-E0A2-415A-AA82-9E42DCB89A2A}"/>
    <cellStyle name="40% - Accent3 11 2" xfId="21422" xr:uid="{F3D0D335-C4DD-439C-9073-7F760FEEC973}"/>
    <cellStyle name="40% - Accent3 12" xfId="17211" xr:uid="{CB2A5A1E-CEF0-42CA-9939-E2258965D7DC}"/>
    <cellStyle name="40% - Accent3 2" xfId="66" xr:uid="{00000000-0005-0000-0000-000002050000}"/>
    <cellStyle name="40% - Accent3 2 10" xfId="8783" xr:uid="{AFD1A4EA-17D6-4301-9730-D525C9299D0E}"/>
    <cellStyle name="40% - Accent3 2 10 2" xfId="21423" xr:uid="{4DB09307-787C-43C2-8509-2730A43DA5C2}"/>
    <cellStyle name="40% - Accent3 2 11" xfId="17212" xr:uid="{A72F2E2E-C38C-4AEC-9AEB-495B6DC2E7BB}"/>
    <cellStyle name="40% - Accent3 2 2" xfId="67" xr:uid="{00000000-0005-0000-0000-000003050000}"/>
    <cellStyle name="40% - Accent3 2 2 10" xfId="17213" xr:uid="{586F50A4-8577-41DC-9626-428DE5CE119F}"/>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E6F795A3-F75E-42CC-B2B9-0EC279596CBC}"/>
    <cellStyle name="40% - Accent3 2 2 2 2 2 2 3" xfId="28195" xr:uid="{25810D74-FF0B-4FBF-AACC-7EFAAFF7CCE9}"/>
    <cellStyle name="40% - Accent3 2 2 2 2 2 3" xfId="11344" xr:uid="{2880C7A4-5458-47DA-B7BA-91197ABC314B}"/>
    <cellStyle name="40% - Accent3 2 2 2 2 2 3 2" xfId="23984" xr:uid="{61A5FEC0-E2F0-4E22-A973-27224E7770A7}"/>
    <cellStyle name="40% - Accent3 2 2 2 2 2 4" xfId="19773" xr:uid="{C6898A0B-3BDB-45F4-8255-3E2BBD37A786}"/>
    <cellStyle name="40% - Accent3 2 2 2 2 3" xfId="4988" xr:uid="{00000000-0005-0000-0000-000008050000}"/>
    <cellStyle name="40% - Accent3 2 2 2 2 3 2" xfId="13417" xr:uid="{526E3973-EC4E-42AA-9BCA-31AE198B88D9}"/>
    <cellStyle name="40% - Accent3 2 2 2 2 3 3" xfId="26050" xr:uid="{CD9AE86D-742E-44EC-BA16-51BB02FFE386}"/>
    <cellStyle name="40% - Accent3 2 2 2 2 4" xfId="9199" xr:uid="{E0EF24AF-51E0-4F7C-A958-E1862DDDC2E6}"/>
    <cellStyle name="40% - Accent3 2 2 2 2 4 2" xfId="21839" xr:uid="{BEABF913-E095-44D7-9643-DDB461738987}"/>
    <cellStyle name="40% - Accent3 2 2 2 2 5" xfId="17628" xr:uid="{5863B5F1-CAF5-42A2-8214-B5FBC72E2439}"/>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28C31FD1-21A3-4294-A22A-54E082983D20}"/>
    <cellStyle name="40% - Accent3 2 2 2 3 2 2 3" xfId="28608" xr:uid="{E6D3E147-0414-4937-B3DD-15E34C673EBB}"/>
    <cellStyle name="40% - Accent3 2 2 2 3 2 3" xfId="11757" xr:uid="{C9AD3201-2CEC-4255-8093-5CF1D1B95835}"/>
    <cellStyle name="40% - Accent3 2 2 2 3 2 3 2" xfId="24397" xr:uid="{FED19CDA-14FD-4B66-9F16-A04CB767DDC4}"/>
    <cellStyle name="40% - Accent3 2 2 2 3 2 4" xfId="20186" xr:uid="{AFCB3466-B0AE-4A4B-A46F-ACF9BCC27E24}"/>
    <cellStyle name="40% - Accent3 2 2 2 3 3" xfId="5401" xr:uid="{00000000-0005-0000-0000-00000C050000}"/>
    <cellStyle name="40% - Accent3 2 2 2 3 3 2" xfId="13830" xr:uid="{8DDCBDB2-B0E4-4F34-9F43-B4F534161394}"/>
    <cellStyle name="40% - Accent3 2 2 2 3 3 3" xfId="26463" xr:uid="{E4243E53-D066-4A09-8646-8E48CAE11793}"/>
    <cellStyle name="40% - Accent3 2 2 2 3 4" xfId="9612" xr:uid="{CE5E989A-F147-4521-B91D-503D43694886}"/>
    <cellStyle name="40% - Accent3 2 2 2 3 4 2" xfId="22252" xr:uid="{E0615E9F-4777-49F0-B3F7-51B053D6856B}"/>
    <cellStyle name="40% - Accent3 2 2 2 3 5" xfId="18041" xr:uid="{D9A40545-D593-4AA7-A32F-5CFBEC91A611}"/>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3F235E9A-BD1F-44AB-8212-6765845AB1B5}"/>
    <cellStyle name="40% - Accent3 2 2 2 4 2 2 3" xfId="29021" xr:uid="{E34D586B-B2A5-47D4-A1BD-A5B3D6F8DF51}"/>
    <cellStyle name="40% - Accent3 2 2 2 4 2 3" xfId="12170" xr:uid="{11ED7E0C-6AAD-41EB-B37C-D68337F8F251}"/>
    <cellStyle name="40% - Accent3 2 2 2 4 2 3 2" xfId="24810" xr:uid="{242BCB4A-2F60-4F85-96AA-E8EB8895C35B}"/>
    <cellStyle name="40% - Accent3 2 2 2 4 2 4" xfId="20599" xr:uid="{2B803782-EAA1-421D-836A-1F861AB5D37D}"/>
    <cellStyle name="40% - Accent3 2 2 2 4 3" xfId="5814" xr:uid="{00000000-0005-0000-0000-000010050000}"/>
    <cellStyle name="40% - Accent3 2 2 2 4 3 2" xfId="14243" xr:uid="{FA008D3A-16FF-40A9-B2C0-C720A87A6AC9}"/>
    <cellStyle name="40% - Accent3 2 2 2 4 3 3" xfId="26876" xr:uid="{AAB0FA06-2FDC-4E3C-AF41-1269DB25B67D}"/>
    <cellStyle name="40% - Accent3 2 2 2 4 4" xfId="10025" xr:uid="{E0813A2F-1688-4902-8D6A-864CFE1A7AC5}"/>
    <cellStyle name="40% - Accent3 2 2 2 4 4 2" xfId="22665" xr:uid="{E184461C-5F3F-414F-8D54-9CE988A31693}"/>
    <cellStyle name="40% - Accent3 2 2 2 4 5" xfId="18454" xr:uid="{B5207FB5-E036-49FB-855D-A779D236C9C9}"/>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E37E3046-1DC5-42DD-AF99-3B0845D0F868}"/>
    <cellStyle name="40% - Accent3 2 2 2 5 2 2 3" xfId="29434" xr:uid="{0A2FD22B-97F2-46F4-B6C1-4A13860F007B}"/>
    <cellStyle name="40% - Accent3 2 2 2 5 2 3" xfId="12583" xr:uid="{D2988A73-5115-465A-9393-B99AEB8E18DB}"/>
    <cellStyle name="40% - Accent3 2 2 2 5 2 3 2" xfId="25223" xr:uid="{8E03C592-33D7-460C-B567-3ADA3350214A}"/>
    <cellStyle name="40% - Accent3 2 2 2 5 2 4" xfId="21012" xr:uid="{7576FBB6-8EBD-43EF-A477-7FF5759B1CBE}"/>
    <cellStyle name="40% - Accent3 2 2 2 5 3" xfId="6227" xr:uid="{00000000-0005-0000-0000-000014050000}"/>
    <cellStyle name="40% - Accent3 2 2 2 5 3 2" xfId="14656" xr:uid="{6D67954A-1FEC-498A-97F3-2EA4AB20965C}"/>
    <cellStyle name="40% - Accent3 2 2 2 5 3 3" xfId="27289" xr:uid="{0E202661-DA6D-4035-9D4B-ECDDAD996EE1}"/>
    <cellStyle name="40% - Accent3 2 2 2 5 4" xfId="10438" xr:uid="{57946EC0-EF16-4046-A50A-5475FAE1A0C4}"/>
    <cellStyle name="40% - Accent3 2 2 2 5 4 2" xfId="23078" xr:uid="{AADA922E-37FA-45F3-BC44-F6463B6CD320}"/>
    <cellStyle name="40% - Accent3 2 2 2 5 5" xfId="18867" xr:uid="{47900798-B4F5-43DF-8226-C2DDDDA8CC75}"/>
    <cellStyle name="40% - Accent3 2 2 2 6" xfId="2332" xr:uid="{00000000-0005-0000-0000-000015050000}"/>
    <cellStyle name="40% - Accent3 2 2 2 6 2" xfId="6640" xr:uid="{00000000-0005-0000-0000-000016050000}"/>
    <cellStyle name="40% - Accent3 2 2 2 6 2 2" xfId="15069" xr:uid="{EFF269AB-5555-4C57-8FE0-69F381317E00}"/>
    <cellStyle name="40% - Accent3 2 2 2 6 2 3" xfId="27702" xr:uid="{06BAEE02-627A-4B52-A5C4-3D213428ABE5}"/>
    <cellStyle name="40% - Accent3 2 2 2 6 3" xfId="10851" xr:uid="{EF3BB84B-39A0-4EAE-B8A3-FE959043DBDC}"/>
    <cellStyle name="40% - Accent3 2 2 2 6 3 2" xfId="23491" xr:uid="{77B84073-FA01-4A57-9544-D143FF247510}"/>
    <cellStyle name="40% - Accent3 2 2 2 6 4" xfId="19280" xr:uid="{5AE65AF3-DE4D-4AC3-A020-86646B17FA34}"/>
    <cellStyle name="40% - Accent3 2 2 2 7" xfId="4574" xr:uid="{00000000-0005-0000-0000-000017050000}"/>
    <cellStyle name="40% - Accent3 2 2 2 7 2" xfId="13003" xr:uid="{7C2648FD-8F6C-4F67-A96B-C5EC83AE1CB8}"/>
    <cellStyle name="40% - Accent3 2 2 2 7 3" xfId="25636" xr:uid="{45037895-8FEE-46CA-AE36-DA637C07A471}"/>
    <cellStyle name="40% - Accent3 2 2 2 8" xfId="8785" xr:uid="{7C654DD2-E5B3-4127-A9BB-B33ADC94C1EE}"/>
    <cellStyle name="40% - Accent3 2 2 2 8 2" xfId="21425" xr:uid="{2AD493BC-B1BF-4F02-8B02-966D8C2A29E6}"/>
    <cellStyle name="40% - Accent3 2 2 2 9" xfId="17214" xr:uid="{CC41592F-48C4-417D-A267-43D6B24C8838}"/>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F37A9CE9-6B8A-45CB-B94B-FD0E875C87FD}"/>
    <cellStyle name="40% - Accent3 2 2 3 2 2 3" xfId="28194" xr:uid="{8C3FE97E-D4F0-4F50-8FF4-52765C4A6191}"/>
    <cellStyle name="40% - Accent3 2 2 3 2 3" xfId="11343" xr:uid="{D1F4BD45-E5B3-4042-9D56-98A56C9FBF83}"/>
    <cellStyle name="40% - Accent3 2 2 3 2 3 2" xfId="23983" xr:uid="{F547D78D-8FFC-4013-B8BF-032A2F4B22CE}"/>
    <cellStyle name="40% - Accent3 2 2 3 2 4" xfId="19772" xr:uid="{3692C371-3B9A-4674-950B-B99D2F81E923}"/>
    <cellStyle name="40% - Accent3 2 2 3 3" xfId="4987" xr:uid="{00000000-0005-0000-0000-00001B050000}"/>
    <cellStyle name="40% - Accent3 2 2 3 3 2" xfId="13416" xr:uid="{AE51C6D1-A3F3-4862-869F-82C80C40A9A8}"/>
    <cellStyle name="40% - Accent3 2 2 3 3 3" xfId="26049" xr:uid="{4411385C-8AB3-46C7-B340-92AB198B3E1E}"/>
    <cellStyle name="40% - Accent3 2 2 3 4" xfId="9198" xr:uid="{96532981-85EF-40D8-8B2C-A3F3DD6F8960}"/>
    <cellStyle name="40% - Accent3 2 2 3 4 2" xfId="21838" xr:uid="{D4F79E40-796B-483D-A603-D2090FE14F52}"/>
    <cellStyle name="40% - Accent3 2 2 3 5" xfId="17627" xr:uid="{812FF4AE-DAE2-450C-9AB9-DED7CC62B4E8}"/>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E8967008-CD4C-4869-AFB7-4AF1FC26CBB9}"/>
    <cellStyle name="40% - Accent3 2 2 4 2 2 3" xfId="28607" xr:uid="{63232A22-994A-469D-BF1B-16F1E59DFA2D}"/>
    <cellStyle name="40% - Accent3 2 2 4 2 3" xfId="11756" xr:uid="{7276738E-5C69-4940-B3E5-C24BD0C23D28}"/>
    <cellStyle name="40% - Accent3 2 2 4 2 3 2" xfId="24396" xr:uid="{8B8EFC9D-ADC3-42AC-AAD5-E5FB52159AC1}"/>
    <cellStyle name="40% - Accent3 2 2 4 2 4" xfId="20185" xr:uid="{84B87C67-3A89-4B7E-85DF-DE9FF0ABA3A0}"/>
    <cellStyle name="40% - Accent3 2 2 4 3" xfId="5400" xr:uid="{00000000-0005-0000-0000-00001F050000}"/>
    <cellStyle name="40% - Accent3 2 2 4 3 2" xfId="13829" xr:uid="{2A5CD3A7-941A-4025-A977-A3B5A013D980}"/>
    <cellStyle name="40% - Accent3 2 2 4 3 3" xfId="26462" xr:uid="{8CF2BF8C-5B51-4329-A179-3057B6F2182D}"/>
    <cellStyle name="40% - Accent3 2 2 4 4" xfId="9611" xr:uid="{EFCC89E0-89DF-4AC0-BAE1-0E0DC660F64F}"/>
    <cellStyle name="40% - Accent3 2 2 4 4 2" xfId="22251" xr:uid="{06514B07-6D0E-45C3-953D-CDF78C2225B5}"/>
    <cellStyle name="40% - Accent3 2 2 4 5" xfId="18040" xr:uid="{D06C188E-F8D5-40BF-A50D-F4EC879501E5}"/>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CA912586-B59C-4339-B6E6-54DDC1C0AEDF}"/>
    <cellStyle name="40% - Accent3 2 2 5 2 2 3" xfId="29020" xr:uid="{3E272FD2-0F35-4563-964D-15D238DD824D}"/>
    <cellStyle name="40% - Accent3 2 2 5 2 3" xfId="12169" xr:uid="{3173C855-774F-4B98-A04D-CFC07A39592C}"/>
    <cellStyle name="40% - Accent3 2 2 5 2 3 2" xfId="24809" xr:uid="{D6FA5DF2-FA24-4A27-A8B4-C9ADD07E2459}"/>
    <cellStyle name="40% - Accent3 2 2 5 2 4" xfId="20598" xr:uid="{43E564D4-7917-4954-8C73-8CB9B22ECBAB}"/>
    <cellStyle name="40% - Accent3 2 2 5 3" xfId="5813" xr:uid="{00000000-0005-0000-0000-000023050000}"/>
    <cellStyle name="40% - Accent3 2 2 5 3 2" xfId="14242" xr:uid="{CE1A85F8-D38A-4D12-A0CB-20800ACBF021}"/>
    <cellStyle name="40% - Accent3 2 2 5 3 3" xfId="26875" xr:uid="{B8A7EFD9-EF51-4924-8D80-447D509A7DAD}"/>
    <cellStyle name="40% - Accent3 2 2 5 4" xfId="10024" xr:uid="{1944A91E-AA81-4352-9B5D-962582F715EB}"/>
    <cellStyle name="40% - Accent3 2 2 5 4 2" xfId="22664" xr:uid="{B8D031F2-D1C6-4757-8CDB-9FE73026BB91}"/>
    <cellStyle name="40% - Accent3 2 2 5 5" xfId="18453" xr:uid="{58188103-65A2-4A23-B2AC-9CA2F379EC98}"/>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086EF241-9414-4F03-B59A-76257EF34183}"/>
    <cellStyle name="40% - Accent3 2 2 6 2 2 3" xfId="29433" xr:uid="{80883AD9-BB62-43B7-A75C-E1BB7F7EF470}"/>
    <cellStyle name="40% - Accent3 2 2 6 2 3" xfId="12582" xr:uid="{DAAE5788-1F43-400D-B77C-8B11005F4CB0}"/>
    <cellStyle name="40% - Accent3 2 2 6 2 3 2" xfId="25222" xr:uid="{6B2CC2EA-EF6E-4927-AE7D-BDB6893A0808}"/>
    <cellStyle name="40% - Accent3 2 2 6 2 4" xfId="21011" xr:uid="{DCE4F872-1087-40A8-842B-58C4EFC62585}"/>
    <cellStyle name="40% - Accent3 2 2 6 3" xfId="6226" xr:uid="{00000000-0005-0000-0000-000027050000}"/>
    <cellStyle name="40% - Accent3 2 2 6 3 2" xfId="14655" xr:uid="{B644716C-3455-4A06-877A-0D4B6EA926F7}"/>
    <cellStyle name="40% - Accent3 2 2 6 3 3" xfId="27288" xr:uid="{8CE76648-DCE8-4084-865C-A70213068A85}"/>
    <cellStyle name="40% - Accent3 2 2 6 4" xfId="10437" xr:uid="{B1B24CC8-86A7-4B7A-926E-96F1FD9A32D8}"/>
    <cellStyle name="40% - Accent3 2 2 6 4 2" xfId="23077" xr:uid="{8AD107A1-F88C-47BB-9260-15C11371A032}"/>
    <cellStyle name="40% - Accent3 2 2 6 5" xfId="18866" xr:uid="{B8B0BF11-2E10-42A5-8CEA-192EA8B8511C}"/>
    <cellStyle name="40% - Accent3 2 2 7" xfId="2331" xr:uid="{00000000-0005-0000-0000-000028050000}"/>
    <cellStyle name="40% - Accent3 2 2 7 2" xfId="6639" xr:uid="{00000000-0005-0000-0000-000029050000}"/>
    <cellStyle name="40% - Accent3 2 2 7 2 2" xfId="15068" xr:uid="{77FC2E7C-4702-4507-B6D2-5A6BD01EF434}"/>
    <cellStyle name="40% - Accent3 2 2 7 2 3" xfId="27701" xr:uid="{EBB1A7B1-D8D7-4558-9970-2D3C2F77DBE1}"/>
    <cellStyle name="40% - Accent3 2 2 7 3" xfId="10850" xr:uid="{8E4BCDFA-6629-4838-8C0D-761F00EF9182}"/>
    <cellStyle name="40% - Accent3 2 2 7 3 2" xfId="23490" xr:uid="{C43A2651-05FA-4F78-9CC6-ECD3B0B2AF45}"/>
    <cellStyle name="40% - Accent3 2 2 7 4" xfId="19279" xr:uid="{7029324B-0575-4156-AC2C-A19288A8130C}"/>
    <cellStyle name="40% - Accent3 2 2 8" xfId="4573" xr:uid="{00000000-0005-0000-0000-00002A050000}"/>
    <cellStyle name="40% - Accent3 2 2 8 2" xfId="13002" xr:uid="{89D94954-A49B-4EF9-B497-66990D9A5F70}"/>
    <cellStyle name="40% - Accent3 2 2 8 3" xfId="25635" xr:uid="{3A7D3272-7F9B-4E9A-B3B0-7339CB2C4D10}"/>
    <cellStyle name="40% - Accent3 2 2 9" xfId="8784" xr:uid="{D1AE87B9-7B2E-4FD4-9C73-8988A5B3DC2B}"/>
    <cellStyle name="40% - Accent3 2 2 9 2" xfId="21424" xr:uid="{857DD894-1481-4C6D-BF9C-6DD5199A40F2}"/>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D82501FC-3DCA-4095-B1FB-56F0201E5352}"/>
    <cellStyle name="40% - Accent3 2 3 2 2 2 3" xfId="28196" xr:uid="{D9646FA4-4566-42AB-ADCF-ACED8F564B9E}"/>
    <cellStyle name="40% - Accent3 2 3 2 2 3" xfId="11345" xr:uid="{26D64ACA-C945-48DF-A55F-77FFE7B4FBA7}"/>
    <cellStyle name="40% - Accent3 2 3 2 2 3 2" xfId="23985" xr:uid="{484AFFC5-DADD-46F1-A926-9507F672A5D6}"/>
    <cellStyle name="40% - Accent3 2 3 2 2 4" xfId="19774" xr:uid="{4352817A-4FD9-4532-87B8-8D45C4C9739F}"/>
    <cellStyle name="40% - Accent3 2 3 2 3" xfId="4989" xr:uid="{00000000-0005-0000-0000-00002F050000}"/>
    <cellStyle name="40% - Accent3 2 3 2 3 2" xfId="13418" xr:uid="{423DA0A1-33B6-4287-B389-F9E34AFEBBA1}"/>
    <cellStyle name="40% - Accent3 2 3 2 3 3" xfId="26051" xr:uid="{196D1044-44C1-4530-953A-E26AB0BB30FE}"/>
    <cellStyle name="40% - Accent3 2 3 2 4" xfId="9200" xr:uid="{D5386973-B9BD-45DF-BBED-8691BD9112F2}"/>
    <cellStyle name="40% - Accent3 2 3 2 4 2" xfId="21840" xr:uid="{997430AB-4CFF-4814-AE06-56D084D054B0}"/>
    <cellStyle name="40% - Accent3 2 3 2 5" xfId="17629" xr:uid="{26F8863C-E859-4408-8968-7A09206E2E82}"/>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906EC788-3BA9-4405-AA2C-D807EE6BCB07}"/>
    <cellStyle name="40% - Accent3 2 3 3 2 2 3" xfId="28609" xr:uid="{2CE6B460-3935-4D40-A7D5-40598DEE5FA0}"/>
    <cellStyle name="40% - Accent3 2 3 3 2 3" xfId="11758" xr:uid="{675B35D4-360A-43DF-8CE7-7A81A9C834CE}"/>
    <cellStyle name="40% - Accent3 2 3 3 2 3 2" xfId="24398" xr:uid="{E77363D2-02C7-4300-AD42-8C385381F480}"/>
    <cellStyle name="40% - Accent3 2 3 3 2 4" xfId="20187" xr:uid="{69525EF6-7AC5-44AE-9EA4-B35EC9F4B596}"/>
    <cellStyle name="40% - Accent3 2 3 3 3" xfId="5402" xr:uid="{00000000-0005-0000-0000-000033050000}"/>
    <cellStyle name="40% - Accent3 2 3 3 3 2" xfId="13831" xr:uid="{A9CB6DE7-DD0A-4522-AF9C-B6896C08BAAF}"/>
    <cellStyle name="40% - Accent3 2 3 3 3 3" xfId="26464" xr:uid="{53B0BD42-5EF7-4F24-B3E6-E278BB08C54A}"/>
    <cellStyle name="40% - Accent3 2 3 3 4" xfId="9613" xr:uid="{A32D549E-4A33-44E0-BE4C-0A168431F5FB}"/>
    <cellStyle name="40% - Accent3 2 3 3 4 2" xfId="22253" xr:uid="{28FA8248-763B-40AA-A558-1F0F34CA0DE1}"/>
    <cellStyle name="40% - Accent3 2 3 3 5" xfId="18042" xr:uid="{1439B81A-7D6D-420A-AFAB-4DFE2136CFC3}"/>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6855A92A-76EA-495E-8FC5-6CB4DF67E3B5}"/>
    <cellStyle name="40% - Accent3 2 3 4 2 2 3" xfId="29022" xr:uid="{87C87393-9057-4041-9368-83659A0EE45A}"/>
    <cellStyle name="40% - Accent3 2 3 4 2 3" xfId="12171" xr:uid="{9486A5DD-909B-4B58-8CCC-1BFB3E2E9C3E}"/>
    <cellStyle name="40% - Accent3 2 3 4 2 3 2" xfId="24811" xr:uid="{B02EA086-86F2-4F7E-BC68-96B41445B93A}"/>
    <cellStyle name="40% - Accent3 2 3 4 2 4" xfId="20600" xr:uid="{51E5AA72-9D7A-4265-B481-59182D00ADC7}"/>
    <cellStyle name="40% - Accent3 2 3 4 3" xfId="5815" xr:uid="{00000000-0005-0000-0000-000037050000}"/>
    <cellStyle name="40% - Accent3 2 3 4 3 2" xfId="14244" xr:uid="{D8B49B5F-5F0A-44EB-98FB-AD37B6FE685A}"/>
    <cellStyle name="40% - Accent3 2 3 4 3 3" xfId="26877" xr:uid="{14006A17-51FF-4646-9714-0E2AF6F5E488}"/>
    <cellStyle name="40% - Accent3 2 3 4 4" xfId="10026" xr:uid="{3CCDC55B-B69B-47B5-A785-1DECE665AA19}"/>
    <cellStyle name="40% - Accent3 2 3 4 4 2" xfId="22666" xr:uid="{A6324D8B-98AC-47AD-809D-161A919EC503}"/>
    <cellStyle name="40% - Accent3 2 3 4 5" xfId="18455" xr:uid="{DB36B9B4-BAF1-4860-9980-0FFC70EBBB78}"/>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A28B912F-9C8E-4457-91FF-749E7E98D4C5}"/>
    <cellStyle name="40% - Accent3 2 3 5 2 2 3" xfId="29435" xr:uid="{FD9C87AE-8203-45ED-81F9-9D11742F9A34}"/>
    <cellStyle name="40% - Accent3 2 3 5 2 3" xfId="12584" xr:uid="{1BB21DA4-84FB-49C4-9507-9EAB98EE6F95}"/>
    <cellStyle name="40% - Accent3 2 3 5 2 3 2" xfId="25224" xr:uid="{34EE28E1-F500-4E6A-B3E2-70C055D10BAA}"/>
    <cellStyle name="40% - Accent3 2 3 5 2 4" xfId="21013" xr:uid="{A184CA82-5F71-44C8-9942-7D31F7C53815}"/>
    <cellStyle name="40% - Accent3 2 3 5 3" xfId="6228" xr:uid="{00000000-0005-0000-0000-00003B050000}"/>
    <cellStyle name="40% - Accent3 2 3 5 3 2" xfId="14657" xr:uid="{28F206FD-F9E0-4ABE-9255-D22822E6CC44}"/>
    <cellStyle name="40% - Accent3 2 3 5 3 3" xfId="27290" xr:uid="{3CB030C9-1A18-4DBB-BB70-875462921B87}"/>
    <cellStyle name="40% - Accent3 2 3 5 4" xfId="10439" xr:uid="{EAA01381-40D8-4BE5-918F-111E1DAC0B72}"/>
    <cellStyle name="40% - Accent3 2 3 5 4 2" xfId="23079" xr:uid="{C6D7786D-36FB-45C4-86BD-394B5B1F46E5}"/>
    <cellStyle name="40% - Accent3 2 3 5 5" xfId="18868" xr:uid="{926465BD-524E-4135-9CA3-E3B9C2C62595}"/>
    <cellStyle name="40% - Accent3 2 3 6" xfId="2333" xr:uid="{00000000-0005-0000-0000-00003C050000}"/>
    <cellStyle name="40% - Accent3 2 3 6 2" xfId="6641" xr:uid="{00000000-0005-0000-0000-00003D050000}"/>
    <cellStyle name="40% - Accent3 2 3 6 2 2" xfId="15070" xr:uid="{C04ECB21-1B9F-419F-9402-F5AD7C76A293}"/>
    <cellStyle name="40% - Accent3 2 3 6 2 3" xfId="27703" xr:uid="{82E44885-F4E6-4300-8627-88CAD9F2203E}"/>
    <cellStyle name="40% - Accent3 2 3 6 3" xfId="10852" xr:uid="{708DFC2A-9695-4018-9AFC-9B22D68F7962}"/>
    <cellStyle name="40% - Accent3 2 3 6 3 2" xfId="23492" xr:uid="{0995FECC-62D6-4ECD-BC59-ED0569C42230}"/>
    <cellStyle name="40% - Accent3 2 3 6 4" xfId="19281" xr:uid="{281180B0-F45D-45C2-87D9-AD98923B38D4}"/>
    <cellStyle name="40% - Accent3 2 3 7" xfId="4575" xr:uid="{00000000-0005-0000-0000-00003E050000}"/>
    <cellStyle name="40% - Accent3 2 3 7 2" xfId="13004" xr:uid="{BD940BF1-15AB-4F3B-9015-B6EF37F895C3}"/>
    <cellStyle name="40% - Accent3 2 3 7 3" xfId="25637" xr:uid="{314D482C-8E6E-4963-8E29-3DB7CB350CCF}"/>
    <cellStyle name="40% - Accent3 2 3 8" xfId="8786" xr:uid="{1FC8A00C-C4A7-4361-BF39-B8104A5FC2B7}"/>
    <cellStyle name="40% - Accent3 2 3 8 2" xfId="21426" xr:uid="{82A15C8A-C0C2-4F37-A10A-BEC87767D472}"/>
    <cellStyle name="40% - Accent3 2 3 9" xfId="17215" xr:uid="{F075269B-D140-4BE3-8A2C-4681B2E1465C}"/>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77EDF225-73AC-416D-8F54-C0638F232550}"/>
    <cellStyle name="40% - Accent3 2 4 2 2 3" xfId="28193" xr:uid="{73FFFB25-3A70-4C91-A3A9-710A599AC875}"/>
    <cellStyle name="40% - Accent3 2 4 2 3" xfId="11342" xr:uid="{019A0A02-C486-4F0D-A351-FD5E8A4A2497}"/>
    <cellStyle name="40% - Accent3 2 4 2 3 2" xfId="23982" xr:uid="{708AE64D-28A0-4ABB-AF78-40D4793FC328}"/>
    <cellStyle name="40% - Accent3 2 4 2 4" xfId="19771" xr:uid="{036D9275-7E70-4A52-98CF-8633D7BD1639}"/>
    <cellStyle name="40% - Accent3 2 4 3" xfId="4986" xr:uid="{00000000-0005-0000-0000-000042050000}"/>
    <cellStyle name="40% - Accent3 2 4 3 2" xfId="13415" xr:uid="{1409F487-E058-421D-BB72-0E522F9BAB5B}"/>
    <cellStyle name="40% - Accent3 2 4 3 3" xfId="26048" xr:uid="{CF43EE5B-8112-4926-BB63-ABD90AEB7CE3}"/>
    <cellStyle name="40% - Accent3 2 4 4" xfId="9197" xr:uid="{5CDA0A56-640F-4597-841D-88041A1C3012}"/>
    <cellStyle name="40% - Accent3 2 4 4 2" xfId="21837" xr:uid="{CCCE30FE-5478-43B3-9DF4-4E32EC2853DA}"/>
    <cellStyle name="40% - Accent3 2 4 5" xfId="17626" xr:uid="{0E20AD50-9F53-48FC-B06C-54720D1DD0D9}"/>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D10194F9-AE37-4882-B2A4-52EA9DEBEB38}"/>
    <cellStyle name="40% - Accent3 2 5 2 2 3" xfId="28606" xr:uid="{982B689D-A482-4E74-8C0B-5E23E86E756E}"/>
    <cellStyle name="40% - Accent3 2 5 2 3" xfId="11755" xr:uid="{793C94CF-83A9-4871-B60C-23190CF38FCF}"/>
    <cellStyle name="40% - Accent3 2 5 2 3 2" xfId="24395" xr:uid="{9EBDDBF4-C80E-4991-83E1-730842F3049F}"/>
    <cellStyle name="40% - Accent3 2 5 2 4" xfId="20184" xr:uid="{49026C1C-4E13-4CF1-B6C1-BDA5EBCCCCFE}"/>
    <cellStyle name="40% - Accent3 2 5 3" xfId="5399" xr:uid="{00000000-0005-0000-0000-000046050000}"/>
    <cellStyle name="40% - Accent3 2 5 3 2" xfId="13828" xr:uid="{A3487B61-7ED3-4DDB-975E-A1BB1481039B}"/>
    <cellStyle name="40% - Accent3 2 5 3 3" xfId="26461" xr:uid="{F691C3AD-DDBD-4215-AE0F-699B1DFFE828}"/>
    <cellStyle name="40% - Accent3 2 5 4" xfId="9610" xr:uid="{AEB60815-A02D-4961-B6C2-557A6C0C932C}"/>
    <cellStyle name="40% - Accent3 2 5 4 2" xfId="22250" xr:uid="{6722AA7E-4E56-44F0-8A86-7BB6B70854D0}"/>
    <cellStyle name="40% - Accent3 2 5 5" xfId="18039" xr:uid="{E5D8EF04-09EF-4E72-9BE9-C5DC85ED860A}"/>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20C23E79-DF00-4BA2-8FFB-F07F67480F62}"/>
    <cellStyle name="40% - Accent3 2 6 2 2 3" xfId="29019" xr:uid="{DAFAD41A-7A57-49D2-9ECA-B3D6F498778C}"/>
    <cellStyle name="40% - Accent3 2 6 2 3" xfId="12168" xr:uid="{253BB888-E03C-4E2F-9684-C41CD8A49EFC}"/>
    <cellStyle name="40% - Accent3 2 6 2 3 2" xfId="24808" xr:uid="{64EAF4BE-DDD4-44FB-8797-ACC23D03046A}"/>
    <cellStyle name="40% - Accent3 2 6 2 4" xfId="20597" xr:uid="{A30F6C35-066C-42E0-9EAD-158F91F5F33E}"/>
    <cellStyle name="40% - Accent3 2 6 3" xfId="5812" xr:uid="{00000000-0005-0000-0000-00004A050000}"/>
    <cellStyle name="40% - Accent3 2 6 3 2" xfId="14241" xr:uid="{7B6C55FD-80A3-4B5F-9A8C-10F7EF1BF096}"/>
    <cellStyle name="40% - Accent3 2 6 3 3" xfId="26874" xr:uid="{1FC20DDA-490E-45D8-A9D1-10675BD641A5}"/>
    <cellStyle name="40% - Accent3 2 6 4" xfId="10023" xr:uid="{ACFCCD40-AB6A-4BDE-BB2F-276A4D961737}"/>
    <cellStyle name="40% - Accent3 2 6 4 2" xfId="22663" xr:uid="{D338BB20-0D5B-4CC8-971B-D525939DBF12}"/>
    <cellStyle name="40% - Accent3 2 6 5" xfId="18452" xr:uid="{AE8C61BC-EF60-4587-AF75-9036DC9BFC77}"/>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25CA9A7D-8104-43C6-AB21-49FD31BD653D}"/>
    <cellStyle name="40% - Accent3 2 7 2 2 3" xfId="29432" xr:uid="{67AD6F2A-04CC-43DA-AA39-FA24E92AB7CA}"/>
    <cellStyle name="40% - Accent3 2 7 2 3" xfId="12581" xr:uid="{CA515393-29DC-4378-820B-0553C3165CDE}"/>
    <cellStyle name="40% - Accent3 2 7 2 3 2" xfId="25221" xr:uid="{009D6077-914C-43D5-8DD6-F853A56419BC}"/>
    <cellStyle name="40% - Accent3 2 7 2 4" xfId="21010" xr:uid="{0223E15E-D938-4ECD-AA2E-ADC96AE15355}"/>
    <cellStyle name="40% - Accent3 2 7 3" xfId="6225" xr:uid="{00000000-0005-0000-0000-00004E050000}"/>
    <cellStyle name="40% - Accent3 2 7 3 2" xfId="14654" xr:uid="{825E3DBB-55D5-4902-A689-DD027E2EFC37}"/>
    <cellStyle name="40% - Accent3 2 7 3 3" xfId="27287" xr:uid="{6EDA11DF-2445-4DCB-8DDC-46F4603225B9}"/>
    <cellStyle name="40% - Accent3 2 7 4" xfId="10436" xr:uid="{7946DBB9-273C-43DE-A784-CE30077A9AE9}"/>
    <cellStyle name="40% - Accent3 2 7 4 2" xfId="23076" xr:uid="{BE5FF819-C010-4C9C-BBFC-DC15A5D4C337}"/>
    <cellStyle name="40% - Accent3 2 7 5" xfId="18865" xr:uid="{E05DF7E0-742F-4B2E-9DBD-2A41ECF6CAD8}"/>
    <cellStyle name="40% - Accent3 2 8" xfId="2330" xr:uid="{00000000-0005-0000-0000-00004F050000}"/>
    <cellStyle name="40% - Accent3 2 8 2" xfId="6638" xr:uid="{00000000-0005-0000-0000-000050050000}"/>
    <cellStyle name="40% - Accent3 2 8 2 2" xfId="15067" xr:uid="{F1EF6A95-7ADC-4DE9-91F5-A5E6E0AD3560}"/>
    <cellStyle name="40% - Accent3 2 8 2 3" xfId="27700" xr:uid="{4F003CDB-68C0-47AB-B37B-A10796247571}"/>
    <cellStyle name="40% - Accent3 2 8 3" xfId="10849" xr:uid="{BDA498D2-2F2C-4198-863F-10BFA1237454}"/>
    <cellStyle name="40% - Accent3 2 8 3 2" xfId="23489" xr:uid="{9C8C073A-3F99-46E8-B4F1-883FB1284420}"/>
    <cellStyle name="40% - Accent3 2 8 4" xfId="19278" xr:uid="{5F7A6E19-DF41-4C9E-9C0F-C2DD63A17FF8}"/>
    <cellStyle name="40% - Accent3 2 9" xfId="4572" xr:uid="{00000000-0005-0000-0000-000051050000}"/>
    <cellStyle name="40% - Accent3 2 9 2" xfId="13001" xr:uid="{C9807D3F-A61D-431D-9FC6-4D8AF812B926}"/>
    <cellStyle name="40% - Accent3 2 9 3" xfId="25634" xr:uid="{D00D2CA9-6BD3-4BA6-BA24-CE9701ACA55C}"/>
    <cellStyle name="40% - Accent3 3" xfId="70" xr:uid="{00000000-0005-0000-0000-000052050000}"/>
    <cellStyle name="40% - Accent3 3 10" xfId="17216" xr:uid="{4F96DFE1-04C7-4516-84D3-21208763322E}"/>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BFDEE98F-C8DA-417F-A778-3C116DD9E1E2}"/>
    <cellStyle name="40% - Accent3 3 2 2 2 2 3" xfId="28198" xr:uid="{19768C7B-20C5-4201-BAC2-511D95C9C185}"/>
    <cellStyle name="40% - Accent3 3 2 2 2 3" xfId="11347" xr:uid="{4C0B2715-FD5B-4236-94D3-C4C03A79012E}"/>
    <cellStyle name="40% - Accent3 3 2 2 2 3 2" xfId="23987" xr:uid="{3E47B2DE-0CFC-448C-B940-BABF1C1EB2C2}"/>
    <cellStyle name="40% - Accent3 3 2 2 2 4" xfId="19776" xr:uid="{3493DDA7-033E-4E73-953D-21556810FD5A}"/>
    <cellStyle name="40% - Accent3 3 2 2 3" xfId="4991" xr:uid="{00000000-0005-0000-0000-000057050000}"/>
    <cellStyle name="40% - Accent3 3 2 2 3 2" xfId="13420" xr:uid="{EC4BC188-BF32-4FE3-B180-4815CC097C49}"/>
    <cellStyle name="40% - Accent3 3 2 2 3 3" xfId="26053" xr:uid="{FBA47860-833D-45C2-94F6-686821372441}"/>
    <cellStyle name="40% - Accent3 3 2 2 4" xfId="9202" xr:uid="{0F5ACF85-5C9D-4712-BC35-DCDCA6BC28DA}"/>
    <cellStyle name="40% - Accent3 3 2 2 4 2" xfId="21842" xr:uid="{DD39AA5E-9769-4B2B-9E61-1128E5C8035D}"/>
    <cellStyle name="40% - Accent3 3 2 2 5" xfId="17631" xr:uid="{83ED74D9-3DB2-47A0-9DAB-AEF8B0F0A744}"/>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88E68ACC-084F-4F14-99F2-D5E248623155}"/>
    <cellStyle name="40% - Accent3 3 2 3 2 2 3" xfId="28611" xr:uid="{CF9F3706-EC6B-4553-9172-29667282AE13}"/>
    <cellStyle name="40% - Accent3 3 2 3 2 3" xfId="11760" xr:uid="{5D2D8FCB-94C7-4C87-BE58-0BEE5E3DAA79}"/>
    <cellStyle name="40% - Accent3 3 2 3 2 3 2" xfId="24400" xr:uid="{4902C5FF-8004-4629-A6FF-9B86F593085C}"/>
    <cellStyle name="40% - Accent3 3 2 3 2 4" xfId="20189" xr:uid="{5F111DB9-F4F7-4AC4-A167-3AA7E413EB6C}"/>
    <cellStyle name="40% - Accent3 3 2 3 3" xfId="5404" xr:uid="{00000000-0005-0000-0000-00005B050000}"/>
    <cellStyle name="40% - Accent3 3 2 3 3 2" xfId="13833" xr:uid="{2B09BE00-9C2A-431B-AC7D-D0F78B5B7B30}"/>
    <cellStyle name="40% - Accent3 3 2 3 3 3" xfId="26466" xr:uid="{863D84EB-625B-4360-802C-886ABD6D7ACA}"/>
    <cellStyle name="40% - Accent3 3 2 3 4" xfId="9615" xr:uid="{E58FE9FC-8F07-4AC0-96FE-3C59B06FD523}"/>
    <cellStyle name="40% - Accent3 3 2 3 4 2" xfId="22255" xr:uid="{0FB9C885-B0D4-4CB0-8A64-978159FA90A6}"/>
    <cellStyle name="40% - Accent3 3 2 3 5" xfId="18044" xr:uid="{F8816C9C-3246-4E5B-9591-D068B9FC9EA0}"/>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05BB73C7-68AB-42F4-84F6-55CCD0A8BC0C}"/>
    <cellStyle name="40% - Accent3 3 2 4 2 2 3" xfId="29024" xr:uid="{5E0ADE82-7C9A-4881-8A97-DF309FA14F3B}"/>
    <cellStyle name="40% - Accent3 3 2 4 2 3" xfId="12173" xr:uid="{A2A6BD61-AF55-40AD-AFCC-C4C159F614BC}"/>
    <cellStyle name="40% - Accent3 3 2 4 2 3 2" xfId="24813" xr:uid="{1350F814-1984-45D9-8854-2D6C3D9E67C7}"/>
    <cellStyle name="40% - Accent3 3 2 4 2 4" xfId="20602" xr:uid="{92431CA6-0D7F-4AFB-A10E-2302D2B07ABE}"/>
    <cellStyle name="40% - Accent3 3 2 4 3" xfId="5817" xr:uid="{00000000-0005-0000-0000-00005F050000}"/>
    <cellStyle name="40% - Accent3 3 2 4 3 2" xfId="14246" xr:uid="{DDF9C501-E521-458D-B112-1D91BFD8E1E3}"/>
    <cellStyle name="40% - Accent3 3 2 4 3 3" xfId="26879" xr:uid="{BAFEC602-B914-43D6-B205-AE0EB4D4C465}"/>
    <cellStyle name="40% - Accent3 3 2 4 4" xfId="10028" xr:uid="{686054C6-89FC-4635-B17A-5A6D39CD0B0A}"/>
    <cellStyle name="40% - Accent3 3 2 4 4 2" xfId="22668" xr:uid="{6D881032-8DB3-4366-AEC8-B03244F2B122}"/>
    <cellStyle name="40% - Accent3 3 2 4 5" xfId="18457" xr:uid="{870ECC43-D100-482A-BEE5-7F4C05A6C9C3}"/>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735920FE-3A19-4F18-912D-7825979D1A5D}"/>
    <cellStyle name="40% - Accent3 3 2 5 2 2 3" xfId="29437" xr:uid="{403BE1DD-7FA9-4238-AAFD-10D5147E6C74}"/>
    <cellStyle name="40% - Accent3 3 2 5 2 3" xfId="12586" xr:uid="{0448A475-196D-46AC-B354-D6F43E6CAF68}"/>
    <cellStyle name="40% - Accent3 3 2 5 2 3 2" xfId="25226" xr:uid="{779090DB-5301-4408-94CC-83ADAB52B730}"/>
    <cellStyle name="40% - Accent3 3 2 5 2 4" xfId="21015" xr:uid="{0AD3919D-E7D7-46EB-AE1E-43872AE9B3A4}"/>
    <cellStyle name="40% - Accent3 3 2 5 3" xfId="6230" xr:uid="{00000000-0005-0000-0000-000063050000}"/>
    <cellStyle name="40% - Accent3 3 2 5 3 2" xfId="14659" xr:uid="{6FD414D3-90F8-4571-A650-035C56489986}"/>
    <cellStyle name="40% - Accent3 3 2 5 3 3" xfId="27292" xr:uid="{56EBC5AF-35D7-4D82-AA9D-EBB22606B313}"/>
    <cellStyle name="40% - Accent3 3 2 5 4" xfId="10441" xr:uid="{B94941DA-9468-47A8-A69A-A97DF32918C6}"/>
    <cellStyle name="40% - Accent3 3 2 5 4 2" xfId="23081" xr:uid="{0E903A0B-7703-46BA-9BEE-419B8D91EB58}"/>
    <cellStyle name="40% - Accent3 3 2 5 5" xfId="18870" xr:uid="{38157B73-389E-4974-A0B1-C3C759247728}"/>
    <cellStyle name="40% - Accent3 3 2 6" xfId="2335" xr:uid="{00000000-0005-0000-0000-000064050000}"/>
    <cellStyle name="40% - Accent3 3 2 6 2" xfId="6643" xr:uid="{00000000-0005-0000-0000-000065050000}"/>
    <cellStyle name="40% - Accent3 3 2 6 2 2" xfId="15072" xr:uid="{60CA5B3A-6E37-4B17-B54A-6CE97C347005}"/>
    <cellStyle name="40% - Accent3 3 2 6 2 3" xfId="27705" xr:uid="{C7C75CCE-5FEA-47CE-BCB5-91B57CA97B0A}"/>
    <cellStyle name="40% - Accent3 3 2 6 3" xfId="10854" xr:uid="{EDAF72EE-3E83-40EB-8E83-E29B05354816}"/>
    <cellStyle name="40% - Accent3 3 2 6 3 2" xfId="23494" xr:uid="{6BB952A9-032F-47FC-8DE3-F98C02E72357}"/>
    <cellStyle name="40% - Accent3 3 2 6 4" xfId="19283" xr:uid="{DE0EB433-6C74-445D-AF21-FCEEA20C9DCB}"/>
    <cellStyle name="40% - Accent3 3 2 7" xfId="4577" xr:uid="{00000000-0005-0000-0000-000066050000}"/>
    <cellStyle name="40% - Accent3 3 2 7 2" xfId="13006" xr:uid="{14D53833-31FB-4794-8B53-43C4AEA09B58}"/>
    <cellStyle name="40% - Accent3 3 2 7 3" xfId="25639" xr:uid="{266DD3D6-FDD9-472A-99AC-A46BC4E39952}"/>
    <cellStyle name="40% - Accent3 3 2 8" xfId="8788" xr:uid="{15151A7B-680B-40FD-812E-FD52ECC5AE75}"/>
    <cellStyle name="40% - Accent3 3 2 8 2" xfId="21428" xr:uid="{ACF97056-A51E-4AA0-B676-4DE4942474DC}"/>
    <cellStyle name="40% - Accent3 3 2 9" xfId="17217" xr:uid="{EBCDD2B7-6D4E-4FBD-AE64-691A58E0F843}"/>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0114B21F-2B89-437E-871F-F654145E657E}"/>
    <cellStyle name="40% - Accent3 3 3 2 2 3" xfId="28197" xr:uid="{E3763B2D-712A-4A2E-BE93-99679BDA7D00}"/>
    <cellStyle name="40% - Accent3 3 3 2 3" xfId="11346" xr:uid="{33D8FF41-91C3-4CBF-AA21-29EEBA35529A}"/>
    <cellStyle name="40% - Accent3 3 3 2 3 2" xfId="23986" xr:uid="{5E82A521-8616-457C-BFDF-66C43A8A7805}"/>
    <cellStyle name="40% - Accent3 3 3 2 4" xfId="19775" xr:uid="{5E4C6E9E-0B24-45FF-8D17-FAE035DD5CCE}"/>
    <cellStyle name="40% - Accent3 3 3 3" xfId="4990" xr:uid="{00000000-0005-0000-0000-00006A050000}"/>
    <cellStyle name="40% - Accent3 3 3 3 2" xfId="13419" xr:uid="{837B70B7-93AE-4051-825A-A3D838806A41}"/>
    <cellStyle name="40% - Accent3 3 3 3 3" xfId="26052" xr:uid="{43A9295B-B389-4D5D-B585-484F4A72F32B}"/>
    <cellStyle name="40% - Accent3 3 3 4" xfId="9201" xr:uid="{FA46877A-4ECF-4169-A3E7-891F4728327E}"/>
    <cellStyle name="40% - Accent3 3 3 4 2" xfId="21841" xr:uid="{85BA1246-7B5C-4CBE-9071-254EAFD32232}"/>
    <cellStyle name="40% - Accent3 3 3 5" xfId="17630" xr:uid="{F5F9FE89-9E4E-4738-9FB5-48949C8DE60B}"/>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F6D13D47-74F0-46F3-84FD-B41F55F719AA}"/>
    <cellStyle name="40% - Accent3 3 4 2 2 3" xfId="28610" xr:uid="{515B5753-CC4F-48E9-A266-39A645B20EAC}"/>
    <cellStyle name="40% - Accent3 3 4 2 3" xfId="11759" xr:uid="{673971D6-B4F9-4C57-87FC-F181AC3BBCAB}"/>
    <cellStyle name="40% - Accent3 3 4 2 3 2" xfId="24399" xr:uid="{2C21CF67-25C6-4498-BE9D-296454B417EF}"/>
    <cellStyle name="40% - Accent3 3 4 2 4" xfId="20188" xr:uid="{DDE3C0CF-B4B6-4F3D-BEBB-CEB898F1A3A5}"/>
    <cellStyle name="40% - Accent3 3 4 3" xfId="5403" xr:uid="{00000000-0005-0000-0000-00006E050000}"/>
    <cellStyle name="40% - Accent3 3 4 3 2" xfId="13832" xr:uid="{11957886-0509-4074-8F36-CC7F9BAB338E}"/>
    <cellStyle name="40% - Accent3 3 4 3 3" xfId="26465" xr:uid="{2F66F5EF-60B1-41EB-88E3-1ACCDB9060AE}"/>
    <cellStyle name="40% - Accent3 3 4 4" xfId="9614" xr:uid="{FFCAE6F7-D73B-436D-832D-8F4A27238BD8}"/>
    <cellStyle name="40% - Accent3 3 4 4 2" xfId="22254" xr:uid="{CD67069D-851F-4852-B688-0D6B7A01C089}"/>
    <cellStyle name="40% - Accent3 3 4 5" xfId="18043" xr:uid="{639C5D54-9B4A-472D-BA0B-7D996FF57D2A}"/>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319EC7D0-5832-4DF2-98C4-D1EAE8CE5D2F}"/>
    <cellStyle name="40% - Accent3 3 5 2 2 3" xfId="29023" xr:uid="{6BDB54F1-F879-4E7F-9714-C986ABFFE5A8}"/>
    <cellStyle name="40% - Accent3 3 5 2 3" xfId="12172" xr:uid="{10E3A9D0-F6AD-48B7-B8A9-85045188F9BC}"/>
    <cellStyle name="40% - Accent3 3 5 2 3 2" xfId="24812" xr:uid="{DA765480-5AA5-4602-9E6C-289559B1821E}"/>
    <cellStyle name="40% - Accent3 3 5 2 4" xfId="20601" xr:uid="{00D1FF5B-4A55-4E30-965F-8BF25F2C15E7}"/>
    <cellStyle name="40% - Accent3 3 5 3" xfId="5816" xr:uid="{00000000-0005-0000-0000-000072050000}"/>
    <cellStyle name="40% - Accent3 3 5 3 2" xfId="14245" xr:uid="{46B838FF-9B7D-46A4-8079-BD0B72A1FFA9}"/>
    <cellStyle name="40% - Accent3 3 5 3 3" xfId="26878" xr:uid="{A73B4B45-4EDA-4C78-BA67-7A88521517BC}"/>
    <cellStyle name="40% - Accent3 3 5 4" xfId="10027" xr:uid="{5CA8D569-8846-43BD-8FB7-E9ED5EFA1891}"/>
    <cellStyle name="40% - Accent3 3 5 4 2" xfId="22667" xr:uid="{6BA860A5-0497-4718-8AA0-26C0D9EBBA35}"/>
    <cellStyle name="40% - Accent3 3 5 5" xfId="18456" xr:uid="{F65261AC-CF09-4938-9236-7A16777D513C}"/>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4C2EABEE-4F07-426F-9D32-B86F31352CCF}"/>
    <cellStyle name="40% - Accent3 3 6 2 2 3" xfId="29436" xr:uid="{EACAE329-29A2-43D8-9038-B97C004B6798}"/>
    <cellStyle name="40% - Accent3 3 6 2 3" xfId="12585" xr:uid="{BE96168C-7F35-4BC3-B8AA-93705FB86DF6}"/>
    <cellStyle name="40% - Accent3 3 6 2 3 2" xfId="25225" xr:uid="{89B72F06-D803-42E4-8963-8E164FC7D148}"/>
    <cellStyle name="40% - Accent3 3 6 2 4" xfId="21014" xr:uid="{59B9447E-CC90-4603-A56D-AAC7271DF29A}"/>
    <cellStyle name="40% - Accent3 3 6 3" xfId="6229" xr:uid="{00000000-0005-0000-0000-000076050000}"/>
    <cellStyle name="40% - Accent3 3 6 3 2" xfId="14658" xr:uid="{A28EC15B-6270-47A0-9059-F00BC75AA8C7}"/>
    <cellStyle name="40% - Accent3 3 6 3 3" xfId="27291" xr:uid="{6EEE0035-2BE7-4D1D-8F7C-F75234A9BCFE}"/>
    <cellStyle name="40% - Accent3 3 6 4" xfId="10440" xr:uid="{499EE28B-A079-48AF-8CCA-F60C91703891}"/>
    <cellStyle name="40% - Accent3 3 6 4 2" xfId="23080" xr:uid="{B3D90BE4-5595-44E0-B940-EA2BB5596528}"/>
    <cellStyle name="40% - Accent3 3 6 5" xfId="18869" xr:uid="{BBCACCF5-F71C-4B2F-8ED6-939A539E549B}"/>
    <cellStyle name="40% - Accent3 3 7" xfId="2334" xr:uid="{00000000-0005-0000-0000-000077050000}"/>
    <cellStyle name="40% - Accent3 3 7 2" xfId="6642" xr:uid="{00000000-0005-0000-0000-000078050000}"/>
    <cellStyle name="40% - Accent3 3 7 2 2" xfId="15071" xr:uid="{5DD93105-4095-463C-859A-1D1BF4EE7DEC}"/>
    <cellStyle name="40% - Accent3 3 7 2 3" xfId="27704" xr:uid="{7BA70001-7C9E-4F70-A012-6016946A2E83}"/>
    <cellStyle name="40% - Accent3 3 7 3" xfId="10853" xr:uid="{CF984C1A-D07B-486B-8BAC-C3543F39D317}"/>
    <cellStyle name="40% - Accent3 3 7 3 2" xfId="23493" xr:uid="{7C7137EF-4F6B-4D1E-99E2-18DA31FBF507}"/>
    <cellStyle name="40% - Accent3 3 7 4" xfId="19282" xr:uid="{3AC68DE7-1E16-439A-9063-0C7A27043B38}"/>
    <cellStyle name="40% - Accent3 3 8" xfId="4576" xr:uid="{00000000-0005-0000-0000-000079050000}"/>
    <cellStyle name="40% - Accent3 3 8 2" xfId="13005" xr:uid="{01CC886F-F014-43E3-979C-ED1A711AD890}"/>
    <cellStyle name="40% - Accent3 3 8 3" xfId="25638" xr:uid="{E98EFF1B-8D05-4D26-93DA-1DE251126B76}"/>
    <cellStyle name="40% - Accent3 3 9" xfId="8787" xr:uid="{4C31699E-1B73-4653-A955-65C0C71A031D}"/>
    <cellStyle name="40% - Accent3 3 9 2" xfId="21427" xr:uid="{41A1E01C-EE42-4CD3-96B5-2B041BFB8F9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4928A9C6-1F69-44B3-B4A4-E496268E372C}"/>
    <cellStyle name="40% - Accent3 4 2 2 2 3" xfId="28199" xr:uid="{D6FD0731-346A-44C2-A8F6-1C3096CD2AB3}"/>
    <cellStyle name="40% - Accent3 4 2 2 3" xfId="11348" xr:uid="{115EF57F-27A2-443D-A07B-39DCE0A23236}"/>
    <cellStyle name="40% - Accent3 4 2 2 3 2" xfId="23988" xr:uid="{E2E4A5DC-F85D-40A6-9818-A891D2B63F1F}"/>
    <cellStyle name="40% - Accent3 4 2 2 4" xfId="19777" xr:uid="{0E29EA2B-93B3-4DA7-894A-6AA6C6C3CDAF}"/>
    <cellStyle name="40% - Accent3 4 2 3" xfId="4992" xr:uid="{00000000-0005-0000-0000-00007E050000}"/>
    <cellStyle name="40% - Accent3 4 2 3 2" xfId="13421" xr:uid="{099E8D99-D4D8-4CDA-9891-BA0A763EE3E1}"/>
    <cellStyle name="40% - Accent3 4 2 3 3" xfId="26054" xr:uid="{E39DF565-60B2-4F98-8135-ED7E00E2AE1E}"/>
    <cellStyle name="40% - Accent3 4 2 4" xfId="9203" xr:uid="{1B26CE8A-EE94-4765-BACE-6ED0121E67C9}"/>
    <cellStyle name="40% - Accent3 4 2 4 2" xfId="21843" xr:uid="{A733548C-C46F-402F-A8AB-F77CC47BD770}"/>
    <cellStyle name="40% - Accent3 4 2 5" xfId="17632" xr:uid="{2CAF1325-3918-4B43-94AF-796AA33A800E}"/>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0541C81D-15CB-4E59-9649-DB0B6A41D1FD}"/>
    <cellStyle name="40% - Accent3 4 3 2 2 3" xfId="28612" xr:uid="{6B2BD8D0-CA31-461F-8ADC-58F5F8C56341}"/>
    <cellStyle name="40% - Accent3 4 3 2 3" xfId="11761" xr:uid="{49A7F1A3-82BF-4E13-88DB-87288EA419BE}"/>
    <cellStyle name="40% - Accent3 4 3 2 3 2" xfId="24401" xr:uid="{1EB765ED-40EE-4AC4-9F7A-0E21437F307D}"/>
    <cellStyle name="40% - Accent3 4 3 2 4" xfId="20190" xr:uid="{5C0CE91B-53FA-4B21-96EB-BEE01332EB3F}"/>
    <cellStyle name="40% - Accent3 4 3 3" xfId="5405" xr:uid="{00000000-0005-0000-0000-000082050000}"/>
    <cellStyle name="40% - Accent3 4 3 3 2" xfId="13834" xr:uid="{7550EBF3-EEF3-4F74-9BB6-435FDB96DE88}"/>
    <cellStyle name="40% - Accent3 4 3 3 3" xfId="26467" xr:uid="{9D8F8C8B-EB12-4D38-A567-0B1ABBE83C32}"/>
    <cellStyle name="40% - Accent3 4 3 4" xfId="9616" xr:uid="{2DD654CA-482F-4819-84F7-AF39D14A28BC}"/>
    <cellStyle name="40% - Accent3 4 3 4 2" xfId="22256" xr:uid="{029F4873-ACBA-46B5-9C5E-C52A6748A073}"/>
    <cellStyle name="40% - Accent3 4 3 5" xfId="18045" xr:uid="{38A78E50-3F70-4EA6-A996-974CFF86533A}"/>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B997F2FB-F4EA-4D4E-8A51-F97D7977592C}"/>
    <cellStyle name="40% - Accent3 4 4 2 2 3" xfId="29025" xr:uid="{106681C7-EEAC-4798-8147-E449658C352D}"/>
    <cellStyle name="40% - Accent3 4 4 2 3" xfId="12174" xr:uid="{6E2881DA-A7E5-4D3D-A2F1-FE55D9954F39}"/>
    <cellStyle name="40% - Accent3 4 4 2 3 2" xfId="24814" xr:uid="{1D1DB3FE-641C-451D-B3A4-2EAF8B918BE0}"/>
    <cellStyle name="40% - Accent3 4 4 2 4" xfId="20603" xr:uid="{2BA5A213-ABF3-4028-B930-6591A9E57559}"/>
    <cellStyle name="40% - Accent3 4 4 3" xfId="5818" xr:uid="{00000000-0005-0000-0000-000086050000}"/>
    <cellStyle name="40% - Accent3 4 4 3 2" xfId="14247" xr:uid="{C71FBA5B-0577-434F-8497-C26721BA68CC}"/>
    <cellStyle name="40% - Accent3 4 4 3 3" xfId="26880" xr:uid="{A9604C78-7889-4A70-A979-A4012AAD0A9C}"/>
    <cellStyle name="40% - Accent3 4 4 4" xfId="10029" xr:uid="{8C83DED1-7EB2-4ADE-9F79-06E6E77E1668}"/>
    <cellStyle name="40% - Accent3 4 4 4 2" xfId="22669" xr:uid="{2D98B089-C61D-47A8-AC2C-508FC158D73F}"/>
    <cellStyle name="40% - Accent3 4 4 5" xfId="18458" xr:uid="{54C74837-98D0-4D21-AC1B-C2A3A818775B}"/>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E348A863-9DE3-47AF-939B-23B7E0892591}"/>
    <cellStyle name="40% - Accent3 4 5 2 2 3" xfId="29438" xr:uid="{8BDCE6F7-FCA2-43D1-AE31-90CE5AF880CB}"/>
    <cellStyle name="40% - Accent3 4 5 2 3" xfId="12587" xr:uid="{B3289D2F-B4B1-4FB2-8DEA-F625CEE799A5}"/>
    <cellStyle name="40% - Accent3 4 5 2 3 2" xfId="25227" xr:uid="{EB20C241-78DB-4BBA-AC80-032816D4C87C}"/>
    <cellStyle name="40% - Accent3 4 5 2 4" xfId="21016" xr:uid="{02B60852-BE8D-4FDA-8EFD-49BABC7BE74D}"/>
    <cellStyle name="40% - Accent3 4 5 3" xfId="6231" xr:uid="{00000000-0005-0000-0000-00008A050000}"/>
    <cellStyle name="40% - Accent3 4 5 3 2" xfId="14660" xr:uid="{E1082D36-5AA6-4F88-9308-A7CE84F007CA}"/>
    <cellStyle name="40% - Accent3 4 5 3 3" xfId="27293" xr:uid="{C9FE2DA9-9964-4B76-9B92-636AB69CAC7C}"/>
    <cellStyle name="40% - Accent3 4 5 4" xfId="10442" xr:uid="{FB7F5144-FFC3-422A-9813-1CC71E0767BA}"/>
    <cellStyle name="40% - Accent3 4 5 4 2" xfId="23082" xr:uid="{CDF64FAE-CBB5-4E0A-8B7A-1562A1180C98}"/>
    <cellStyle name="40% - Accent3 4 5 5" xfId="18871" xr:uid="{C5CA1D96-1E76-44F6-89A6-015864533367}"/>
    <cellStyle name="40% - Accent3 4 6" xfId="2336" xr:uid="{00000000-0005-0000-0000-00008B050000}"/>
    <cellStyle name="40% - Accent3 4 6 2" xfId="6644" xr:uid="{00000000-0005-0000-0000-00008C050000}"/>
    <cellStyle name="40% - Accent3 4 6 2 2" xfId="15073" xr:uid="{26677536-9260-488A-BEC3-350C67E1CBC4}"/>
    <cellStyle name="40% - Accent3 4 6 2 3" xfId="27706" xr:uid="{517471AB-2D97-4A93-937E-50A492695C2C}"/>
    <cellStyle name="40% - Accent3 4 6 3" xfId="10855" xr:uid="{4EA3BC08-539B-4F72-99E4-D32587BCA94E}"/>
    <cellStyle name="40% - Accent3 4 6 3 2" xfId="23495" xr:uid="{AEF717AF-8998-4791-8A6D-3DF6EAC78ACB}"/>
    <cellStyle name="40% - Accent3 4 6 4" xfId="19284" xr:uid="{E0C800F2-7583-4B5D-BF6E-6727F990CCEE}"/>
    <cellStyle name="40% - Accent3 4 7" xfId="4578" xr:uid="{00000000-0005-0000-0000-00008D050000}"/>
    <cellStyle name="40% - Accent3 4 7 2" xfId="13007" xr:uid="{9F481811-489C-4FBB-A6AF-98C46F7A2571}"/>
    <cellStyle name="40% - Accent3 4 7 3" xfId="25640" xr:uid="{DF5F07BD-D724-4CAF-B060-C4B8EC102211}"/>
    <cellStyle name="40% - Accent3 4 8" xfId="8789" xr:uid="{13214CFA-6C54-4AAB-B50A-4CCD5F6476E2}"/>
    <cellStyle name="40% - Accent3 4 8 2" xfId="21429" xr:uid="{3B0C2205-2C03-4979-9796-3B1A898D83FD}"/>
    <cellStyle name="40% - Accent3 4 9" xfId="17218" xr:uid="{1DA04ED1-A89A-4088-9433-C0DFDCE75274}"/>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C69D71D3-1C25-4285-8E6A-0EC7CDD4DEDB}"/>
    <cellStyle name="40% - Accent3 5 2 2 3" xfId="28192" xr:uid="{1D0DF416-B0A5-4B6C-8A24-7EE540546F1F}"/>
    <cellStyle name="40% - Accent3 5 2 3" xfId="11341" xr:uid="{25655327-6706-4DC7-8C08-9E14605E7C88}"/>
    <cellStyle name="40% - Accent3 5 2 3 2" xfId="23981" xr:uid="{CFD5E776-971A-41F6-8932-4574175D796A}"/>
    <cellStyle name="40% - Accent3 5 2 4" xfId="19770" xr:uid="{DFBDB0D4-F441-4676-BC17-CACA6C45A5A1}"/>
    <cellStyle name="40% - Accent3 5 3" xfId="4985" xr:uid="{00000000-0005-0000-0000-000091050000}"/>
    <cellStyle name="40% - Accent3 5 3 2" xfId="13414" xr:uid="{D0D4A1EA-5FE7-40CE-8F1E-70A38D508F2E}"/>
    <cellStyle name="40% - Accent3 5 3 3" xfId="26047" xr:uid="{7A8EDC70-B28B-434A-8360-6B7E387A0392}"/>
    <cellStyle name="40% - Accent3 5 4" xfId="9196" xr:uid="{E2F4B111-C192-428F-BC65-636EB369B160}"/>
    <cellStyle name="40% - Accent3 5 4 2" xfId="21836" xr:uid="{1DD0D722-A74F-45EE-B8BB-2028365BE56F}"/>
    <cellStyle name="40% - Accent3 5 5" xfId="17625" xr:uid="{1112E4FB-BAA4-4E48-A76B-DC2F11AC49CB}"/>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B9712093-BC16-4232-9F8D-036FF9580053}"/>
    <cellStyle name="40% - Accent3 6 2 2 3" xfId="28605" xr:uid="{B8A634FB-B2F3-47DF-A8EE-3831B415CE32}"/>
    <cellStyle name="40% - Accent3 6 2 3" xfId="11754" xr:uid="{DC88FBDC-247F-4C30-8228-7644D9E51C54}"/>
    <cellStyle name="40% - Accent3 6 2 3 2" xfId="24394" xr:uid="{D7E2446E-2424-48A9-B8CD-A616878D03D3}"/>
    <cellStyle name="40% - Accent3 6 2 4" xfId="20183" xr:uid="{9C02B0DE-2958-4B23-8CFA-4B1326E72E89}"/>
    <cellStyle name="40% - Accent3 6 3" xfId="5398" xr:uid="{00000000-0005-0000-0000-000095050000}"/>
    <cellStyle name="40% - Accent3 6 3 2" xfId="13827" xr:uid="{4AC6919F-F6A5-4709-8D4B-C7F86DF83DFC}"/>
    <cellStyle name="40% - Accent3 6 3 3" xfId="26460" xr:uid="{EDA40420-DCBE-4991-931A-57493863D2AA}"/>
    <cellStyle name="40% - Accent3 6 4" xfId="9609" xr:uid="{CA2B18D8-6F1A-4033-8438-F84826DE77C4}"/>
    <cellStyle name="40% - Accent3 6 4 2" xfId="22249" xr:uid="{4F79A7F3-7F75-406A-A6AB-77D0582F7426}"/>
    <cellStyle name="40% - Accent3 6 5" xfId="18038" xr:uid="{D6225A96-064B-4936-A581-F9EA11736E54}"/>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EAB3CE42-3B24-441B-B5BE-BC7888714091}"/>
    <cellStyle name="40% - Accent3 7 2 2 3" xfId="29018" xr:uid="{D0E4CA0D-F86F-4455-AD84-AA96353D61C7}"/>
    <cellStyle name="40% - Accent3 7 2 3" xfId="12167" xr:uid="{97D06386-8828-46A8-BFF2-C3313067ADAC}"/>
    <cellStyle name="40% - Accent3 7 2 3 2" xfId="24807" xr:uid="{58CF7326-DA81-4413-BEC2-578B83494335}"/>
    <cellStyle name="40% - Accent3 7 2 4" xfId="20596" xr:uid="{C30A34D8-6DA7-4AF7-94A6-A6051316E55A}"/>
    <cellStyle name="40% - Accent3 7 3" xfId="5811" xr:uid="{00000000-0005-0000-0000-000099050000}"/>
    <cellStyle name="40% - Accent3 7 3 2" xfId="14240" xr:uid="{9F657143-6653-4501-9D11-DABE8DF996DB}"/>
    <cellStyle name="40% - Accent3 7 3 3" xfId="26873" xr:uid="{E259E30B-47E5-4B57-9190-CE0145EE4132}"/>
    <cellStyle name="40% - Accent3 7 4" xfId="10022" xr:uid="{B3329CA5-1979-4212-AD37-45895CA2097B}"/>
    <cellStyle name="40% - Accent3 7 4 2" xfId="22662" xr:uid="{40B9E66A-39BA-45B7-9BC7-1BFCFA90391C}"/>
    <cellStyle name="40% - Accent3 7 5" xfId="18451" xr:uid="{308E40EF-9DC0-42A6-899C-652EF6A54CA1}"/>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D1BE150C-2CE5-48C4-938D-4D3ABF78B906}"/>
    <cellStyle name="40% - Accent3 8 2 2 3" xfId="29431" xr:uid="{72B8087E-35E8-4A58-A7DE-BE24F865BB3A}"/>
    <cellStyle name="40% - Accent3 8 2 3" xfId="12580" xr:uid="{B31EBF35-6FBD-43EE-9E41-A23098FEFAB2}"/>
    <cellStyle name="40% - Accent3 8 2 3 2" xfId="25220" xr:uid="{25369833-9946-4C78-BF1F-BA37F24A0C6F}"/>
    <cellStyle name="40% - Accent3 8 2 4" xfId="21009" xr:uid="{B311687D-27E0-46FA-9EB0-C7ED7AFE3001}"/>
    <cellStyle name="40% - Accent3 8 3" xfId="6224" xr:uid="{00000000-0005-0000-0000-00009D050000}"/>
    <cellStyle name="40% - Accent3 8 3 2" xfId="14653" xr:uid="{2EC606F7-2B9C-405F-B500-6B78EC59636F}"/>
    <cellStyle name="40% - Accent3 8 3 3" xfId="27286" xr:uid="{006265CA-54EC-4F76-B0B8-4DF323E98C62}"/>
    <cellStyle name="40% - Accent3 8 4" xfId="10435" xr:uid="{B3725F14-FC5C-49CF-852F-C7224EFCDA6C}"/>
    <cellStyle name="40% - Accent3 8 4 2" xfId="23075" xr:uid="{62F78DCA-2F94-4CA6-BF5F-469DD0EA4873}"/>
    <cellStyle name="40% - Accent3 8 5" xfId="18864" xr:uid="{7D6EF8E3-C163-40BA-8118-3236BA72A363}"/>
    <cellStyle name="40% - Accent3 9" xfId="2329" xr:uid="{00000000-0005-0000-0000-00009E050000}"/>
    <cellStyle name="40% - Accent3 9 2" xfId="6637" xr:uid="{00000000-0005-0000-0000-00009F050000}"/>
    <cellStyle name="40% - Accent3 9 2 2" xfId="15066" xr:uid="{BE321285-012D-41D9-B523-8A6DDFB0DF6B}"/>
    <cellStyle name="40% - Accent3 9 2 3" xfId="27699" xr:uid="{C281DF04-9EF5-4FA1-B4F2-F7835933DD27}"/>
    <cellStyle name="40% - Accent3 9 3" xfId="10848" xr:uid="{F8174699-72D4-4BBA-9467-07DF1A0EB661}"/>
    <cellStyle name="40% - Accent3 9 3 2" xfId="23488" xr:uid="{B91445AD-C472-4EB1-8381-C54A189CFC33}"/>
    <cellStyle name="40% - Accent3 9 4" xfId="19277" xr:uid="{D6D12259-D9D7-4DF0-B977-95FAD1727B76}"/>
    <cellStyle name="40% - Accent4" xfId="73" builtinId="43" customBuiltin="1"/>
    <cellStyle name="40% - Accent4 10" xfId="4579" xr:uid="{00000000-0005-0000-0000-0000A1050000}"/>
    <cellStyle name="40% - Accent4 10 2" xfId="13008" xr:uid="{09CCB37F-977A-411B-90AD-3C7396D2C813}"/>
    <cellStyle name="40% - Accent4 10 3" xfId="25641" xr:uid="{96B9FF25-7C79-4F63-9C18-0EBFDA208619}"/>
    <cellStyle name="40% - Accent4 11" xfId="8790" xr:uid="{59B8753D-4B13-4803-B37C-7036BAE44EDD}"/>
    <cellStyle name="40% - Accent4 11 2" xfId="21430" xr:uid="{0A933D59-260F-4B35-990A-FA6C58743C66}"/>
    <cellStyle name="40% - Accent4 12" xfId="17219" xr:uid="{04965E8D-5790-4EC1-AB5C-F030F7F97739}"/>
    <cellStyle name="40% - Accent4 2" xfId="74" xr:uid="{00000000-0005-0000-0000-0000A2050000}"/>
    <cellStyle name="40% - Accent4 2 10" xfId="8791" xr:uid="{F22B0AD5-1A1D-4E15-B412-844C009F1BFA}"/>
    <cellStyle name="40% - Accent4 2 10 2" xfId="21431" xr:uid="{2C5D7A8A-C643-4156-A418-B8E6B0D109EF}"/>
    <cellStyle name="40% - Accent4 2 11" xfId="17220" xr:uid="{E839F6E1-2481-4A88-B898-D3076C3DBA8D}"/>
    <cellStyle name="40% - Accent4 2 2" xfId="75" xr:uid="{00000000-0005-0000-0000-0000A3050000}"/>
    <cellStyle name="40% - Accent4 2 2 10" xfId="17221" xr:uid="{237FF675-508C-4700-A54E-6C79F0177E9F}"/>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E5D20CDA-DF6C-4E90-AEAE-45A71C14A151}"/>
    <cellStyle name="40% - Accent4 2 2 2 2 2 2 3" xfId="28203" xr:uid="{181FEEB4-EE87-480A-9B92-3E36D551BBAA}"/>
    <cellStyle name="40% - Accent4 2 2 2 2 2 3" xfId="11352" xr:uid="{1CCBD2CC-3C38-48B1-8663-5877AAB5061E}"/>
    <cellStyle name="40% - Accent4 2 2 2 2 2 3 2" xfId="23992" xr:uid="{FF72FCC1-BD0D-4FB5-96CE-B72D4654DB6D}"/>
    <cellStyle name="40% - Accent4 2 2 2 2 2 4" xfId="19781" xr:uid="{46BAE6E7-3439-4EA4-965A-EF8BCD0A3E47}"/>
    <cellStyle name="40% - Accent4 2 2 2 2 3" xfId="4996" xr:uid="{00000000-0005-0000-0000-0000A8050000}"/>
    <cellStyle name="40% - Accent4 2 2 2 2 3 2" xfId="13425" xr:uid="{62077396-DE5F-49AC-97C2-F60DE2A6D8F8}"/>
    <cellStyle name="40% - Accent4 2 2 2 2 3 3" xfId="26058" xr:uid="{5F051295-EE75-4C0F-B280-AC2596D10458}"/>
    <cellStyle name="40% - Accent4 2 2 2 2 4" xfId="9207" xr:uid="{0D1DEDB9-8BAA-4CC1-BF1B-649C525E40BE}"/>
    <cellStyle name="40% - Accent4 2 2 2 2 4 2" xfId="21847" xr:uid="{9610B114-C1AC-453D-9798-CD9E34DCFED5}"/>
    <cellStyle name="40% - Accent4 2 2 2 2 5" xfId="17636" xr:uid="{E35492D8-E459-42AC-909A-1A61483F632E}"/>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A071E66B-ABE0-46B6-9168-B1D97E0E17A6}"/>
    <cellStyle name="40% - Accent4 2 2 2 3 2 2 3" xfId="28616" xr:uid="{70C986F5-B743-499E-815D-E84D1845F4A6}"/>
    <cellStyle name="40% - Accent4 2 2 2 3 2 3" xfId="11765" xr:uid="{C678DABC-E15B-4B2E-8186-45563DE38CE7}"/>
    <cellStyle name="40% - Accent4 2 2 2 3 2 3 2" xfId="24405" xr:uid="{31514B86-74DD-40F7-AD70-D33611D69496}"/>
    <cellStyle name="40% - Accent4 2 2 2 3 2 4" xfId="20194" xr:uid="{4E663EB0-A36E-439F-993D-1F965B5592A7}"/>
    <cellStyle name="40% - Accent4 2 2 2 3 3" xfId="5409" xr:uid="{00000000-0005-0000-0000-0000AC050000}"/>
    <cellStyle name="40% - Accent4 2 2 2 3 3 2" xfId="13838" xr:uid="{B8CE839B-2482-4388-BE5B-34392BF5F450}"/>
    <cellStyle name="40% - Accent4 2 2 2 3 3 3" xfId="26471" xr:uid="{DF34D2DF-3D82-4A23-A0E1-6E28E9069EC6}"/>
    <cellStyle name="40% - Accent4 2 2 2 3 4" xfId="9620" xr:uid="{D88999C0-397C-418C-B048-9082CD318E88}"/>
    <cellStyle name="40% - Accent4 2 2 2 3 4 2" xfId="22260" xr:uid="{0D00667A-5D09-418C-83C5-1773F3E6BDEC}"/>
    <cellStyle name="40% - Accent4 2 2 2 3 5" xfId="18049" xr:uid="{0BDBBBF0-665F-4603-A477-308B2EBB8D66}"/>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F15096AC-24FC-4631-A127-64B9067B7AB1}"/>
    <cellStyle name="40% - Accent4 2 2 2 4 2 2 3" xfId="29029" xr:uid="{24699CA5-40A5-4CAD-B4BD-336667E763E5}"/>
    <cellStyle name="40% - Accent4 2 2 2 4 2 3" xfId="12178" xr:uid="{EC8B41EA-372E-4489-9A8A-737CEB109A6D}"/>
    <cellStyle name="40% - Accent4 2 2 2 4 2 3 2" xfId="24818" xr:uid="{679A486A-F2E5-4E60-9E0F-F138679CD21F}"/>
    <cellStyle name="40% - Accent4 2 2 2 4 2 4" xfId="20607" xr:uid="{B9178E0D-6E55-4A4C-A901-D1761309A71E}"/>
    <cellStyle name="40% - Accent4 2 2 2 4 3" xfId="5822" xr:uid="{00000000-0005-0000-0000-0000B0050000}"/>
    <cellStyle name="40% - Accent4 2 2 2 4 3 2" xfId="14251" xr:uid="{03387EA3-C8AF-4928-A268-2EB852FBAA2C}"/>
    <cellStyle name="40% - Accent4 2 2 2 4 3 3" xfId="26884" xr:uid="{3D041BF0-73A1-441E-BF61-56A95380AF6D}"/>
    <cellStyle name="40% - Accent4 2 2 2 4 4" xfId="10033" xr:uid="{251C69F8-8A45-41BD-8E8E-391D0211628A}"/>
    <cellStyle name="40% - Accent4 2 2 2 4 4 2" xfId="22673" xr:uid="{B21A22AE-B237-4452-9599-E2C59563751D}"/>
    <cellStyle name="40% - Accent4 2 2 2 4 5" xfId="18462" xr:uid="{5DB5FF28-7AB1-4838-B9FC-F53182C9A4BA}"/>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9F48747E-1836-4CDC-AC12-D792BDE1B279}"/>
    <cellStyle name="40% - Accent4 2 2 2 5 2 2 3" xfId="29442" xr:uid="{3705509E-1FDB-4B3B-A6CC-4F96DCCFEF96}"/>
    <cellStyle name="40% - Accent4 2 2 2 5 2 3" xfId="12591" xr:uid="{8E1AC90F-3C29-498E-9E2C-647EA0E203FD}"/>
    <cellStyle name="40% - Accent4 2 2 2 5 2 3 2" xfId="25231" xr:uid="{6BCD2DFA-5E7C-4DEA-A2B7-5A9FEC3705A1}"/>
    <cellStyle name="40% - Accent4 2 2 2 5 2 4" xfId="21020" xr:uid="{C35492D5-BB3F-42BA-A3AB-FFC3A73673EA}"/>
    <cellStyle name="40% - Accent4 2 2 2 5 3" xfId="6235" xr:uid="{00000000-0005-0000-0000-0000B4050000}"/>
    <cellStyle name="40% - Accent4 2 2 2 5 3 2" xfId="14664" xr:uid="{CDD8F0B6-4059-4B88-810A-C6250D0A0131}"/>
    <cellStyle name="40% - Accent4 2 2 2 5 3 3" xfId="27297" xr:uid="{A8B180DF-F6AB-4CFB-AE61-B3FC0932CDEA}"/>
    <cellStyle name="40% - Accent4 2 2 2 5 4" xfId="10446" xr:uid="{30B33625-3A0C-4A15-B5D4-647CFC881F10}"/>
    <cellStyle name="40% - Accent4 2 2 2 5 4 2" xfId="23086" xr:uid="{CCCAC297-08B6-4A57-BD29-026774F13014}"/>
    <cellStyle name="40% - Accent4 2 2 2 5 5" xfId="18875" xr:uid="{18137E9C-CEE4-42CB-91A3-FD85622DAE2E}"/>
    <cellStyle name="40% - Accent4 2 2 2 6" xfId="2340" xr:uid="{00000000-0005-0000-0000-0000B5050000}"/>
    <cellStyle name="40% - Accent4 2 2 2 6 2" xfId="6648" xr:uid="{00000000-0005-0000-0000-0000B6050000}"/>
    <cellStyle name="40% - Accent4 2 2 2 6 2 2" xfId="15077" xr:uid="{DDB49CB0-9A9D-4331-A01A-7E898F8F3588}"/>
    <cellStyle name="40% - Accent4 2 2 2 6 2 3" xfId="27710" xr:uid="{44E0D3F2-EA39-4A3B-BC68-B1018191C996}"/>
    <cellStyle name="40% - Accent4 2 2 2 6 3" xfId="10859" xr:uid="{83ACB784-ABB7-493A-BB8D-F68EB81DE4DB}"/>
    <cellStyle name="40% - Accent4 2 2 2 6 3 2" xfId="23499" xr:uid="{D7A4DCB4-86CE-47EC-9408-9F70374D7F0B}"/>
    <cellStyle name="40% - Accent4 2 2 2 6 4" xfId="19288" xr:uid="{201B06EB-06CC-4F60-B001-8C85B6810CDD}"/>
    <cellStyle name="40% - Accent4 2 2 2 7" xfId="4582" xr:uid="{00000000-0005-0000-0000-0000B7050000}"/>
    <cellStyle name="40% - Accent4 2 2 2 7 2" xfId="13011" xr:uid="{92EAEBE5-652D-4AE1-ACC0-CAE6C64FF168}"/>
    <cellStyle name="40% - Accent4 2 2 2 7 3" xfId="25644" xr:uid="{723A2754-78D1-4418-BF6C-8A0FD509052A}"/>
    <cellStyle name="40% - Accent4 2 2 2 8" xfId="8793" xr:uid="{238B6CFC-864B-476D-87C5-F1DBD54FA964}"/>
    <cellStyle name="40% - Accent4 2 2 2 8 2" xfId="21433" xr:uid="{89BD9136-4D95-488C-9AB6-F4EED6123F99}"/>
    <cellStyle name="40% - Accent4 2 2 2 9" xfId="17222" xr:uid="{2DD91F1B-C824-4F4A-B5AA-0FDF6AFB1F49}"/>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103A1534-F072-4D10-A072-E038F20ABE6A}"/>
    <cellStyle name="40% - Accent4 2 2 3 2 2 3" xfId="28202" xr:uid="{0C681BDA-2CC3-4B0D-9158-39911EF68FA1}"/>
    <cellStyle name="40% - Accent4 2 2 3 2 3" xfId="11351" xr:uid="{FC61509F-302D-49E8-99EC-28D912DACAF8}"/>
    <cellStyle name="40% - Accent4 2 2 3 2 3 2" xfId="23991" xr:uid="{304E9F97-B69F-458A-8F29-C1BDA9E5705E}"/>
    <cellStyle name="40% - Accent4 2 2 3 2 4" xfId="19780" xr:uid="{B5EEBB47-44C3-47BE-9F30-282728052E0E}"/>
    <cellStyle name="40% - Accent4 2 2 3 3" xfId="4995" xr:uid="{00000000-0005-0000-0000-0000BB050000}"/>
    <cellStyle name="40% - Accent4 2 2 3 3 2" xfId="13424" xr:uid="{430926C3-B226-40C5-B9F4-B361D4BA534D}"/>
    <cellStyle name="40% - Accent4 2 2 3 3 3" xfId="26057" xr:uid="{1320E8FD-C5C1-431E-B361-D48FEECDF530}"/>
    <cellStyle name="40% - Accent4 2 2 3 4" xfId="9206" xr:uid="{E4E2A736-8C97-4D45-A32D-27FB150DB080}"/>
    <cellStyle name="40% - Accent4 2 2 3 4 2" xfId="21846" xr:uid="{AB5A6BEA-EDC2-4546-A25E-1207D93ED305}"/>
    <cellStyle name="40% - Accent4 2 2 3 5" xfId="17635" xr:uid="{BCFB9B89-396B-4D53-B4AB-F55C3681ACF4}"/>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91F3100E-C3C9-4669-A757-06F5C020087C}"/>
    <cellStyle name="40% - Accent4 2 2 4 2 2 3" xfId="28615" xr:uid="{4932A3B5-6D21-4002-BE5B-37A466898D4D}"/>
    <cellStyle name="40% - Accent4 2 2 4 2 3" xfId="11764" xr:uid="{225FC647-D1C8-47DB-ACB9-FC74154F605C}"/>
    <cellStyle name="40% - Accent4 2 2 4 2 3 2" xfId="24404" xr:uid="{4745088C-915D-45E5-A041-9D3FE68C006F}"/>
    <cellStyle name="40% - Accent4 2 2 4 2 4" xfId="20193" xr:uid="{A8DCA232-6239-467D-803E-5876ADC3BEB7}"/>
    <cellStyle name="40% - Accent4 2 2 4 3" xfId="5408" xr:uid="{00000000-0005-0000-0000-0000BF050000}"/>
    <cellStyle name="40% - Accent4 2 2 4 3 2" xfId="13837" xr:uid="{2E4166F4-89EB-4959-80C4-6FBF741B2C8D}"/>
    <cellStyle name="40% - Accent4 2 2 4 3 3" xfId="26470" xr:uid="{6440D3CD-D5C4-4DAE-BB52-61F26812C437}"/>
    <cellStyle name="40% - Accent4 2 2 4 4" xfId="9619" xr:uid="{EA8F57E9-7D44-4963-82F3-BEF6218FAE6F}"/>
    <cellStyle name="40% - Accent4 2 2 4 4 2" xfId="22259" xr:uid="{7A129F75-7A8B-4D5A-970A-7A0AA0A536F4}"/>
    <cellStyle name="40% - Accent4 2 2 4 5" xfId="18048" xr:uid="{1B6BEDC7-8C7C-4F1A-93F2-406F62407A06}"/>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2D490B9B-10F5-4167-A29F-C20B7FA30FF7}"/>
    <cellStyle name="40% - Accent4 2 2 5 2 2 3" xfId="29028" xr:uid="{52510408-9466-46D9-8A78-76EBCE766EBE}"/>
    <cellStyle name="40% - Accent4 2 2 5 2 3" xfId="12177" xr:uid="{0C7046E0-5B14-4EF9-ABFA-292F74E893BF}"/>
    <cellStyle name="40% - Accent4 2 2 5 2 3 2" xfId="24817" xr:uid="{5FC94019-A725-4015-AB69-00C0BCDAC32C}"/>
    <cellStyle name="40% - Accent4 2 2 5 2 4" xfId="20606" xr:uid="{D90B0635-E75A-4580-A2DF-7EAF5CC4581A}"/>
    <cellStyle name="40% - Accent4 2 2 5 3" xfId="5821" xr:uid="{00000000-0005-0000-0000-0000C3050000}"/>
    <cellStyle name="40% - Accent4 2 2 5 3 2" xfId="14250" xr:uid="{0C814DA4-9587-471D-BBFE-1FC904BB8DCB}"/>
    <cellStyle name="40% - Accent4 2 2 5 3 3" xfId="26883" xr:uid="{771B7B2B-BAFC-4F08-8D8E-BD0D3E30FEA4}"/>
    <cellStyle name="40% - Accent4 2 2 5 4" xfId="10032" xr:uid="{908E752C-683A-4608-A4F5-3152D1036B9C}"/>
    <cellStyle name="40% - Accent4 2 2 5 4 2" xfId="22672" xr:uid="{C0B09838-0CC4-4F58-B5C5-D730536BBACA}"/>
    <cellStyle name="40% - Accent4 2 2 5 5" xfId="18461" xr:uid="{E54FFB88-8D44-4D77-A32F-FC5E0267F395}"/>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0FED22B7-09E9-48C2-9630-7A6B53A153D6}"/>
    <cellStyle name="40% - Accent4 2 2 6 2 2 3" xfId="29441" xr:uid="{84C2E663-86EF-4F4A-B4DC-A74535439F17}"/>
    <cellStyle name="40% - Accent4 2 2 6 2 3" xfId="12590" xr:uid="{C036CFEE-1226-4F87-9265-D2C2D07C5025}"/>
    <cellStyle name="40% - Accent4 2 2 6 2 3 2" xfId="25230" xr:uid="{4EB5D546-6B27-4D48-870A-8F97E8CE6127}"/>
    <cellStyle name="40% - Accent4 2 2 6 2 4" xfId="21019" xr:uid="{62A8BBC4-3923-4B3E-8119-D517C6136A74}"/>
    <cellStyle name="40% - Accent4 2 2 6 3" xfId="6234" xr:uid="{00000000-0005-0000-0000-0000C7050000}"/>
    <cellStyle name="40% - Accent4 2 2 6 3 2" xfId="14663" xr:uid="{252E2CC5-EB73-4E55-95FF-BD4D7EDF119B}"/>
    <cellStyle name="40% - Accent4 2 2 6 3 3" xfId="27296" xr:uid="{940BDBE1-1012-4D97-A834-93813320F275}"/>
    <cellStyle name="40% - Accent4 2 2 6 4" xfId="10445" xr:uid="{2858A31E-D461-4126-A305-9A708D84CB49}"/>
    <cellStyle name="40% - Accent4 2 2 6 4 2" xfId="23085" xr:uid="{5AB8D342-9577-4265-B4BC-D8E14CBA8676}"/>
    <cellStyle name="40% - Accent4 2 2 6 5" xfId="18874" xr:uid="{9B52BB1E-0E1E-4320-828B-B9EC31CFD17C}"/>
    <cellStyle name="40% - Accent4 2 2 7" xfId="2339" xr:uid="{00000000-0005-0000-0000-0000C8050000}"/>
    <cellStyle name="40% - Accent4 2 2 7 2" xfId="6647" xr:uid="{00000000-0005-0000-0000-0000C9050000}"/>
    <cellStyle name="40% - Accent4 2 2 7 2 2" xfId="15076" xr:uid="{134DA123-08B3-4C9E-B492-822756511E04}"/>
    <cellStyle name="40% - Accent4 2 2 7 2 3" xfId="27709" xr:uid="{1043EE62-8036-45BE-BEF2-F7ADDCC3FA3F}"/>
    <cellStyle name="40% - Accent4 2 2 7 3" xfId="10858" xr:uid="{2060DC42-7902-4F35-9079-32E8913D4C6E}"/>
    <cellStyle name="40% - Accent4 2 2 7 3 2" xfId="23498" xr:uid="{EDFA3DF3-D550-4250-9474-31E442938077}"/>
    <cellStyle name="40% - Accent4 2 2 7 4" xfId="19287" xr:uid="{6CE9A341-5715-4602-96F6-4AB9E4FDF8EF}"/>
    <cellStyle name="40% - Accent4 2 2 8" xfId="4581" xr:uid="{00000000-0005-0000-0000-0000CA050000}"/>
    <cellStyle name="40% - Accent4 2 2 8 2" xfId="13010" xr:uid="{DF9CDCED-708A-4D89-95FA-B424CE544D78}"/>
    <cellStyle name="40% - Accent4 2 2 8 3" xfId="25643" xr:uid="{DD312F5D-612E-4874-B0D9-14748DCC213C}"/>
    <cellStyle name="40% - Accent4 2 2 9" xfId="8792" xr:uid="{DAC3535C-302D-4F31-AFFD-975C1311C89B}"/>
    <cellStyle name="40% - Accent4 2 2 9 2" xfId="21432" xr:uid="{B722B72A-A20A-4A2A-AD94-5A163B0FF84A}"/>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1BCF70AE-DCF5-4C96-A40B-3EAED8889A65}"/>
    <cellStyle name="40% - Accent4 2 3 2 2 2 3" xfId="28204" xr:uid="{035ECEAB-7266-41D6-8A8A-661184306AEC}"/>
    <cellStyle name="40% - Accent4 2 3 2 2 3" xfId="11353" xr:uid="{E913E987-2D47-4D66-9CE7-AA48DF11F15F}"/>
    <cellStyle name="40% - Accent4 2 3 2 2 3 2" xfId="23993" xr:uid="{364BD9E8-A926-44B8-B36C-AB5B83B7A7B3}"/>
    <cellStyle name="40% - Accent4 2 3 2 2 4" xfId="19782" xr:uid="{2976F77B-48E4-4AA7-BB44-4A8D3C3D0FCC}"/>
    <cellStyle name="40% - Accent4 2 3 2 3" xfId="4997" xr:uid="{00000000-0005-0000-0000-0000CF050000}"/>
    <cellStyle name="40% - Accent4 2 3 2 3 2" xfId="13426" xr:uid="{A0772BCB-8C51-4497-B76F-5143F7DD8D39}"/>
    <cellStyle name="40% - Accent4 2 3 2 3 3" xfId="26059" xr:uid="{3C7C35F5-9920-4D92-947D-C148C5609972}"/>
    <cellStyle name="40% - Accent4 2 3 2 4" xfId="9208" xr:uid="{030AF30E-EB25-4ABF-A746-114558BDC8FA}"/>
    <cellStyle name="40% - Accent4 2 3 2 4 2" xfId="21848" xr:uid="{9B7A03C1-718A-400E-86C1-A854EEE3170D}"/>
    <cellStyle name="40% - Accent4 2 3 2 5" xfId="17637" xr:uid="{0569FBAC-B29C-4FB4-81E6-2686DAC1FCCB}"/>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A8D10639-9428-4635-A3B6-1481729CEBF1}"/>
    <cellStyle name="40% - Accent4 2 3 3 2 2 3" xfId="28617" xr:uid="{6E1EA173-085C-4D8C-B7F4-0C96636E486B}"/>
    <cellStyle name="40% - Accent4 2 3 3 2 3" xfId="11766" xr:uid="{D42DCDCD-78F2-4AA9-8CD0-E7445A6F53FD}"/>
    <cellStyle name="40% - Accent4 2 3 3 2 3 2" xfId="24406" xr:uid="{8A04D95E-CFAE-4DF7-B725-69FC3D9B2DB9}"/>
    <cellStyle name="40% - Accent4 2 3 3 2 4" xfId="20195" xr:uid="{1013728D-063C-4AC8-91C8-28A66B8F1663}"/>
    <cellStyle name="40% - Accent4 2 3 3 3" xfId="5410" xr:uid="{00000000-0005-0000-0000-0000D3050000}"/>
    <cellStyle name="40% - Accent4 2 3 3 3 2" xfId="13839" xr:uid="{4408D940-91DD-4ACC-B249-87A812B79B47}"/>
    <cellStyle name="40% - Accent4 2 3 3 3 3" xfId="26472" xr:uid="{80177536-5A27-411E-9127-9A92005411A1}"/>
    <cellStyle name="40% - Accent4 2 3 3 4" xfId="9621" xr:uid="{8E876BFE-FAAF-47B2-BDAC-7A41C5B07092}"/>
    <cellStyle name="40% - Accent4 2 3 3 4 2" xfId="22261" xr:uid="{6DA14697-59AC-47BD-B936-67C9631456C0}"/>
    <cellStyle name="40% - Accent4 2 3 3 5" xfId="18050" xr:uid="{E3D9DE22-B99E-4A4B-995F-094E4ED02BB1}"/>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EDDB54B5-E513-43ED-A684-53E4D44FA066}"/>
    <cellStyle name="40% - Accent4 2 3 4 2 2 3" xfId="29030" xr:uid="{79E298F0-F230-4824-8C42-9F5ED9CA50DB}"/>
    <cellStyle name="40% - Accent4 2 3 4 2 3" xfId="12179" xr:uid="{AB8BF5AA-A0E4-4DAA-84C4-70000B7006B4}"/>
    <cellStyle name="40% - Accent4 2 3 4 2 3 2" xfId="24819" xr:uid="{46F0E5A2-B02D-4316-8D7C-416880E33B35}"/>
    <cellStyle name="40% - Accent4 2 3 4 2 4" xfId="20608" xr:uid="{3A5CE8B9-3059-44B7-A926-1CAB670BB02C}"/>
    <cellStyle name="40% - Accent4 2 3 4 3" xfId="5823" xr:uid="{00000000-0005-0000-0000-0000D7050000}"/>
    <cellStyle name="40% - Accent4 2 3 4 3 2" xfId="14252" xr:uid="{25DB3495-003C-4B37-84ED-3008FCB048AF}"/>
    <cellStyle name="40% - Accent4 2 3 4 3 3" xfId="26885" xr:uid="{25C612C6-A665-4F96-9703-CD20A9B4CDD5}"/>
    <cellStyle name="40% - Accent4 2 3 4 4" xfId="10034" xr:uid="{D15E416D-CBDE-45C6-A29F-AEEBB340D5D9}"/>
    <cellStyle name="40% - Accent4 2 3 4 4 2" xfId="22674" xr:uid="{00D519C7-30CE-4E91-8B94-F329E0DCAC6C}"/>
    <cellStyle name="40% - Accent4 2 3 4 5" xfId="18463" xr:uid="{EF2041AE-4FEB-4AD9-811C-4AFAE0E9EF3C}"/>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2B0BBE44-5A86-40C7-88D9-77490D67A9EB}"/>
    <cellStyle name="40% - Accent4 2 3 5 2 2 3" xfId="29443" xr:uid="{1B979892-8906-45F8-A291-74ECA9C25E0E}"/>
    <cellStyle name="40% - Accent4 2 3 5 2 3" xfId="12592" xr:uid="{4859197B-969A-426F-8D30-6E971353B5C5}"/>
    <cellStyle name="40% - Accent4 2 3 5 2 3 2" xfId="25232" xr:uid="{15B885AB-19FE-43DB-AB1C-C934D320C0D3}"/>
    <cellStyle name="40% - Accent4 2 3 5 2 4" xfId="21021" xr:uid="{C93F51B4-7A19-45A6-8B81-E5C3FFEC043D}"/>
    <cellStyle name="40% - Accent4 2 3 5 3" xfId="6236" xr:uid="{00000000-0005-0000-0000-0000DB050000}"/>
    <cellStyle name="40% - Accent4 2 3 5 3 2" xfId="14665" xr:uid="{1097B059-6929-442D-872E-4290FE092511}"/>
    <cellStyle name="40% - Accent4 2 3 5 3 3" xfId="27298" xr:uid="{405EF30F-F722-421B-885C-F85BA0B4265F}"/>
    <cellStyle name="40% - Accent4 2 3 5 4" xfId="10447" xr:uid="{D499B1E9-8A20-401F-9D0C-BBB73BBACCCD}"/>
    <cellStyle name="40% - Accent4 2 3 5 4 2" xfId="23087" xr:uid="{4DD7C27E-DEC4-48DC-A21B-54A9AC9A658C}"/>
    <cellStyle name="40% - Accent4 2 3 5 5" xfId="18876" xr:uid="{2D96B23D-EE10-4766-8725-90E317E2BBE5}"/>
    <cellStyle name="40% - Accent4 2 3 6" xfId="2341" xr:uid="{00000000-0005-0000-0000-0000DC050000}"/>
    <cellStyle name="40% - Accent4 2 3 6 2" xfId="6649" xr:uid="{00000000-0005-0000-0000-0000DD050000}"/>
    <cellStyle name="40% - Accent4 2 3 6 2 2" xfId="15078" xr:uid="{B226691C-394D-449D-A140-A864B78FE978}"/>
    <cellStyle name="40% - Accent4 2 3 6 2 3" xfId="27711" xr:uid="{93A64A2E-3EAF-487C-B381-8BC7390F03AD}"/>
    <cellStyle name="40% - Accent4 2 3 6 3" xfId="10860" xr:uid="{145171B5-84D3-445A-A1B1-B6D9AF462B94}"/>
    <cellStyle name="40% - Accent4 2 3 6 3 2" xfId="23500" xr:uid="{D95364D6-4EE1-4D33-AD14-06DF97863AE5}"/>
    <cellStyle name="40% - Accent4 2 3 6 4" xfId="19289" xr:uid="{C0D4D1A9-204B-44DD-9CE6-E6CD5CB6825E}"/>
    <cellStyle name="40% - Accent4 2 3 7" xfId="4583" xr:uid="{00000000-0005-0000-0000-0000DE050000}"/>
    <cellStyle name="40% - Accent4 2 3 7 2" xfId="13012" xr:uid="{CC0BDEBE-0859-4905-BE75-A870D835C7A4}"/>
    <cellStyle name="40% - Accent4 2 3 7 3" xfId="25645" xr:uid="{41D91999-8E76-4585-8E45-CAEC39CA3BEB}"/>
    <cellStyle name="40% - Accent4 2 3 8" xfId="8794" xr:uid="{63113A11-BAED-4014-9642-8F9435CA166C}"/>
    <cellStyle name="40% - Accent4 2 3 8 2" xfId="21434" xr:uid="{ECEC5BB0-2AA1-4FA6-B88D-381B475FF1EA}"/>
    <cellStyle name="40% - Accent4 2 3 9" xfId="17223" xr:uid="{BE2BB880-82EC-46EF-93B5-463E040441D3}"/>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29CF4A9D-B08E-4A60-A512-9E06F84969E0}"/>
    <cellStyle name="40% - Accent4 2 4 2 2 3" xfId="28201" xr:uid="{E906430D-55BF-494A-A0E6-125AEF45727B}"/>
    <cellStyle name="40% - Accent4 2 4 2 3" xfId="11350" xr:uid="{7D308575-83C2-426D-8071-22BE13FACE8A}"/>
    <cellStyle name="40% - Accent4 2 4 2 3 2" xfId="23990" xr:uid="{AB2EC177-34F6-4FCF-8211-C2994D9897AD}"/>
    <cellStyle name="40% - Accent4 2 4 2 4" xfId="19779" xr:uid="{F73387FA-746B-4F15-AC8B-7AF45FA71536}"/>
    <cellStyle name="40% - Accent4 2 4 3" xfId="4994" xr:uid="{00000000-0005-0000-0000-0000E2050000}"/>
    <cellStyle name="40% - Accent4 2 4 3 2" xfId="13423" xr:uid="{4910EE59-AAB0-4F24-8C58-B8DDE1817385}"/>
    <cellStyle name="40% - Accent4 2 4 3 3" xfId="26056" xr:uid="{45CCB8F1-B1A1-4582-B0F4-6931FA4CBE92}"/>
    <cellStyle name="40% - Accent4 2 4 4" xfId="9205" xr:uid="{489C43E1-7608-4915-9F1B-018A6A57F96C}"/>
    <cellStyle name="40% - Accent4 2 4 4 2" xfId="21845" xr:uid="{F73018F2-A862-4AB0-A5AF-4D8FB1A7A5F0}"/>
    <cellStyle name="40% - Accent4 2 4 5" xfId="17634" xr:uid="{84227001-2F7D-4D02-8EF9-82309F71D187}"/>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7FA6226F-A6E1-435B-9D77-D2B997DA38D1}"/>
    <cellStyle name="40% - Accent4 2 5 2 2 3" xfId="28614" xr:uid="{F0136702-0C28-49B1-8B3C-57F2869C263F}"/>
    <cellStyle name="40% - Accent4 2 5 2 3" xfId="11763" xr:uid="{C67A20A5-BAE5-4232-AF81-62CBE3DE91D5}"/>
    <cellStyle name="40% - Accent4 2 5 2 3 2" xfId="24403" xr:uid="{710C8367-C01B-4890-8076-D171DFFE2B79}"/>
    <cellStyle name="40% - Accent4 2 5 2 4" xfId="20192" xr:uid="{DC6443DD-F7D0-4ADE-A7B3-5C6B4834AB00}"/>
    <cellStyle name="40% - Accent4 2 5 3" xfId="5407" xr:uid="{00000000-0005-0000-0000-0000E6050000}"/>
    <cellStyle name="40% - Accent4 2 5 3 2" xfId="13836" xr:uid="{512D3784-EABF-4091-895E-4BE209E047FD}"/>
    <cellStyle name="40% - Accent4 2 5 3 3" xfId="26469" xr:uid="{8EB266E3-3EEE-45DF-984D-21D30DFF8BAB}"/>
    <cellStyle name="40% - Accent4 2 5 4" xfId="9618" xr:uid="{7D9209B3-FB08-4633-841B-769503D13A46}"/>
    <cellStyle name="40% - Accent4 2 5 4 2" xfId="22258" xr:uid="{0D81EDC3-4E15-41BD-A3E9-8FBB4330F438}"/>
    <cellStyle name="40% - Accent4 2 5 5" xfId="18047" xr:uid="{22400073-FEDB-41A9-94CC-5D3B687CF792}"/>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4BFB61B9-374C-4FF5-9700-95753808BA6E}"/>
    <cellStyle name="40% - Accent4 2 6 2 2 3" xfId="29027" xr:uid="{9C003DF3-F2B0-4529-93CC-562834119524}"/>
    <cellStyle name="40% - Accent4 2 6 2 3" xfId="12176" xr:uid="{471DC077-2BAB-443A-AF4B-26DB889F5B32}"/>
    <cellStyle name="40% - Accent4 2 6 2 3 2" xfId="24816" xr:uid="{3EB538E2-2630-40FF-A08D-D91712815E6B}"/>
    <cellStyle name="40% - Accent4 2 6 2 4" xfId="20605" xr:uid="{BE3C7E7D-58AA-4F7F-8E0D-95D82E79702A}"/>
    <cellStyle name="40% - Accent4 2 6 3" xfId="5820" xr:uid="{00000000-0005-0000-0000-0000EA050000}"/>
    <cellStyle name="40% - Accent4 2 6 3 2" xfId="14249" xr:uid="{0E43424E-FBA6-42CE-A065-35B77C4A77DC}"/>
    <cellStyle name="40% - Accent4 2 6 3 3" xfId="26882" xr:uid="{3B1860A9-E4E6-48F1-82D2-AE013F9DDCA2}"/>
    <cellStyle name="40% - Accent4 2 6 4" xfId="10031" xr:uid="{3722FF5E-9C43-44A9-BF33-8BB8A241913D}"/>
    <cellStyle name="40% - Accent4 2 6 4 2" xfId="22671" xr:uid="{1DAF20F2-F924-4750-ACC4-2B08A08E6ECC}"/>
    <cellStyle name="40% - Accent4 2 6 5" xfId="18460" xr:uid="{1246A727-01F6-4E2D-B7C2-081ED701DBA8}"/>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61C77CEB-9D79-4045-A254-86808E0C49E3}"/>
    <cellStyle name="40% - Accent4 2 7 2 2 3" xfId="29440" xr:uid="{5E1A9EAD-91A7-47D2-A9D1-20DE6BA7C697}"/>
    <cellStyle name="40% - Accent4 2 7 2 3" xfId="12589" xr:uid="{2E7FDCAC-35B2-4F90-B523-B0BB99E33316}"/>
    <cellStyle name="40% - Accent4 2 7 2 3 2" xfId="25229" xr:uid="{D1F09598-D630-4F35-BBC0-9ED98027B823}"/>
    <cellStyle name="40% - Accent4 2 7 2 4" xfId="21018" xr:uid="{C085F4BD-257B-4CD4-B291-788E65747C39}"/>
    <cellStyle name="40% - Accent4 2 7 3" xfId="6233" xr:uid="{00000000-0005-0000-0000-0000EE050000}"/>
    <cellStyle name="40% - Accent4 2 7 3 2" xfId="14662" xr:uid="{6483FF5D-A7A6-4AAF-AC18-0FAFC5290213}"/>
    <cellStyle name="40% - Accent4 2 7 3 3" xfId="27295" xr:uid="{7C1C8AC5-D44A-4213-8C42-EDF42DC0D6BB}"/>
    <cellStyle name="40% - Accent4 2 7 4" xfId="10444" xr:uid="{9C1E9237-AB06-4A5E-AC6F-D7FB9229F19D}"/>
    <cellStyle name="40% - Accent4 2 7 4 2" xfId="23084" xr:uid="{847239E5-8FF8-40E1-B1A5-A6EBC3A582ED}"/>
    <cellStyle name="40% - Accent4 2 7 5" xfId="18873" xr:uid="{881423B9-05C1-4E8E-BEE7-361F5099F844}"/>
    <cellStyle name="40% - Accent4 2 8" xfId="2338" xr:uid="{00000000-0005-0000-0000-0000EF050000}"/>
    <cellStyle name="40% - Accent4 2 8 2" xfId="6646" xr:uid="{00000000-0005-0000-0000-0000F0050000}"/>
    <cellStyle name="40% - Accent4 2 8 2 2" xfId="15075" xr:uid="{611D2DC2-087F-4579-B897-3DF1D2F44F2A}"/>
    <cellStyle name="40% - Accent4 2 8 2 3" xfId="27708" xr:uid="{B5D24ADC-7A72-41EC-9565-4502E3CC91A0}"/>
    <cellStyle name="40% - Accent4 2 8 3" xfId="10857" xr:uid="{AE0AE6C8-EC73-4DDA-9DC2-76455CE45AD6}"/>
    <cellStyle name="40% - Accent4 2 8 3 2" xfId="23497" xr:uid="{A68E82CC-3C94-43FE-BACE-AB69DC57CB36}"/>
    <cellStyle name="40% - Accent4 2 8 4" xfId="19286" xr:uid="{F6A8899C-38BC-44ED-AAF1-67A1F88D802E}"/>
    <cellStyle name="40% - Accent4 2 9" xfId="4580" xr:uid="{00000000-0005-0000-0000-0000F1050000}"/>
    <cellStyle name="40% - Accent4 2 9 2" xfId="13009" xr:uid="{6B73F099-A2F7-4218-9053-87992C80C642}"/>
    <cellStyle name="40% - Accent4 2 9 3" xfId="25642" xr:uid="{E5FFD229-8BC6-43AD-B056-496B3284D203}"/>
    <cellStyle name="40% - Accent4 3" xfId="78" xr:uid="{00000000-0005-0000-0000-0000F2050000}"/>
    <cellStyle name="40% - Accent4 3 10" xfId="17224" xr:uid="{EB394234-DBDD-417A-919B-F1D86A56C4F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12B7CB2C-CC5E-4AFB-926F-17996E35081E}"/>
    <cellStyle name="40% - Accent4 3 2 2 2 2 3" xfId="28206" xr:uid="{244B7A30-F6A9-4147-A30A-92A2DCAC19A2}"/>
    <cellStyle name="40% - Accent4 3 2 2 2 3" xfId="11355" xr:uid="{6A70B185-9421-4BD3-81F2-F7A6F898AC44}"/>
    <cellStyle name="40% - Accent4 3 2 2 2 3 2" xfId="23995" xr:uid="{E87C4805-8BFA-4BE5-8671-FCBA2FC349E0}"/>
    <cellStyle name="40% - Accent4 3 2 2 2 4" xfId="19784" xr:uid="{3E1B8F2C-1CEA-4AAC-AEFD-B147AE9B16EB}"/>
    <cellStyle name="40% - Accent4 3 2 2 3" xfId="4999" xr:uid="{00000000-0005-0000-0000-0000F7050000}"/>
    <cellStyle name="40% - Accent4 3 2 2 3 2" xfId="13428" xr:uid="{F8A2B252-6F82-436E-BC34-DA44101A0A41}"/>
    <cellStyle name="40% - Accent4 3 2 2 3 3" xfId="26061" xr:uid="{BF1B6E94-E47F-4ACF-A3A5-3A0D69F5E5E2}"/>
    <cellStyle name="40% - Accent4 3 2 2 4" xfId="9210" xr:uid="{D32219EF-BA7C-4731-9CA4-E66295C0D4F9}"/>
    <cellStyle name="40% - Accent4 3 2 2 4 2" xfId="21850" xr:uid="{B43F80B9-08D0-4B9E-AE03-7267FD98C14A}"/>
    <cellStyle name="40% - Accent4 3 2 2 5" xfId="17639" xr:uid="{B719158B-4FCC-491F-9BBC-556C5475398D}"/>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BB5CFCB9-001A-4377-BB3C-661C6F547071}"/>
    <cellStyle name="40% - Accent4 3 2 3 2 2 3" xfId="28619" xr:uid="{AF50CD1A-610C-42E8-8C0C-97197F1CCFFE}"/>
    <cellStyle name="40% - Accent4 3 2 3 2 3" xfId="11768" xr:uid="{B6A5AAAF-85BE-4DF1-9344-38916113DC64}"/>
    <cellStyle name="40% - Accent4 3 2 3 2 3 2" xfId="24408" xr:uid="{E4475896-1404-47EF-8F41-DA34C2CB0332}"/>
    <cellStyle name="40% - Accent4 3 2 3 2 4" xfId="20197" xr:uid="{81858F8E-B756-42E0-9ED8-80883F04A1C9}"/>
    <cellStyle name="40% - Accent4 3 2 3 3" xfId="5412" xr:uid="{00000000-0005-0000-0000-0000FB050000}"/>
    <cellStyle name="40% - Accent4 3 2 3 3 2" xfId="13841" xr:uid="{C9748E76-C600-4EC5-B413-116AAF149765}"/>
    <cellStyle name="40% - Accent4 3 2 3 3 3" xfId="26474" xr:uid="{63FA4D9C-0831-4A0F-BE97-3EA9C14F9102}"/>
    <cellStyle name="40% - Accent4 3 2 3 4" xfId="9623" xr:uid="{DC827D78-F74A-4011-8D96-EEDE8961DD65}"/>
    <cellStyle name="40% - Accent4 3 2 3 4 2" xfId="22263" xr:uid="{D8FC517C-829F-494D-9927-5738945ACE5C}"/>
    <cellStyle name="40% - Accent4 3 2 3 5" xfId="18052" xr:uid="{EA791EC1-6325-4FB9-A102-F087E9290596}"/>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8944CDAE-4555-4CBE-9F78-176C26446713}"/>
    <cellStyle name="40% - Accent4 3 2 4 2 2 3" xfId="29032" xr:uid="{67510A3C-5C86-425C-87EC-FE2ED0A16338}"/>
    <cellStyle name="40% - Accent4 3 2 4 2 3" xfId="12181" xr:uid="{3316D3F5-88A9-408F-B46D-BECC39B07B57}"/>
    <cellStyle name="40% - Accent4 3 2 4 2 3 2" xfId="24821" xr:uid="{7A7F428E-6415-4A86-AFFD-464641290BC1}"/>
    <cellStyle name="40% - Accent4 3 2 4 2 4" xfId="20610" xr:uid="{6529427D-917A-435B-8098-DC81715C5494}"/>
    <cellStyle name="40% - Accent4 3 2 4 3" xfId="5825" xr:uid="{00000000-0005-0000-0000-0000FF050000}"/>
    <cellStyle name="40% - Accent4 3 2 4 3 2" xfId="14254" xr:uid="{03C2DBB8-3329-4208-BCE1-DB7FF99F9FE6}"/>
    <cellStyle name="40% - Accent4 3 2 4 3 3" xfId="26887" xr:uid="{DED7B8A4-FBF2-41E7-8B78-81A6EF8D62C6}"/>
    <cellStyle name="40% - Accent4 3 2 4 4" xfId="10036" xr:uid="{D0FB6A11-CB2E-42F6-B05C-F28D473153F9}"/>
    <cellStyle name="40% - Accent4 3 2 4 4 2" xfId="22676" xr:uid="{4BFB4D8F-3962-43B9-B5C4-8E44298602AE}"/>
    <cellStyle name="40% - Accent4 3 2 4 5" xfId="18465" xr:uid="{6B1614E6-E5AD-473A-9018-0B5CA3210536}"/>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478BA6C8-CEC5-41BE-A6BF-2D2F69223780}"/>
    <cellStyle name="40% - Accent4 3 2 5 2 2 3" xfId="29445" xr:uid="{CB945923-80E4-4E7C-ACC0-28AD760E5BAF}"/>
    <cellStyle name="40% - Accent4 3 2 5 2 3" xfId="12594" xr:uid="{8D5A15CD-1FAD-48E5-B88E-039BC151E17E}"/>
    <cellStyle name="40% - Accent4 3 2 5 2 3 2" xfId="25234" xr:uid="{C1C72D7F-310F-43FE-8E8C-DBCD3E94CB67}"/>
    <cellStyle name="40% - Accent4 3 2 5 2 4" xfId="21023" xr:uid="{09647DB9-6794-478E-8506-83E4EA8C547D}"/>
    <cellStyle name="40% - Accent4 3 2 5 3" xfId="6238" xr:uid="{00000000-0005-0000-0000-000003060000}"/>
    <cellStyle name="40% - Accent4 3 2 5 3 2" xfId="14667" xr:uid="{34B319AA-930C-4619-A6CA-B06895CE5C5C}"/>
    <cellStyle name="40% - Accent4 3 2 5 3 3" xfId="27300" xr:uid="{2C006533-6ACD-40B2-853B-9C283B77D221}"/>
    <cellStyle name="40% - Accent4 3 2 5 4" xfId="10449" xr:uid="{457F3664-A224-4EBD-BF70-E9BF1767296A}"/>
    <cellStyle name="40% - Accent4 3 2 5 4 2" xfId="23089" xr:uid="{4751AFE9-0092-4CBA-860A-10223AF21A1A}"/>
    <cellStyle name="40% - Accent4 3 2 5 5" xfId="18878" xr:uid="{15062BEA-30BE-4AB2-8FF0-D8E8617A7E21}"/>
    <cellStyle name="40% - Accent4 3 2 6" xfId="2343" xr:uid="{00000000-0005-0000-0000-000004060000}"/>
    <cellStyle name="40% - Accent4 3 2 6 2" xfId="6651" xr:uid="{00000000-0005-0000-0000-000005060000}"/>
    <cellStyle name="40% - Accent4 3 2 6 2 2" xfId="15080" xr:uid="{A7513800-E257-4437-9094-64994DE7BAC6}"/>
    <cellStyle name="40% - Accent4 3 2 6 2 3" xfId="27713" xr:uid="{EF06D06B-D79C-47CA-B939-811E9DE64A25}"/>
    <cellStyle name="40% - Accent4 3 2 6 3" xfId="10862" xr:uid="{4E98B166-52C1-43C7-A835-2A74B1AE4FEE}"/>
    <cellStyle name="40% - Accent4 3 2 6 3 2" xfId="23502" xr:uid="{4F76E907-0A50-4E67-A9FE-4088005E64AE}"/>
    <cellStyle name="40% - Accent4 3 2 6 4" xfId="19291" xr:uid="{C1D8A293-A2D5-4A5F-AB70-E1D075824FD6}"/>
    <cellStyle name="40% - Accent4 3 2 7" xfId="4585" xr:uid="{00000000-0005-0000-0000-000006060000}"/>
    <cellStyle name="40% - Accent4 3 2 7 2" xfId="13014" xr:uid="{CDAB92F9-A95E-4743-BEE0-2D1FE67745D2}"/>
    <cellStyle name="40% - Accent4 3 2 7 3" xfId="25647" xr:uid="{20CB9340-A4E6-4209-9C1B-2EFECEC84742}"/>
    <cellStyle name="40% - Accent4 3 2 8" xfId="8796" xr:uid="{1656B6E0-1C7C-4632-BFEE-055F6A1CF2A2}"/>
    <cellStyle name="40% - Accent4 3 2 8 2" xfId="21436" xr:uid="{1695FB04-E99C-4E33-A9A9-4FAB7D158AB9}"/>
    <cellStyle name="40% - Accent4 3 2 9" xfId="17225" xr:uid="{418C960F-8107-4F5B-9EA2-FB5FA9C3B2F2}"/>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B2265FAF-06B5-423F-9374-2299BBA50E0A}"/>
    <cellStyle name="40% - Accent4 3 3 2 2 3" xfId="28205" xr:uid="{3CF85EEB-39EF-4227-9952-084EDA80566E}"/>
    <cellStyle name="40% - Accent4 3 3 2 3" xfId="11354" xr:uid="{EACCB765-AD4A-4813-9EA4-DC0CE80BD07D}"/>
    <cellStyle name="40% - Accent4 3 3 2 3 2" xfId="23994" xr:uid="{30DEDD66-F21D-4D98-A3C0-346A3C916E11}"/>
    <cellStyle name="40% - Accent4 3 3 2 4" xfId="19783" xr:uid="{DD648E42-F78C-4CF2-A52E-2790DD98DB3F}"/>
    <cellStyle name="40% - Accent4 3 3 3" xfId="4998" xr:uid="{00000000-0005-0000-0000-00000A060000}"/>
    <cellStyle name="40% - Accent4 3 3 3 2" xfId="13427" xr:uid="{530EEFB2-5D10-401D-8CA1-0479371CC317}"/>
    <cellStyle name="40% - Accent4 3 3 3 3" xfId="26060" xr:uid="{254D9B1A-979D-4E17-94DF-BA7A8EC24C34}"/>
    <cellStyle name="40% - Accent4 3 3 4" xfId="9209" xr:uid="{7CFBE294-B607-4257-882F-1CB354BC4402}"/>
    <cellStyle name="40% - Accent4 3 3 4 2" xfId="21849" xr:uid="{C975044C-FDA7-4BC3-B9BA-4C83D1FA4BEC}"/>
    <cellStyle name="40% - Accent4 3 3 5" xfId="17638" xr:uid="{48C06719-8894-48B1-8203-D868749C60BF}"/>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26E27F25-61CA-4928-BAAD-342F37BDBB61}"/>
    <cellStyle name="40% - Accent4 3 4 2 2 3" xfId="28618" xr:uid="{016940FE-711C-41F2-9B41-F73161247F15}"/>
    <cellStyle name="40% - Accent4 3 4 2 3" xfId="11767" xr:uid="{08BB68E0-03D8-480D-A67E-B41CFC692D85}"/>
    <cellStyle name="40% - Accent4 3 4 2 3 2" xfId="24407" xr:uid="{257EC21D-43DE-4CAF-BFF1-61687F4A588E}"/>
    <cellStyle name="40% - Accent4 3 4 2 4" xfId="20196" xr:uid="{B96D705B-A167-4D35-B00E-2B5B26775D2D}"/>
    <cellStyle name="40% - Accent4 3 4 3" xfId="5411" xr:uid="{00000000-0005-0000-0000-00000E060000}"/>
    <cellStyle name="40% - Accent4 3 4 3 2" xfId="13840" xr:uid="{CC28F0F0-B920-4922-9362-52E7EAB25C87}"/>
    <cellStyle name="40% - Accent4 3 4 3 3" xfId="26473" xr:uid="{55A12F9D-AF32-4C67-9916-72058B91F13D}"/>
    <cellStyle name="40% - Accent4 3 4 4" xfId="9622" xr:uid="{04CC18ED-D16F-4264-B0A4-4A2D45C5C82B}"/>
    <cellStyle name="40% - Accent4 3 4 4 2" xfId="22262" xr:uid="{158C0D8C-8C69-471E-ABD4-DEA4FDE890C8}"/>
    <cellStyle name="40% - Accent4 3 4 5" xfId="18051" xr:uid="{32D45889-7AD1-42CE-8030-CF1AE0EFFC79}"/>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A21F2FA2-63ED-4BD2-A70C-E21B2B9AEAA0}"/>
    <cellStyle name="40% - Accent4 3 5 2 2 3" xfId="29031" xr:uid="{1786A3B8-C828-4493-94FD-AA10BD4FC5B3}"/>
    <cellStyle name="40% - Accent4 3 5 2 3" xfId="12180" xr:uid="{512DCC1D-D973-4481-953F-B42E5D7A132C}"/>
    <cellStyle name="40% - Accent4 3 5 2 3 2" xfId="24820" xr:uid="{F43DF551-7259-465A-91D9-E8F059FE3B95}"/>
    <cellStyle name="40% - Accent4 3 5 2 4" xfId="20609" xr:uid="{A9ACE2CB-870E-4AFE-8031-D13F2F5F90C3}"/>
    <cellStyle name="40% - Accent4 3 5 3" xfId="5824" xr:uid="{00000000-0005-0000-0000-000012060000}"/>
    <cellStyle name="40% - Accent4 3 5 3 2" xfId="14253" xr:uid="{280576D2-5381-4A84-92F2-6A6AAE4C9418}"/>
    <cellStyle name="40% - Accent4 3 5 3 3" xfId="26886" xr:uid="{59EA9B98-E037-419C-A89E-47EB5FC30A7B}"/>
    <cellStyle name="40% - Accent4 3 5 4" xfId="10035" xr:uid="{9EBF0FB9-A0BF-4A1B-8611-472E34053E68}"/>
    <cellStyle name="40% - Accent4 3 5 4 2" xfId="22675" xr:uid="{488FFBA3-5FE8-46D4-81DB-D1E9B159A021}"/>
    <cellStyle name="40% - Accent4 3 5 5" xfId="18464" xr:uid="{334BA194-7557-4374-A55D-80EDC5235928}"/>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76E25E75-1924-4CD1-9686-3AD74984AE84}"/>
    <cellStyle name="40% - Accent4 3 6 2 2 3" xfId="29444" xr:uid="{3D89A167-8984-4D3F-8311-D2EDB8EC50D0}"/>
    <cellStyle name="40% - Accent4 3 6 2 3" xfId="12593" xr:uid="{8D346FBB-51E0-4990-9F43-36E2EEBCC126}"/>
    <cellStyle name="40% - Accent4 3 6 2 3 2" xfId="25233" xr:uid="{84D606CB-6DC2-41B0-BAF9-76289023800C}"/>
    <cellStyle name="40% - Accent4 3 6 2 4" xfId="21022" xr:uid="{B1DDE771-3AAF-4436-A1F4-03508E6983F4}"/>
    <cellStyle name="40% - Accent4 3 6 3" xfId="6237" xr:uid="{00000000-0005-0000-0000-000016060000}"/>
    <cellStyle name="40% - Accent4 3 6 3 2" xfId="14666" xr:uid="{E070BF2D-ED76-4970-95A9-57F6389E09F9}"/>
    <cellStyle name="40% - Accent4 3 6 3 3" xfId="27299" xr:uid="{3DA18A8A-4A5B-4B91-8931-70A4F2806C09}"/>
    <cellStyle name="40% - Accent4 3 6 4" xfId="10448" xr:uid="{6D4A8D10-7AED-4AC6-B1A6-F1E2B0923901}"/>
    <cellStyle name="40% - Accent4 3 6 4 2" xfId="23088" xr:uid="{10C235BC-DB78-4BDC-98DA-A80B1298166B}"/>
    <cellStyle name="40% - Accent4 3 6 5" xfId="18877" xr:uid="{8EEFF674-1B57-4310-94D9-A11C3F6C7782}"/>
    <cellStyle name="40% - Accent4 3 7" xfId="2342" xr:uid="{00000000-0005-0000-0000-000017060000}"/>
    <cellStyle name="40% - Accent4 3 7 2" xfId="6650" xr:uid="{00000000-0005-0000-0000-000018060000}"/>
    <cellStyle name="40% - Accent4 3 7 2 2" xfId="15079" xr:uid="{310D2035-ADFA-48EC-972A-5066EDD463D1}"/>
    <cellStyle name="40% - Accent4 3 7 2 3" xfId="27712" xr:uid="{C710F265-C450-49E2-B8BA-E388BF00E8F2}"/>
    <cellStyle name="40% - Accent4 3 7 3" xfId="10861" xr:uid="{D5BE037E-348B-4209-9D5A-9BEBC93FBB6C}"/>
    <cellStyle name="40% - Accent4 3 7 3 2" xfId="23501" xr:uid="{E1B8EEC7-6055-4134-B1AF-55275C0546CC}"/>
    <cellStyle name="40% - Accent4 3 7 4" xfId="19290" xr:uid="{0AD4D965-771B-495F-BC59-6511C993D274}"/>
    <cellStyle name="40% - Accent4 3 8" xfId="4584" xr:uid="{00000000-0005-0000-0000-000019060000}"/>
    <cellStyle name="40% - Accent4 3 8 2" xfId="13013" xr:uid="{6F596C99-B533-4BFB-8837-FC415C709F19}"/>
    <cellStyle name="40% - Accent4 3 8 3" xfId="25646" xr:uid="{FC0A80F9-6BC1-4E87-BCAE-9AF5A9E13278}"/>
    <cellStyle name="40% - Accent4 3 9" xfId="8795" xr:uid="{F851F243-526D-425E-8BFA-9534BC807B98}"/>
    <cellStyle name="40% - Accent4 3 9 2" xfId="21435" xr:uid="{4D24C7D8-2FE1-4905-A437-20AD0C72DBB6}"/>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AB47C88D-3E11-4042-9766-A285379FF4FC}"/>
    <cellStyle name="40% - Accent4 4 2 2 2 3" xfId="28207" xr:uid="{E737E289-4C53-4BDF-9520-F6991B0A2B03}"/>
    <cellStyle name="40% - Accent4 4 2 2 3" xfId="11356" xr:uid="{0AD5FAC8-F35C-479F-B7DC-1C66D8DE4B27}"/>
    <cellStyle name="40% - Accent4 4 2 2 3 2" xfId="23996" xr:uid="{7AF23208-D5D0-4C74-BCD3-9F78A3180DD1}"/>
    <cellStyle name="40% - Accent4 4 2 2 4" xfId="19785" xr:uid="{D8886CC5-8194-453F-B38C-14FF447307C5}"/>
    <cellStyle name="40% - Accent4 4 2 3" xfId="5000" xr:uid="{00000000-0005-0000-0000-00001E060000}"/>
    <cellStyle name="40% - Accent4 4 2 3 2" xfId="13429" xr:uid="{4D64FDB0-30A5-4ADF-BB13-47B4CCBD911B}"/>
    <cellStyle name="40% - Accent4 4 2 3 3" xfId="26062" xr:uid="{75B2877C-A6F3-497D-8BC4-F5B6AB79D026}"/>
    <cellStyle name="40% - Accent4 4 2 4" xfId="9211" xr:uid="{41991F4C-E48A-4C76-9B28-ED935623AEF3}"/>
    <cellStyle name="40% - Accent4 4 2 4 2" xfId="21851" xr:uid="{9A9166C9-872A-411D-94EC-D0DE4AA53FAC}"/>
    <cellStyle name="40% - Accent4 4 2 5" xfId="17640" xr:uid="{62B31BD9-ECC0-4504-B0E8-3E632982F815}"/>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C8DC38DB-4AC8-4A19-AE84-4344E1897672}"/>
    <cellStyle name="40% - Accent4 4 3 2 2 3" xfId="28620" xr:uid="{14EA0B00-775B-48F4-98B4-B03E22FB18A5}"/>
    <cellStyle name="40% - Accent4 4 3 2 3" xfId="11769" xr:uid="{96DABF11-481E-4C8F-ABDE-A15D5352B25F}"/>
    <cellStyle name="40% - Accent4 4 3 2 3 2" xfId="24409" xr:uid="{30467B08-441C-44BF-945B-F917FC687199}"/>
    <cellStyle name="40% - Accent4 4 3 2 4" xfId="20198" xr:uid="{C290F10F-E9B1-47A5-B018-4A90D02B9EF9}"/>
    <cellStyle name="40% - Accent4 4 3 3" xfId="5413" xr:uid="{00000000-0005-0000-0000-000022060000}"/>
    <cellStyle name="40% - Accent4 4 3 3 2" xfId="13842" xr:uid="{5B9F6B7B-CB30-4B52-A2F0-13D5B32E5FC0}"/>
    <cellStyle name="40% - Accent4 4 3 3 3" xfId="26475" xr:uid="{5CAFACC2-D789-4F35-9429-7C44FF0C1B9E}"/>
    <cellStyle name="40% - Accent4 4 3 4" xfId="9624" xr:uid="{7B7007A7-EF75-457F-BA02-860019393460}"/>
    <cellStyle name="40% - Accent4 4 3 4 2" xfId="22264" xr:uid="{568A43F4-F164-42A5-B4DD-58C841772367}"/>
    <cellStyle name="40% - Accent4 4 3 5" xfId="18053" xr:uid="{EAC82CC6-C2CF-429E-8DD9-4F55BBB847CE}"/>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470A7C37-9586-4EE1-8105-11BAD0105655}"/>
    <cellStyle name="40% - Accent4 4 4 2 2 3" xfId="29033" xr:uid="{090EC3E9-3946-4DE6-AE9F-FCB649A10E62}"/>
    <cellStyle name="40% - Accent4 4 4 2 3" xfId="12182" xr:uid="{220BC558-F79C-4EBC-8144-07AA996A7EE0}"/>
    <cellStyle name="40% - Accent4 4 4 2 3 2" xfId="24822" xr:uid="{67FCBFF5-50C1-4632-A209-071C0F371D10}"/>
    <cellStyle name="40% - Accent4 4 4 2 4" xfId="20611" xr:uid="{552FE546-C365-41EF-BEEB-FA43FAFE61C3}"/>
    <cellStyle name="40% - Accent4 4 4 3" xfId="5826" xr:uid="{00000000-0005-0000-0000-000026060000}"/>
    <cellStyle name="40% - Accent4 4 4 3 2" xfId="14255" xr:uid="{FB30C9C1-9E35-49FD-B280-128FF06F0494}"/>
    <cellStyle name="40% - Accent4 4 4 3 3" xfId="26888" xr:uid="{D39470BD-FC34-42C9-A6DA-697E6CD346DA}"/>
    <cellStyle name="40% - Accent4 4 4 4" xfId="10037" xr:uid="{1F1FEA71-FFE7-47F1-B08A-733CCC7C2C1D}"/>
    <cellStyle name="40% - Accent4 4 4 4 2" xfId="22677" xr:uid="{EDDD9DB9-93D4-43EF-8071-3EC7D0FDE9DA}"/>
    <cellStyle name="40% - Accent4 4 4 5" xfId="18466" xr:uid="{49191590-F4B1-4CAB-ABC7-F5ACAADD3332}"/>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F406BC3C-33E3-48DE-89EE-78BDAE823935}"/>
    <cellStyle name="40% - Accent4 4 5 2 2 3" xfId="29446" xr:uid="{347026E7-41B0-4D80-AB5C-C764DAB321BB}"/>
    <cellStyle name="40% - Accent4 4 5 2 3" xfId="12595" xr:uid="{EBBEFEA6-A874-4581-9614-DD2B07F25289}"/>
    <cellStyle name="40% - Accent4 4 5 2 3 2" xfId="25235" xr:uid="{5DDA4059-BDD3-42F7-B88E-D53B50509DBD}"/>
    <cellStyle name="40% - Accent4 4 5 2 4" xfId="21024" xr:uid="{66CF6E86-D537-44FB-AF1E-20D2B6C0D102}"/>
    <cellStyle name="40% - Accent4 4 5 3" xfId="6239" xr:uid="{00000000-0005-0000-0000-00002A060000}"/>
    <cellStyle name="40% - Accent4 4 5 3 2" xfId="14668" xr:uid="{78870391-09D4-41D3-8460-E35A911FBB20}"/>
    <cellStyle name="40% - Accent4 4 5 3 3" xfId="27301" xr:uid="{606259AE-07E0-490E-BA24-A094F44ED51F}"/>
    <cellStyle name="40% - Accent4 4 5 4" xfId="10450" xr:uid="{2DEE658D-5ADC-479D-9430-21B0BF3F1A23}"/>
    <cellStyle name="40% - Accent4 4 5 4 2" xfId="23090" xr:uid="{C0CE5078-12ED-42C0-B4D4-D4BFFD00B2B4}"/>
    <cellStyle name="40% - Accent4 4 5 5" xfId="18879" xr:uid="{A6387C3E-BA8B-488E-83D0-54180E4EECD0}"/>
    <cellStyle name="40% - Accent4 4 6" xfId="2344" xr:uid="{00000000-0005-0000-0000-00002B060000}"/>
    <cellStyle name="40% - Accent4 4 6 2" xfId="6652" xr:uid="{00000000-0005-0000-0000-00002C060000}"/>
    <cellStyle name="40% - Accent4 4 6 2 2" xfId="15081" xr:uid="{E56EE407-2AE1-4B77-BC61-E16567FEEC52}"/>
    <cellStyle name="40% - Accent4 4 6 2 3" xfId="27714" xr:uid="{1475B094-5B9E-415D-AC45-113FB9A473A2}"/>
    <cellStyle name="40% - Accent4 4 6 3" xfId="10863" xr:uid="{2BF2BEF1-C68E-4AE1-A791-262457E91196}"/>
    <cellStyle name="40% - Accent4 4 6 3 2" xfId="23503" xr:uid="{8F820CE4-AFEC-43E3-A3A7-04A29F993E26}"/>
    <cellStyle name="40% - Accent4 4 6 4" xfId="19292" xr:uid="{9C266846-F246-4479-9155-B23344D66923}"/>
    <cellStyle name="40% - Accent4 4 7" xfId="4586" xr:uid="{00000000-0005-0000-0000-00002D060000}"/>
    <cellStyle name="40% - Accent4 4 7 2" xfId="13015" xr:uid="{C3ABE948-590E-4E84-81AE-1F9B71FEB567}"/>
    <cellStyle name="40% - Accent4 4 7 3" xfId="25648" xr:uid="{C8A43B6E-88D5-4330-B9A2-689C00D49CF1}"/>
    <cellStyle name="40% - Accent4 4 8" xfId="8797" xr:uid="{97D0DF12-9F70-47DC-9369-AFCB2895C3F6}"/>
    <cellStyle name="40% - Accent4 4 8 2" xfId="21437" xr:uid="{1FBB86DD-FDE3-4627-8936-5191ED469705}"/>
    <cellStyle name="40% - Accent4 4 9" xfId="17226" xr:uid="{0D7F6C42-EB55-4150-87AF-2FB09A3B563D}"/>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3D685A83-FD7B-46D8-8E1A-DDB084ACCEF2}"/>
    <cellStyle name="40% - Accent4 5 2 2 3" xfId="28200" xr:uid="{1A689F91-7198-4C36-8449-8CA6FA0A8387}"/>
    <cellStyle name="40% - Accent4 5 2 3" xfId="11349" xr:uid="{F17F0D61-9A6B-46B7-A03C-2FAAC0BFD34C}"/>
    <cellStyle name="40% - Accent4 5 2 3 2" xfId="23989" xr:uid="{7B99E6CA-0D97-47F9-9323-26DC4B66F13C}"/>
    <cellStyle name="40% - Accent4 5 2 4" xfId="19778" xr:uid="{0F2459DE-4B54-40C5-B89A-7749663A7233}"/>
    <cellStyle name="40% - Accent4 5 3" xfId="4993" xr:uid="{00000000-0005-0000-0000-000031060000}"/>
    <cellStyle name="40% - Accent4 5 3 2" xfId="13422" xr:uid="{9879F8B4-77B4-45BD-BF1B-D201F3E6739C}"/>
    <cellStyle name="40% - Accent4 5 3 3" xfId="26055" xr:uid="{29D06A59-19F6-40D0-915E-C8BB1EE77306}"/>
    <cellStyle name="40% - Accent4 5 4" xfId="9204" xr:uid="{02EAAF38-22BD-47DA-9B6E-D0E7398EBF7B}"/>
    <cellStyle name="40% - Accent4 5 4 2" xfId="21844" xr:uid="{32F44711-2241-416D-A862-24587AB8CB4E}"/>
    <cellStyle name="40% - Accent4 5 5" xfId="17633" xr:uid="{162D954E-3CA9-4D69-94A6-5FA05DCC187F}"/>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84E4C6C8-B2D8-42DD-9783-D92DBF4E3B9B}"/>
    <cellStyle name="40% - Accent4 6 2 2 3" xfId="28613" xr:uid="{8C2E1A3A-198D-40DB-B5A2-6C14ADA327C0}"/>
    <cellStyle name="40% - Accent4 6 2 3" xfId="11762" xr:uid="{5269F985-3AEB-4627-BE07-C8691AC7D236}"/>
    <cellStyle name="40% - Accent4 6 2 3 2" xfId="24402" xr:uid="{9D8D857D-B017-4BDF-9C47-1B5FB984BE5A}"/>
    <cellStyle name="40% - Accent4 6 2 4" xfId="20191" xr:uid="{79945AE0-6CFC-4A72-A44E-9F88252C3EFB}"/>
    <cellStyle name="40% - Accent4 6 3" xfId="5406" xr:uid="{00000000-0005-0000-0000-000035060000}"/>
    <cellStyle name="40% - Accent4 6 3 2" xfId="13835" xr:uid="{140FCCEE-7E92-4714-BF6A-17B73A399DF7}"/>
    <cellStyle name="40% - Accent4 6 3 3" xfId="26468" xr:uid="{81BB3FB7-F036-4983-A54B-DD6BED2106F2}"/>
    <cellStyle name="40% - Accent4 6 4" xfId="9617" xr:uid="{253A4A08-981E-459E-81E9-D6F141D985B0}"/>
    <cellStyle name="40% - Accent4 6 4 2" xfId="22257" xr:uid="{8AA0B1A6-352F-4A50-A081-BD578791CE39}"/>
    <cellStyle name="40% - Accent4 6 5" xfId="18046" xr:uid="{DFBFBE62-2C99-4115-B59C-C0195F375458}"/>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04D423FB-7EAA-45EB-BC56-A000A00DDD6F}"/>
    <cellStyle name="40% - Accent4 7 2 2 3" xfId="29026" xr:uid="{6D69BC39-825E-4659-9C6D-A723D53785C9}"/>
    <cellStyle name="40% - Accent4 7 2 3" xfId="12175" xr:uid="{09D941AE-CA97-443A-8B0E-77E252B57D63}"/>
    <cellStyle name="40% - Accent4 7 2 3 2" xfId="24815" xr:uid="{306B46D7-8C0C-4FDD-975E-E2FFBCACCAD2}"/>
    <cellStyle name="40% - Accent4 7 2 4" xfId="20604" xr:uid="{BE86E226-C175-48B3-97A8-716A22784748}"/>
    <cellStyle name="40% - Accent4 7 3" xfId="5819" xr:uid="{00000000-0005-0000-0000-000039060000}"/>
    <cellStyle name="40% - Accent4 7 3 2" xfId="14248" xr:uid="{30CF3F70-0D3C-4676-90F1-B13AFF2F467B}"/>
    <cellStyle name="40% - Accent4 7 3 3" xfId="26881" xr:uid="{C00440D6-A449-4CA6-80F0-91189BEDE030}"/>
    <cellStyle name="40% - Accent4 7 4" xfId="10030" xr:uid="{215AFBC3-2B60-4CEB-B78C-FB4CCBA5C6DF}"/>
    <cellStyle name="40% - Accent4 7 4 2" xfId="22670" xr:uid="{48BAD032-B6CB-4D42-B188-FC48B3A028AE}"/>
    <cellStyle name="40% - Accent4 7 5" xfId="18459" xr:uid="{2E357CCE-566F-448E-A43E-3DC5CB74F10F}"/>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F31BC18C-F02D-407F-AA04-48529C09AB20}"/>
    <cellStyle name="40% - Accent4 8 2 2 3" xfId="29439" xr:uid="{84A4EE9C-2D13-4C26-9889-E04F5B5F9DCD}"/>
    <cellStyle name="40% - Accent4 8 2 3" xfId="12588" xr:uid="{9E98D7C4-BBAA-471A-8F07-EB9E393ED8FD}"/>
    <cellStyle name="40% - Accent4 8 2 3 2" xfId="25228" xr:uid="{0082E73A-8B49-40D7-A409-1AD623EACBA0}"/>
    <cellStyle name="40% - Accent4 8 2 4" xfId="21017" xr:uid="{42A9E3C4-9725-44DA-96C1-082EFEBFBAEA}"/>
    <cellStyle name="40% - Accent4 8 3" xfId="6232" xr:uid="{00000000-0005-0000-0000-00003D060000}"/>
    <cellStyle name="40% - Accent4 8 3 2" xfId="14661" xr:uid="{861BB474-6BE1-4076-876C-4202FBF26F4D}"/>
    <cellStyle name="40% - Accent4 8 3 3" xfId="27294" xr:uid="{FFC8F104-E025-470B-B3A5-60C10429E3BD}"/>
    <cellStyle name="40% - Accent4 8 4" xfId="10443" xr:uid="{02AF6B9A-94ED-4D2D-B7F4-39190C05C926}"/>
    <cellStyle name="40% - Accent4 8 4 2" xfId="23083" xr:uid="{D82FDF90-2310-49AF-AB8B-52167B053989}"/>
    <cellStyle name="40% - Accent4 8 5" xfId="18872" xr:uid="{7E5AA44D-C0F7-4CCE-B6E9-2AE805266430}"/>
    <cellStyle name="40% - Accent4 9" xfId="2337" xr:uid="{00000000-0005-0000-0000-00003E060000}"/>
    <cellStyle name="40% - Accent4 9 2" xfId="6645" xr:uid="{00000000-0005-0000-0000-00003F060000}"/>
    <cellStyle name="40% - Accent4 9 2 2" xfId="15074" xr:uid="{453F13B1-3089-458B-8196-4F7A5B5E25F1}"/>
    <cellStyle name="40% - Accent4 9 2 3" xfId="27707" xr:uid="{283C4EA2-8B66-47DA-BC28-3557B73B19AB}"/>
    <cellStyle name="40% - Accent4 9 3" xfId="10856" xr:uid="{D80D1228-B51C-4186-827B-BCF401E93251}"/>
    <cellStyle name="40% - Accent4 9 3 2" xfId="23496" xr:uid="{4D7145F5-FF54-4D61-B500-72E8E0518EB2}"/>
    <cellStyle name="40% - Accent4 9 4" xfId="19285" xr:uid="{4DCA397A-A0C2-40E2-BCD3-D6E933F3C4D5}"/>
    <cellStyle name="40% - Accent5" xfId="81" builtinId="47" customBuiltin="1"/>
    <cellStyle name="40% - Accent5 10" xfId="4587" xr:uid="{00000000-0005-0000-0000-000041060000}"/>
    <cellStyle name="40% - Accent5 10 2" xfId="13016" xr:uid="{9259BCE6-D6DF-42FF-9EA3-473B8AAD278D}"/>
    <cellStyle name="40% - Accent5 10 3" xfId="25649" xr:uid="{B304CA31-3FA4-4D1A-AFAA-F57C9C268353}"/>
    <cellStyle name="40% - Accent5 11" xfId="8798" xr:uid="{E4626F4A-75B7-44DF-98EA-5F5DD8933F7F}"/>
    <cellStyle name="40% - Accent5 11 2" xfId="21438" xr:uid="{22F5266A-9EC9-456B-985E-B1C3CBDCD205}"/>
    <cellStyle name="40% - Accent5 12" xfId="17227" xr:uid="{84AB6F1F-75DA-456F-AB0A-8B5810E3013F}"/>
    <cellStyle name="40% - Accent5 2" xfId="82" xr:uid="{00000000-0005-0000-0000-000042060000}"/>
    <cellStyle name="40% - Accent5 2 10" xfId="8799" xr:uid="{4981F472-AFB3-42DD-9FF7-B5F431B70460}"/>
    <cellStyle name="40% - Accent5 2 10 2" xfId="21439" xr:uid="{BC4CD016-F70E-4612-89AB-51B1345A6A3F}"/>
    <cellStyle name="40% - Accent5 2 11" xfId="17228" xr:uid="{0E1CEADE-4C1C-476E-954F-6A62B50645AD}"/>
    <cellStyle name="40% - Accent5 2 2" xfId="83" xr:uid="{00000000-0005-0000-0000-000043060000}"/>
    <cellStyle name="40% - Accent5 2 2 10" xfId="17229" xr:uid="{AEFEC0A7-2740-46D5-B966-862F14201EDD}"/>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35CC2714-5093-4006-99AF-9FE55FBDD57D}"/>
    <cellStyle name="40% - Accent5 2 2 2 2 2 2 3" xfId="28211" xr:uid="{C44DCAF4-79F5-4D49-BA0C-779AC6E4C775}"/>
    <cellStyle name="40% - Accent5 2 2 2 2 2 3" xfId="11360" xr:uid="{6F4558B4-2F16-4BC2-B7FC-F99FFD754A38}"/>
    <cellStyle name="40% - Accent5 2 2 2 2 2 3 2" xfId="24000" xr:uid="{E8D34A61-5F2D-4C4E-BC13-21BA4D1A9946}"/>
    <cellStyle name="40% - Accent5 2 2 2 2 2 4" xfId="19789" xr:uid="{DF1DA867-FD2E-4471-9718-DE90EA2CDF12}"/>
    <cellStyle name="40% - Accent5 2 2 2 2 3" xfId="5004" xr:uid="{00000000-0005-0000-0000-000048060000}"/>
    <cellStyle name="40% - Accent5 2 2 2 2 3 2" xfId="13433" xr:uid="{764B6203-F640-4B8B-942B-8843A48D9614}"/>
    <cellStyle name="40% - Accent5 2 2 2 2 3 3" xfId="26066" xr:uid="{80A5FF57-8CA0-4D6F-B040-203C7A9939D2}"/>
    <cellStyle name="40% - Accent5 2 2 2 2 4" xfId="9215" xr:uid="{C43BD433-D7F8-4B40-8310-0CA7A79294FC}"/>
    <cellStyle name="40% - Accent5 2 2 2 2 4 2" xfId="21855" xr:uid="{76B04E51-68FF-481D-A84B-4414F7AF28D1}"/>
    <cellStyle name="40% - Accent5 2 2 2 2 5" xfId="17644" xr:uid="{AFE53808-F826-4D6D-8A9D-7ABED79CBCEA}"/>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78BD9C54-C4C3-4CB7-BB6D-57C5E3AC019C}"/>
    <cellStyle name="40% - Accent5 2 2 2 3 2 2 3" xfId="28624" xr:uid="{5B12D0F1-727C-42E6-B53E-BFB7CE5D3098}"/>
    <cellStyle name="40% - Accent5 2 2 2 3 2 3" xfId="11773" xr:uid="{43842C30-8F22-4C8B-9F00-181024F1B520}"/>
    <cellStyle name="40% - Accent5 2 2 2 3 2 3 2" xfId="24413" xr:uid="{20120DDD-68C8-4E84-A0A0-5DF871BE1EA8}"/>
    <cellStyle name="40% - Accent5 2 2 2 3 2 4" xfId="20202" xr:uid="{FB6FE6AC-9711-44B3-9984-7CAC3080A089}"/>
    <cellStyle name="40% - Accent5 2 2 2 3 3" xfId="5417" xr:uid="{00000000-0005-0000-0000-00004C060000}"/>
    <cellStyle name="40% - Accent5 2 2 2 3 3 2" xfId="13846" xr:uid="{F7C92205-00CC-45AC-B845-B95273474749}"/>
    <cellStyle name="40% - Accent5 2 2 2 3 3 3" xfId="26479" xr:uid="{8BD4DD17-18E2-454E-B668-37B4A5076270}"/>
    <cellStyle name="40% - Accent5 2 2 2 3 4" xfId="9628" xr:uid="{9867F80F-DAEB-45F3-BA2C-0895B6CFF563}"/>
    <cellStyle name="40% - Accent5 2 2 2 3 4 2" xfId="22268" xr:uid="{1CF3AB36-2885-4DCB-87DE-3A623D972BF3}"/>
    <cellStyle name="40% - Accent5 2 2 2 3 5" xfId="18057" xr:uid="{BA0682FD-24F0-496E-A0F6-44858241A731}"/>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338F2A12-3E2C-426C-AA17-E20ED38B6DE7}"/>
    <cellStyle name="40% - Accent5 2 2 2 4 2 2 3" xfId="29037" xr:uid="{5D912486-10CA-4ADF-9BF0-9BC22C24F435}"/>
    <cellStyle name="40% - Accent5 2 2 2 4 2 3" xfId="12186" xr:uid="{EBEE65F4-6C65-4E42-97D0-F967ACD83261}"/>
    <cellStyle name="40% - Accent5 2 2 2 4 2 3 2" xfId="24826" xr:uid="{B91D630D-9647-46FB-8359-303D884FB8E8}"/>
    <cellStyle name="40% - Accent5 2 2 2 4 2 4" xfId="20615" xr:uid="{51DD172F-7D6F-4230-8D32-98946F879081}"/>
    <cellStyle name="40% - Accent5 2 2 2 4 3" xfId="5830" xr:uid="{00000000-0005-0000-0000-000050060000}"/>
    <cellStyle name="40% - Accent5 2 2 2 4 3 2" xfId="14259" xr:uid="{B65FC291-9102-42D3-9A14-F5208F9DF8DA}"/>
    <cellStyle name="40% - Accent5 2 2 2 4 3 3" xfId="26892" xr:uid="{22DC4E84-D19B-4A85-A9E2-382DB883F825}"/>
    <cellStyle name="40% - Accent5 2 2 2 4 4" xfId="10041" xr:uid="{2F0E0B94-471F-4166-9605-5941E36F19E2}"/>
    <cellStyle name="40% - Accent5 2 2 2 4 4 2" xfId="22681" xr:uid="{207D3CBB-EB85-4220-A237-3CC08E182937}"/>
    <cellStyle name="40% - Accent5 2 2 2 4 5" xfId="18470" xr:uid="{8AA59435-5FB5-4F8E-8DE4-9EA8225E1D05}"/>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9E1A753E-BF7B-461F-993A-6E574F6890B0}"/>
    <cellStyle name="40% - Accent5 2 2 2 5 2 2 3" xfId="29450" xr:uid="{6E01E779-94F0-48AF-A5B0-64CC9CBEB145}"/>
    <cellStyle name="40% - Accent5 2 2 2 5 2 3" xfId="12599" xr:uid="{C8F2F5F8-2C4F-4195-9C36-8DC431F987BC}"/>
    <cellStyle name="40% - Accent5 2 2 2 5 2 3 2" xfId="25239" xr:uid="{2D564B52-192D-4EA2-895E-D5F437D0DA9C}"/>
    <cellStyle name="40% - Accent5 2 2 2 5 2 4" xfId="21028" xr:uid="{18CA1531-FA94-44C7-B30D-DED60F4D7725}"/>
    <cellStyle name="40% - Accent5 2 2 2 5 3" xfId="6243" xr:uid="{00000000-0005-0000-0000-000054060000}"/>
    <cellStyle name="40% - Accent5 2 2 2 5 3 2" xfId="14672" xr:uid="{E4F6A2E1-47F2-418D-A4B9-C5497D7143E2}"/>
    <cellStyle name="40% - Accent5 2 2 2 5 3 3" xfId="27305" xr:uid="{82956AB2-F456-4CD0-A7DC-2353A8CAF041}"/>
    <cellStyle name="40% - Accent5 2 2 2 5 4" xfId="10454" xr:uid="{27424F55-9F06-4BA7-A7FC-F2BB673B5DC4}"/>
    <cellStyle name="40% - Accent5 2 2 2 5 4 2" xfId="23094" xr:uid="{BE308F08-B628-400F-BCFB-861369332739}"/>
    <cellStyle name="40% - Accent5 2 2 2 5 5" xfId="18883" xr:uid="{BCB25E0D-4F34-4F6A-9E50-C2CA89EE3FDA}"/>
    <cellStyle name="40% - Accent5 2 2 2 6" xfId="2348" xr:uid="{00000000-0005-0000-0000-000055060000}"/>
    <cellStyle name="40% - Accent5 2 2 2 6 2" xfId="6656" xr:uid="{00000000-0005-0000-0000-000056060000}"/>
    <cellStyle name="40% - Accent5 2 2 2 6 2 2" xfId="15085" xr:uid="{018123D0-39F8-4600-A7FF-FA7F7C713AEE}"/>
    <cellStyle name="40% - Accent5 2 2 2 6 2 3" xfId="27718" xr:uid="{78C411CB-A04A-444C-A7B2-A1F736691547}"/>
    <cellStyle name="40% - Accent5 2 2 2 6 3" xfId="10867" xr:uid="{5B053BE7-3A16-4DD6-A265-042CD59C09E3}"/>
    <cellStyle name="40% - Accent5 2 2 2 6 3 2" xfId="23507" xr:uid="{1BBC23B5-DC17-4C5B-892C-0A2884E58D46}"/>
    <cellStyle name="40% - Accent5 2 2 2 6 4" xfId="19296" xr:uid="{EEF5D219-C813-4750-AA13-A6641DEBC2B7}"/>
    <cellStyle name="40% - Accent5 2 2 2 7" xfId="4590" xr:uid="{00000000-0005-0000-0000-000057060000}"/>
    <cellStyle name="40% - Accent5 2 2 2 7 2" xfId="13019" xr:uid="{32A5596C-C103-4BB6-B68A-5C81A4F1F77C}"/>
    <cellStyle name="40% - Accent5 2 2 2 7 3" xfId="25652" xr:uid="{FE33BD22-3C64-4337-81FF-04AB486CDB53}"/>
    <cellStyle name="40% - Accent5 2 2 2 8" xfId="8801" xr:uid="{2899C090-6CB6-49F6-BC26-92BE5A544B81}"/>
    <cellStyle name="40% - Accent5 2 2 2 8 2" xfId="21441" xr:uid="{28270AF1-7DEF-4928-82ED-2CBADC303913}"/>
    <cellStyle name="40% - Accent5 2 2 2 9" xfId="17230" xr:uid="{1EEB4BB0-34ED-4AE7-8256-263A35E5FD14}"/>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B862CF45-734E-4E66-99DD-4362F19CBBEE}"/>
    <cellStyle name="40% - Accent5 2 2 3 2 2 3" xfId="28210" xr:uid="{B9C5CCF4-5BA9-4A7F-88FF-893E09FB2543}"/>
    <cellStyle name="40% - Accent5 2 2 3 2 3" xfId="11359" xr:uid="{1C49F26B-E5D7-44B2-8DD2-71D0CB90800B}"/>
    <cellStyle name="40% - Accent5 2 2 3 2 3 2" xfId="23999" xr:uid="{F681A3DF-8DE1-4F08-B91A-6B2B19F390F8}"/>
    <cellStyle name="40% - Accent5 2 2 3 2 4" xfId="19788" xr:uid="{645B1D5D-F63A-494C-B9A9-1763B22909BA}"/>
    <cellStyle name="40% - Accent5 2 2 3 3" xfId="5003" xr:uid="{00000000-0005-0000-0000-00005B060000}"/>
    <cellStyle name="40% - Accent5 2 2 3 3 2" xfId="13432" xr:uid="{ACEDCB1F-9FE6-41ED-94D5-884BDFE01AAA}"/>
    <cellStyle name="40% - Accent5 2 2 3 3 3" xfId="26065" xr:uid="{9B590CF7-B378-41B3-9CBF-D6995972FC40}"/>
    <cellStyle name="40% - Accent5 2 2 3 4" xfId="9214" xr:uid="{EE2F7176-D82A-49E5-AD06-2E2401E6ACBF}"/>
    <cellStyle name="40% - Accent5 2 2 3 4 2" xfId="21854" xr:uid="{EC21F269-7892-4C9E-97EC-F428F88FCEB5}"/>
    <cellStyle name="40% - Accent5 2 2 3 5" xfId="17643" xr:uid="{EADBF755-A973-41C2-B8FC-0CBBC45678A8}"/>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FD31288E-62F6-4FB9-BADB-95145C0DEED2}"/>
    <cellStyle name="40% - Accent5 2 2 4 2 2 3" xfId="28623" xr:uid="{C6DD363A-EA7B-42EF-A4C1-442B9B84C702}"/>
    <cellStyle name="40% - Accent5 2 2 4 2 3" xfId="11772" xr:uid="{2E4932D6-DB29-410A-A81A-24E53321DBC2}"/>
    <cellStyle name="40% - Accent5 2 2 4 2 3 2" xfId="24412" xr:uid="{133D8EA1-527B-4504-ABF9-E28C6729F627}"/>
    <cellStyle name="40% - Accent5 2 2 4 2 4" xfId="20201" xr:uid="{159590B7-A537-436E-A882-C53CD3F77C0E}"/>
    <cellStyle name="40% - Accent5 2 2 4 3" xfId="5416" xr:uid="{00000000-0005-0000-0000-00005F060000}"/>
    <cellStyle name="40% - Accent5 2 2 4 3 2" xfId="13845" xr:uid="{40AB8070-34E2-46D8-BC9A-19AE7C735D94}"/>
    <cellStyle name="40% - Accent5 2 2 4 3 3" xfId="26478" xr:uid="{B0EFF7CA-51B2-45A5-9318-34E61084A827}"/>
    <cellStyle name="40% - Accent5 2 2 4 4" xfId="9627" xr:uid="{71EA574C-0E5A-4D10-B9A1-DD283940116A}"/>
    <cellStyle name="40% - Accent5 2 2 4 4 2" xfId="22267" xr:uid="{5E83405A-2AD0-4910-AE9E-7B07566A20B4}"/>
    <cellStyle name="40% - Accent5 2 2 4 5" xfId="18056" xr:uid="{67239222-A723-434A-AEEE-6D526AE8DCD7}"/>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1791C020-3383-4AB9-AC0D-577474F3C1CF}"/>
    <cellStyle name="40% - Accent5 2 2 5 2 2 3" xfId="29036" xr:uid="{FD5EE22D-F8B7-4AFA-9D77-802500C1131F}"/>
    <cellStyle name="40% - Accent5 2 2 5 2 3" xfId="12185" xr:uid="{C3C55D80-36C5-49D2-8C60-D35324A26A30}"/>
    <cellStyle name="40% - Accent5 2 2 5 2 3 2" xfId="24825" xr:uid="{5D37BC51-6781-4CFB-9D41-1B20DB08FDB0}"/>
    <cellStyle name="40% - Accent5 2 2 5 2 4" xfId="20614" xr:uid="{CC6488B4-8317-4C7C-A69E-07B0A01E9DCF}"/>
    <cellStyle name="40% - Accent5 2 2 5 3" xfId="5829" xr:uid="{00000000-0005-0000-0000-000063060000}"/>
    <cellStyle name="40% - Accent5 2 2 5 3 2" xfId="14258" xr:uid="{CCB624B8-E2AC-4801-A808-49D2DB6E1BB1}"/>
    <cellStyle name="40% - Accent5 2 2 5 3 3" xfId="26891" xr:uid="{77B7CB3C-E8E2-40BB-A312-5A58412025FD}"/>
    <cellStyle name="40% - Accent5 2 2 5 4" xfId="10040" xr:uid="{40B91A5A-9D0E-46DA-BE43-088F73A3D999}"/>
    <cellStyle name="40% - Accent5 2 2 5 4 2" xfId="22680" xr:uid="{28D60CBE-4FF9-488D-92CB-1BBF96ABACB9}"/>
    <cellStyle name="40% - Accent5 2 2 5 5" xfId="18469" xr:uid="{1C1F76EC-3BEA-480C-AAD7-CBC1144512E1}"/>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901136C1-8BF0-4EE1-8142-94CF1179A878}"/>
    <cellStyle name="40% - Accent5 2 2 6 2 2 3" xfId="29449" xr:uid="{77DC3A98-1880-440A-983D-EC05FA3FEFF2}"/>
    <cellStyle name="40% - Accent5 2 2 6 2 3" xfId="12598" xr:uid="{981D1148-D602-41C0-8750-BDFEC8847F97}"/>
    <cellStyle name="40% - Accent5 2 2 6 2 3 2" xfId="25238" xr:uid="{D189A0CC-F2C1-4E24-8E22-1B4CE08F17BB}"/>
    <cellStyle name="40% - Accent5 2 2 6 2 4" xfId="21027" xr:uid="{577402DD-469B-40F3-805F-C9AD28988E6B}"/>
    <cellStyle name="40% - Accent5 2 2 6 3" xfId="6242" xr:uid="{00000000-0005-0000-0000-000067060000}"/>
    <cellStyle name="40% - Accent5 2 2 6 3 2" xfId="14671" xr:uid="{4453A49E-6FA2-4261-B3A1-A97BFB74F781}"/>
    <cellStyle name="40% - Accent5 2 2 6 3 3" xfId="27304" xr:uid="{2395ACBB-755F-42F0-82C7-1F870C99E8CF}"/>
    <cellStyle name="40% - Accent5 2 2 6 4" xfId="10453" xr:uid="{B3FF7814-E06E-4B7F-A12B-25E816CDE245}"/>
    <cellStyle name="40% - Accent5 2 2 6 4 2" xfId="23093" xr:uid="{8C4EE411-6626-42BC-9897-6101EAE1154F}"/>
    <cellStyle name="40% - Accent5 2 2 6 5" xfId="18882" xr:uid="{5B2EE6A7-E2AB-4782-87B8-ED0EFF197A60}"/>
    <cellStyle name="40% - Accent5 2 2 7" xfId="2347" xr:uid="{00000000-0005-0000-0000-000068060000}"/>
    <cellStyle name="40% - Accent5 2 2 7 2" xfId="6655" xr:uid="{00000000-0005-0000-0000-000069060000}"/>
    <cellStyle name="40% - Accent5 2 2 7 2 2" xfId="15084" xr:uid="{E2E1FB5C-72DD-400B-834D-0B44FFFFC928}"/>
    <cellStyle name="40% - Accent5 2 2 7 2 3" xfId="27717" xr:uid="{F49DA44F-DF4A-4F19-BCC2-34C76B8CD84D}"/>
    <cellStyle name="40% - Accent5 2 2 7 3" xfId="10866" xr:uid="{B78853A2-D509-469E-8EF5-C333A3A0BCA8}"/>
    <cellStyle name="40% - Accent5 2 2 7 3 2" xfId="23506" xr:uid="{E7CC5DEA-B56F-4159-8906-E041136EC7AF}"/>
    <cellStyle name="40% - Accent5 2 2 7 4" xfId="19295" xr:uid="{B1FA9D54-FFEE-478E-A69C-1C6CC2BA89EE}"/>
    <cellStyle name="40% - Accent5 2 2 8" xfId="4589" xr:uid="{00000000-0005-0000-0000-00006A060000}"/>
    <cellStyle name="40% - Accent5 2 2 8 2" xfId="13018" xr:uid="{4DA27E50-E19F-4F72-A568-8198267082DC}"/>
    <cellStyle name="40% - Accent5 2 2 8 3" xfId="25651" xr:uid="{8B0D00FD-8C2B-4D7B-A875-C62C7E9DFA08}"/>
    <cellStyle name="40% - Accent5 2 2 9" xfId="8800" xr:uid="{C3997A91-5167-4C3C-BBCA-1D8035761DD9}"/>
    <cellStyle name="40% - Accent5 2 2 9 2" xfId="21440" xr:uid="{80524623-72D2-4A0D-90BD-994C1DE8F33C}"/>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BCDAC0DF-69FD-4476-83E9-011D2E812848}"/>
    <cellStyle name="40% - Accent5 2 3 2 2 2 3" xfId="28212" xr:uid="{85EC672E-0941-473C-85BD-2C73C6B6B30E}"/>
    <cellStyle name="40% - Accent5 2 3 2 2 3" xfId="11361" xr:uid="{5FCA7CBE-24AD-4E7D-87C2-6DA93565C39B}"/>
    <cellStyle name="40% - Accent5 2 3 2 2 3 2" xfId="24001" xr:uid="{5266DFA2-E6DD-47A9-9BCF-74C7161AE9DC}"/>
    <cellStyle name="40% - Accent5 2 3 2 2 4" xfId="19790" xr:uid="{971C7CEE-66D8-4849-A888-13ECDB4AF86E}"/>
    <cellStyle name="40% - Accent5 2 3 2 3" xfId="5005" xr:uid="{00000000-0005-0000-0000-00006F060000}"/>
    <cellStyle name="40% - Accent5 2 3 2 3 2" xfId="13434" xr:uid="{3E8D8D31-0090-4208-8145-B6013A9083F2}"/>
    <cellStyle name="40% - Accent5 2 3 2 3 3" xfId="26067" xr:uid="{77375643-5578-4EB5-96F3-BC94F1BD9FD5}"/>
    <cellStyle name="40% - Accent5 2 3 2 4" xfId="9216" xr:uid="{47B6526B-4244-4481-ABA0-FDD309233A8A}"/>
    <cellStyle name="40% - Accent5 2 3 2 4 2" xfId="21856" xr:uid="{43B51544-83CC-4478-81C2-0B85F0682E50}"/>
    <cellStyle name="40% - Accent5 2 3 2 5" xfId="17645" xr:uid="{97C631E4-4DAD-4EE1-8537-853B67EEC162}"/>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2B2380F2-7D4A-4CD2-92BF-1F13D46C1ED0}"/>
    <cellStyle name="40% - Accent5 2 3 3 2 2 3" xfId="28625" xr:uid="{9CF824AD-C8A8-4F1F-8484-B83105BF6A33}"/>
    <cellStyle name="40% - Accent5 2 3 3 2 3" xfId="11774" xr:uid="{6139F19C-6C73-442D-9446-142126A10E55}"/>
    <cellStyle name="40% - Accent5 2 3 3 2 3 2" xfId="24414" xr:uid="{68A464A5-54BB-4AB0-9E8C-59016AA657C1}"/>
    <cellStyle name="40% - Accent5 2 3 3 2 4" xfId="20203" xr:uid="{C0B4FF47-EAFC-4957-B582-5D4E8E4A5546}"/>
    <cellStyle name="40% - Accent5 2 3 3 3" xfId="5418" xr:uid="{00000000-0005-0000-0000-000073060000}"/>
    <cellStyle name="40% - Accent5 2 3 3 3 2" xfId="13847" xr:uid="{AA60A86A-4F61-40FF-B9DC-E79E0349B85F}"/>
    <cellStyle name="40% - Accent5 2 3 3 3 3" xfId="26480" xr:uid="{B32D9B0D-2332-437B-B621-C26DF55862C2}"/>
    <cellStyle name="40% - Accent5 2 3 3 4" xfId="9629" xr:uid="{68F37006-A2BB-4AC9-B304-80F87C9283D6}"/>
    <cellStyle name="40% - Accent5 2 3 3 4 2" xfId="22269" xr:uid="{0053C37F-F521-4FCB-BD04-6F2FB12F364C}"/>
    <cellStyle name="40% - Accent5 2 3 3 5" xfId="18058" xr:uid="{A87DB037-43E1-46C6-8378-F12DF370154C}"/>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72C9417D-0F33-4A6D-B3BF-F247A8E23191}"/>
    <cellStyle name="40% - Accent5 2 3 4 2 2 3" xfId="29038" xr:uid="{8F40396E-534D-40FB-BEF8-FBE69735A31E}"/>
    <cellStyle name="40% - Accent5 2 3 4 2 3" xfId="12187" xr:uid="{905570D0-6DDE-4884-8148-CDB336A20FAD}"/>
    <cellStyle name="40% - Accent5 2 3 4 2 3 2" xfId="24827" xr:uid="{7D616190-A111-48C8-A26E-8A2E25826EF3}"/>
    <cellStyle name="40% - Accent5 2 3 4 2 4" xfId="20616" xr:uid="{4695584B-C86E-48B2-8C80-1E84F5C0DE4F}"/>
    <cellStyle name="40% - Accent5 2 3 4 3" xfId="5831" xr:uid="{00000000-0005-0000-0000-000077060000}"/>
    <cellStyle name="40% - Accent5 2 3 4 3 2" xfId="14260" xr:uid="{B2645584-AD5F-4D37-B4BF-54739B1A6E4B}"/>
    <cellStyle name="40% - Accent5 2 3 4 3 3" xfId="26893" xr:uid="{4590C777-674A-4C13-8815-2694164456A8}"/>
    <cellStyle name="40% - Accent5 2 3 4 4" xfId="10042" xr:uid="{2E72C918-C7A1-4B89-8481-2AB185AD6880}"/>
    <cellStyle name="40% - Accent5 2 3 4 4 2" xfId="22682" xr:uid="{66E7FB74-BFEE-43DA-A20A-71EBC29D480A}"/>
    <cellStyle name="40% - Accent5 2 3 4 5" xfId="18471" xr:uid="{8900156F-A151-4284-9A7E-3329B436A831}"/>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E42AE1BD-861C-4097-A490-F78B34786342}"/>
    <cellStyle name="40% - Accent5 2 3 5 2 2 3" xfId="29451" xr:uid="{ABA843A1-42C1-46EF-B81C-A5848EF18F8D}"/>
    <cellStyle name="40% - Accent5 2 3 5 2 3" xfId="12600" xr:uid="{3B119BC0-89EC-43CB-B659-5E2137D6BF27}"/>
    <cellStyle name="40% - Accent5 2 3 5 2 3 2" xfId="25240" xr:uid="{C99232E4-13CA-4F16-9A7A-67A00E203927}"/>
    <cellStyle name="40% - Accent5 2 3 5 2 4" xfId="21029" xr:uid="{8397A346-4BD2-4A13-9488-CA280243C6F8}"/>
    <cellStyle name="40% - Accent5 2 3 5 3" xfId="6244" xr:uid="{00000000-0005-0000-0000-00007B060000}"/>
    <cellStyle name="40% - Accent5 2 3 5 3 2" xfId="14673" xr:uid="{AD3757FF-503A-4300-94A3-27FA9D1B806E}"/>
    <cellStyle name="40% - Accent5 2 3 5 3 3" xfId="27306" xr:uid="{6FB2C269-B62A-4D1D-AB25-6F1BEB8A2FD9}"/>
    <cellStyle name="40% - Accent5 2 3 5 4" xfId="10455" xr:uid="{35052E5F-3021-48AB-BDC6-23B75F426C05}"/>
    <cellStyle name="40% - Accent5 2 3 5 4 2" xfId="23095" xr:uid="{EF11E96B-8A2F-4625-97A9-34CD72898D04}"/>
    <cellStyle name="40% - Accent5 2 3 5 5" xfId="18884" xr:uid="{D2067DBD-39C0-48E2-AD0E-2582E69A9347}"/>
    <cellStyle name="40% - Accent5 2 3 6" xfId="2349" xr:uid="{00000000-0005-0000-0000-00007C060000}"/>
    <cellStyle name="40% - Accent5 2 3 6 2" xfId="6657" xr:uid="{00000000-0005-0000-0000-00007D060000}"/>
    <cellStyle name="40% - Accent5 2 3 6 2 2" xfId="15086" xr:uid="{08110883-7F9B-4B08-8F3A-D644CD0FBD7B}"/>
    <cellStyle name="40% - Accent5 2 3 6 2 3" xfId="27719" xr:uid="{6EFE4CF9-BFA3-457E-9D80-3FA80B1C4919}"/>
    <cellStyle name="40% - Accent5 2 3 6 3" xfId="10868" xr:uid="{DF357988-480C-4A63-9A7F-4404B45FD2DE}"/>
    <cellStyle name="40% - Accent5 2 3 6 3 2" xfId="23508" xr:uid="{AE52A141-0E26-48AE-B244-E73447DEA391}"/>
    <cellStyle name="40% - Accent5 2 3 6 4" xfId="19297" xr:uid="{BCAA5B4D-F949-4128-8FFB-8AC289AF538D}"/>
    <cellStyle name="40% - Accent5 2 3 7" xfId="4591" xr:uid="{00000000-0005-0000-0000-00007E060000}"/>
    <cellStyle name="40% - Accent5 2 3 7 2" xfId="13020" xr:uid="{69878E11-3566-48E7-A2DD-941A44E5D813}"/>
    <cellStyle name="40% - Accent5 2 3 7 3" xfId="25653" xr:uid="{9D799175-F998-4A5B-BC2E-FFA29996A9D8}"/>
    <cellStyle name="40% - Accent5 2 3 8" xfId="8802" xr:uid="{2877FDB9-FDB0-42BE-BB89-4E8F2626128C}"/>
    <cellStyle name="40% - Accent5 2 3 8 2" xfId="21442" xr:uid="{52A7BD6B-F200-4B56-A420-E4B9FD113891}"/>
    <cellStyle name="40% - Accent5 2 3 9" xfId="17231" xr:uid="{40B5523E-3F1F-4EF4-B6E2-64F0CABF1A7E}"/>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17376D5A-B8D5-491A-9A03-DF9132EADCAA}"/>
    <cellStyle name="40% - Accent5 2 4 2 2 3" xfId="28209" xr:uid="{737E79E6-A493-47C1-8EC6-D74CB93DD340}"/>
    <cellStyle name="40% - Accent5 2 4 2 3" xfId="11358" xr:uid="{990F3F6D-2472-4D4E-87ED-A588768FF583}"/>
    <cellStyle name="40% - Accent5 2 4 2 3 2" xfId="23998" xr:uid="{6F5629DA-FE8F-4108-B6AC-428FD986AA22}"/>
    <cellStyle name="40% - Accent5 2 4 2 4" xfId="19787" xr:uid="{9CC7AF9D-3833-4599-A8B5-32D8F06BC254}"/>
    <cellStyle name="40% - Accent5 2 4 3" xfId="5002" xr:uid="{00000000-0005-0000-0000-000082060000}"/>
    <cellStyle name="40% - Accent5 2 4 3 2" xfId="13431" xr:uid="{1CAFDEB9-F74F-46F2-BB6E-1B6822A5025D}"/>
    <cellStyle name="40% - Accent5 2 4 3 3" xfId="26064" xr:uid="{09D89FA3-66B8-4D56-9ADD-A8C24D8D4593}"/>
    <cellStyle name="40% - Accent5 2 4 4" xfId="9213" xr:uid="{845F6D91-DFF5-466F-8163-4D5E39137319}"/>
    <cellStyle name="40% - Accent5 2 4 4 2" xfId="21853" xr:uid="{30973CFA-62B4-4E08-B4C0-33F228DCE305}"/>
    <cellStyle name="40% - Accent5 2 4 5" xfId="17642" xr:uid="{B18DA1DC-E2E5-4F2C-8CAF-AEC2C425D72D}"/>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A03D1F48-8AC6-4474-915C-7FAE51CEED73}"/>
    <cellStyle name="40% - Accent5 2 5 2 2 3" xfId="28622" xr:uid="{4898B236-3D0F-4250-8CC6-EE7CA7D57042}"/>
    <cellStyle name="40% - Accent5 2 5 2 3" xfId="11771" xr:uid="{1CEA48B9-8645-42C3-923D-22C4D74815B1}"/>
    <cellStyle name="40% - Accent5 2 5 2 3 2" xfId="24411" xr:uid="{FA14F727-3741-42F3-85CC-ED30E6F5AED6}"/>
    <cellStyle name="40% - Accent5 2 5 2 4" xfId="20200" xr:uid="{1BFC5A9D-C4C2-4691-84C8-28A46D684670}"/>
    <cellStyle name="40% - Accent5 2 5 3" xfId="5415" xr:uid="{00000000-0005-0000-0000-000086060000}"/>
    <cellStyle name="40% - Accent5 2 5 3 2" xfId="13844" xr:uid="{B6E1E06C-6424-45AE-A453-9BB94FA9C893}"/>
    <cellStyle name="40% - Accent5 2 5 3 3" xfId="26477" xr:uid="{6F5DB04A-C812-49D9-BE13-6797146A6674}"/>
    <cellStyle name="40% - Accent5 2 5 4" xfId="9626" xr:uid="{9362D273-F9DE-4AEB-90A3-20179F75F7F6}"/>
    <cellStyle name="40% - Accent5 2 5 4 2" xfId="22266" xr:uid="{B79E2CB6-704D-4D8E-8DB5-358E77D87711}"/>
    <cellStyle name="40% - Accent5 2 5 5" xfId="18055" xr:uid="{40002004-353D-4D51-AB9B-469402EC3E98}"/>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0D2E2ECD-23CF-4CAB-8AD8-3A30D5DCFD15}"/>
    <cellStyle name="40% - Accent5 2 6 2 2 3" xfId="29035" xr:uid="{2C624874-59FE-49C0-A7D6-1AF171810A0E}"/>
    <cellStyle name="40% - Accent5 2 6 2 3" xfId="12184" xr:uid="{AE3491AC-2A34-4D73-8FC8-F5FD9329F14D}"/>
    <cellStyle name="40% - Accent5 2 6 2 3 2" xfId="24824" xr:uid="{716BAEBD-D049-4DD3-8E43-B0F1BAA3C48B}"/>
    <cellStyle name="40% - Accent5 2 6 2 4" xfId="20613" xr:uid="{17FC7931-E8CD-43F4-9B59-FDC5979B4589}"/>
    <cellStyle name="40% - Accent5 2 6 3" xfId="5828" xr:uid="{00000000-0005-0000-0000-00008A060000}"/>
    <cellStyle name="40% - Accent5 2 6 3 2" xfId="14257" xr:uid="{56082488-6B8D-4D8F-AEBC-17BCED5F5BEA}"/>
    <cellStyle name="40% - Accent5 2 6 3 3" xfId="26890" xr:uid="{B772E6D8-C341-461D-8ACD-1E9B5C38D5C4}"/>
    <cellStyle name="40% - Accent5 2 6 4" xfId="10039" xr:uid="{06879258-83DE-45E0-831A-059EABFB5F12}"/>
    <cellStyle name="40% - Accent5 2 6 4 2" xfId="22679" xr:uid="{14DAC9AD-BC41-4428-AB8D-B67433ADAF87}"/>
    <cellStyle name="40% - Accent5 2 6 5" xfId="18468" xr:uid="{6F40D4E7-F2F5-4143-90B8-FBCB2608D15E}"/>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23A91772-FADC-4E64-8106-8F3161A0107E}"/>
    <cellStyle name="40% - Accent5 2 7 2 2 3" xfId="29448" xr:uid="{14CC0F42-F225-43C7-A22B-3143C385EE9E}"/>
    <cellStyle name="40% - Accent5 2 7 2 3" xfId="12597" xr:uid="{7C650934-7C11-4512-9CE2-BA4A14E1C1AF}"/>
    <cellStyle name="40% - Accent5 2 7 2 3 2" xfId="25237" xr:uid="{CD24C09A-7398-40E3-8869-750033397755}"/>
    <cellStyle name="40% - Accent5 2 7 2 4" xfId="21026" xr:uid="{365E07DE-CD4B-42A6-B63D-ACB5FDF519B5}"/>
    <cellStyle name="40% - Accent5 2 7 3" xfId="6241" xr:uid="{00000000-0005-0000-0000-00008E060000}"/>
    <cellStyle name="40% - Accent5 2 7 3 2" xfId="14670" xr:uid="{E015D4B2-2594-496F-96B3-B7813AFDC4E8}"/>
    <cellStyle name="40% - Accent5 2 7 3 3" xfId="27303" xr:uid="{6D284163-C42F-477F-BE5D-F86DF3DB7C4D}"/>
    <cellStyle name="40% - Accent5 2 7 4" xfId="10452" xr:uid="{AC8F2026-EADE-4F21-B9C7-53A1BDD281A5}"/>
    <cellStyle name="40% - Accent5 2 7 4 2" xfId="23092" xr:uid="{D1DF99CD-20C4-4D62-8614-CB195EAF4086}"/>
    <cellStyle name="40% - Accent5 2 7 5" xfId="18881" xr:uid="{68080007-91C1-4980-A063-D969046F7C6A}"/>
    <cellStyle name="40% - Accent5 2 8" xfId="2346" xr:uid="{00000000-0005-0000-0000-00008F060000}"/>
    <cellStyle name="40% - Accent5 2 8 2" xfId="6654" xr:uid="{00000000-0005-0000-0000-000090060000}"/>
    <cellStyle name="40% - Accent5 2 8 2 2" xfId="15083" xr:uid="{108C8932-7946-49A6-852A-5396C796F8A1}"/>
    <cellStyle name="40% - Accent5 2 8 2 3" xfId="27716" xr:uid="{6FC667BA-5086-4157-9595-3303BF71E1A6}"/>
    <cellStyle name="40% - Accent5 2 8 3" xfId="10865" xr:uid="{4DE58B98-29F1-4C04-BEC5-D3F2640D1104}"/>
    <cellStyle name="40% - Accent5 2 8 3 2" xfId="23505" xr:uid="{D9E68B08-3FD3-4EEC-AFF4-D47F3BE8BA98}"/>
    <cellStyle name="40% - Accent5 2 8 4" xfId="19294" xr:uid="{638DCBF0-55CD-4C1F-85FD-F0B31BC72E9E}"/>
    <cellStyle name="40% - Accent5 2 9" xfId="4588" xr:uid="{00000000-0005-0000-0000-000091060000}"/>
    <cellStyle name="40% - Accent5 2 9 2" xfId="13017" xr:uid="{B21E52A8-49BE-4834-9F70-2310F615D205}"/>
    <cellStyle name="40% - Accent5 2 9 3" xfId="25650" xr:uid="{27A05655-9A28-4A67-9634-892D196792BA}"/>
    <cellStyle name="40% - Accent5 3" xfId="86" xr:uid="{00000000-0005-0000-0000-000092060000}"/>
    <cellStyle name="40% - Accent5 3 10" xfId="17232" xr:uid="{D67930B5-CD24-4222-8992-EAA757774944}"/>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BC62FFC8-9D59-451F-A585-0865713EF1CC}"/>
    <cellStyle name="40% - Accent5 3 2 2 2 2 3" xfId="28214" xr:uid="{82AAE55A-7DC8-400B-9290-F852038C6E7C}"/>
    <cellStyle name="40% - Accent5 3 2 2 2 3" xfId="11363" xr:uid="{DFEF44E3-C772-436D-9ADF-1907EF35046D}"/>
    <cellStyle name="40% - Accent5 3 2 2 2 3 2" xfId="24003" xr:uid="{3CBE3738-85CC-4DC9-8CF8-A515A6A6E7BB}"/>
    <cellStyle name="40% - Accent5 3 2 2 2 4" xfId="19792" xr:uid="{041F6EB0-BA8B-4493-A8C3-2454706CEBC6}"/>
    <cellStyle name="40% - Accent5 3 2 2 3" xfId="5007" xr:uid="{00000000-0005-0000-0000-000097060000}"/>
    <cellStyle name="40% - Accent5 3 2 2 3 2" xfId="13436" xr:uid="{1F83D976-7C8E-4108-913A-D70B0365985E}"/>
    <cellStyle name="40% - Accent5 3 2 2 3 3" xfId="26069" xr:uid="{973DD367-B420-4CDE-B45B-79F299321C02}"/>
    <cellStyle name="40% - Accent5 3 2 2 4" xfId="9218" xr:uid="{33C581E5-2236-43B5-86AC-A387DD185646}"/>
    <cellStyle name="40% - Accent5 3 2 2 4 2" xfId="21858" xr:uid="{83FD24D4-3E0E-482F-8532-7F179AE47873}"/>
    <cellStyle name="40% - Accent5 3 2 2 5" xfId="17647" xr:uid="{E03FF1DF-8FC8-4DD5-9399-E5B10BBB5F5E}"/>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2E2575B5-E274-46FB-AD04-630FA8365AE2}"/>
    <cellStyle name="40% - Accent5 3 2 3 2 2 3" xfId="28627" xr:uid="{EB557203-BF1C-469D-BECF-FED79326D542}"/>
    <cellStyle name="40% - Accent5 3 2 3 2 3" xfId="11776" xr:uid="{9B347557-07F6-4FA0-BB32-094EF1EDACF5}"/>
    <cellStyle name="40% - Accent5 3 2 3 2 3 2" xfId="24416" xr:uid="{93C1DA76-3609-46C3-91B5-E8D97A7755AC}"/>
    <cellStyle name="40% - Accent5 3 2 3 2 4" xfId="20205" xr:uid="{A6760B35-9E4C-408D-8B38-969EE8F68F7C}"/>
    <cellStyle name="40% - Accent5 3 2 3 3" xfId="5420" xr:uid="{00000000-0005-0000-0000-00009B060000}"/>
    <cellStyle name="40% - Accent5 3 2 3 3 2" xfId="13849" xr:uid="{537241F9-C0D5-4C38-A860-661308DDA94E}"/>
    <cellStyle name="40% - Accent5 3 2 3 3 3" xfId="26482" xr:uid="{12B40447-D331-4915-B2E8-8B04FB3EC9D4}"/>
    <cellStyle name="40% - Accent5 3 2 3 4" xfId="9631" xr:uid="{D0F02E7F-9364-4920-A646-B2896474FA0C}"/>
    <cellStyle name="40% - Accent5 3 2 3 4 2" xfId="22271" xr:uid="{E5A594B3-F2F3-41CA-B457-D746DF86D42F}"/>
    <cellStyle name="40% - Accent5 3 2 3 5" xfId="18060" xr:uid="{4CF5B049-D2C3-48DD-BC44-78161E882618}"/>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DAFAC2F0-D099-41A2-989F-47E3E791E14C}"/>
    <cellStyle name="40% - Accent5 3 2 4 2 2 3" xfId="29040" xr:uid="{E1DB9919-1495-43D2-A626-39BF9E6CA220}"/>
    <cellStyle name="40% - Accent5 3 2 4 2 3" xfId="12189" xr:uid="{DDA8DC11-9BD6-40BD-938F-ECB362FB18F9}"/>
    <cellStyle name="40% - Accent5 3 2 4 2 3 2" xfId="24829" xr:uid="{A64A150A-3636-4B8C-9584-1ED670AB694E}"/>
    <cellStyle name="40% - Accent5 3 2 4 2 4" xfId="20618" xr:uid="{A4648A6C-2427-4C29-9900-0912CF5978DB}"/>
    <cellStyle name="40% - Accent5 3 2 4 3" xfId="5833" xr:uid="{00000000-0005-0000-0000-00009F060000}"/>
    <cellStyle name="40% - Accent5 3 2 4 3 2" xfId="14262" xr:uid="{F23A64D8-03EF-4D8F-9537-E28B1FF790B5}"/>
    <cellStyle name="40% - Accent5 3 2 4 3 3" xfId="26895" xr:uid="{E5529132-7C04-427D-ACEC-FA8D17C8DF9A}"/>
    <cellStyle name="40% - Accent5 3 2 4 4" xfId="10044" xr:uid="{7462B351-71BD-4905-BB61-1B3A53169FEC}"/>
    <cellStyle name="40% - Accent5 3 2 4 4 2" xfId="22684" xr:uid="{496B9603-A055-49D7-BF9D-80AE4C5682BC}"/>
    <cellStyle name="40% - Accent5 3 2 4 5" xfId="18473" xr:uid="{1B2135C1-B629-4ECE-95E2-C6CE063D03CA}"/>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234CDE60-FD92-4449-AA75-24B0158AEA18}"/>
    <cellStyle name="40% - Accent5 3 2 5 2 2 3" xfId="29453" xr:uid="{55A8E32C-6A9F-4EC1-938D-69612C8FF1C1}"/>
    <cellStyle name="40% - Accent5 3 2 5 2 3" xfId="12602" xr:uid="{7362255F-F7A3-4135-9955-99A4935700F3}"/>
    <cellStyle name="40% - Accent5 3 2 5 2 3 2" xfId="25242" xr:uid="{0E43F300-F192-4AFF-8887-54D72A75CA86}"/>
    <cellStyle name="40% - Accent5 3 2 5 2 4" xfId="21031" xr:uid="{F71E5392-9778-4D81-9188-ED574155F56C}"/>
    <cellStyle name="40% - Accent5 3 2 5 3" xfId="6246" xr:uid="{00000000-0005-0000-0000-0000A3060000}"/>
    <cellStyle name="40% - Accent5 3 2 5 3 2" xfId="14675" xr:uid="{42AA8426-FDFD-4912-AC3B-2186D3070C94}"/>
    <cellStyle name="40% - Accent5 3 2 5 3 3" xfId="27308" xr:uid="{2E8A27E4-02F1-4C39-A55E-96E415ED3657}"/>
    <cellStyle name="40% - Accent5 3 2 5 4" xfId="10457" xr:uid="{87C4A9D8-4F18-46A6-A57A-D7810586D519}"/>
    <cellStyle name="40% - Accent5 3 2 5 4 2" xfId="23097" xr:uid="{889C66A2-5FF6-46B7-8646-9377991651C4}"/>
    <cellStyle name="40% - Accent5 3 2 5 5" xfId="18886" xr:uid="{2E532FCE-06CA-45B6-A825-91C893823009}"/>
    <cellStyle name="40% - Accent5 3 2 6" xfId="2351" xr:uid="{00000000-0005-0000-0000-0000A4060000}"/>
    <cellStyle name="40% - Accent5 3 2 6 2" xfId="6659" xr:uid="{00000000-0005-0000-0000-0000A5060000}"/>
    <cellStyle name="40% - Accent5 3 2 6 2 2" xfId="15088" xr:uid="{B54FBC3A-AF40-4A3A-B545-E090FC6D6DF3}"/>
    <cellStyle name="40% - Accent5 3 2 6 2 3" xfId="27721" xr:uid="{161731C8-A174-418B-A5FC-F7E9B248752F}"/>
    <cellStyle name="40% - Accent5 3 2 6 3" xfId="10870" xr:uid="{3E39FFF0-EF57-4736-8FC6-45AAE2A6211F}"/>
    <cellStyle name="40% - Accent5 3 2 6 3 2" xfId="23510" xr:uid="{A6A1B2C5-44DB-4627-ACE4-093D85CDDC45}"/>
    <cellStyle name="40% - Accent5 3 2 6 4" xfId="19299" xr:uid="{1E29840A-FF2F-45B1-90D0-6EFB08E3EA31}"/>
    <cellStyle name="40% - Accent5 3 2 7" xfId="4593" xr:uid="{00000000-0005-0000-0000-0000A6060000}"/>
    <cellStyle name="40% - Accent5 3 2 7 2" xfId="13022" xr:uid="{804BBE43-E5A3-4C3F-A28B-8422CE7156C2}"/>
    <cellStyle name="40% - Accent5 3 2 7 3" xfId="25655" xr:uid="{132565A7-5BB2-4EB8-A25F-2630D56DD628}"/>
    <cellStyle name="40% - Accent5 3 2 8" xfId="8804" xr:uid="{C627173C-3EFB-41DC-8CE9-3BDBD8AF0725}"/>
    <cellStyle name="40% - Accent5 3 2 8 2" xfId="21444" xr:uid="{1A6BFEC8-4A07-4927-8378-34CD0487DA55}"/>
    <cellStyle name="40% - Accent5 3 2 9" xfId="17233" xr:uid="{FC6D1DA5-5763-4226-A007-FA48993F3350}"/>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77E58577-7AB4-4F33-8AAB-A70DADE6A4F0}"/>
    <cellStyle name="40% - Accent5 3 3 2 2 3" xfId="28213" xr:uid="{39BE13E8-86EE-42F1-903B-BEE9FC14639E}"/>
    <cellStyle name="40% - Accent5 3 3 2 3" xfId="11362" xr:uid="{14DB91F0-1554-4A4D-9267-16081513808B}"/>
    <cellStyle name="40% - Accent5 3 3 2 3 2" xfId="24002" xr:uid="{D05C4CDC-69A0-430F-96F9-AE314098C18D}"/>
    <cellStyle name="40% - Accent5 3 3 2 4" xfId="19791" xr:uid="{2871E59F-6E09-4B42-A659-C3394DD3C144}"/>
    <cellStyle name="40% - Accent5 3 3 3" xfId="5006" xr:uid="{00000000-0005-0000-0000-0000AA060000}"/>
    <cellStyle name="40% - Accent5 3 3 3 2" xfId="13435" xr:uid="{93823CAA-C950-4AEE-99A8-EEB926AB0477}"/>
    <cellStyle name="40% - Accent5 3 3 3 3" xfId="26068" xr:uid="{060CDA81-AF5F-4EE1-840F-4BD70022D361}"/>
    <cellStyle name="40% - Accent5 3 3 4" xfId="9217" xr:uid="{878BABD2-2DD9-40C7-B493-B1E14E410FFB}"/>
    <cellStyle name="40% - Accent5 3 3 4 2" xfId="21857" xr:uid="{45EB9E92-4370-4D7A-A6F7-080B16705837}"/>
    <cellStyle name="40% - Accent5 3 3 5" xfId="17646" xr:uid="{C6077D55-9E56-4981-BAF4-1AC82742BCAD}"/>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4F2935A3-941C-4A12-9603-9EABC4A64872}"/>
    <cellStyle name="40% - Accent5 3 4 2 2 3" xfId="28626" xr:uid="{C34C04E2-6FF1-4918-84C9-07697C3E7399}"/>
    <cellStyle name="40% - Accent5 3 4 2 3" xfId="11775" xr:uid="{5C98F6A4-624D-4F68-93C2-F56D1DDA4329}"/>
    <cellStyle name="40% - Accent5 3 4 2 3 2" xfId="24415" xr:uid="{83DE0EDC-3E28-4033-99C9-BBC30691DFA7}"/>
    <cellStyle name="40% - Accent5 3 4 2 4" xfId="20204" xr:uid="{0E62FAA8-48AC-48FA-AB40-9828181458CA}"/>
    <cellStyle name="40% - Accent5 3 4 3" xfId="5419" xr:uid="{00000000-0005-0000-0000-0000AE060000}"/>
    <cellStyle name="40% - Accent5 3 4 3 2" xfId="13848" xr:uid="{8BA2437A-615F-4B82-B4C9-89A2970914A0}"/>
    <cellStyle name="40% - Accent5 3 4 3 3" xfId="26481" xr:uid="{00EDD270-42EE-4B68-AC4F-868AA127A401}"/>
    <cellStyle name="40% - Accent5 3 4 4" xfId="9630" xr:uid="{9DE9487F-F89B-41B9-A28A-D9D933D591CF}"/>
    <cellStyle name="40% - Accent5 3 4 4 2" xfId="22270" xr:uid="{93C38FC7-5DD9-46F6-BFBC-DD636EFF9D33}"/>
    <cellStyle name="40% - Accent5 3 4 5" xfId="18059" xr:uid="{02CB7F48-0977-4B11-819C-85842B00D4D7}"/>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AF2E476B-7E7C-4C60-90A6-4B168D69E3C7}"/>
    <cellStyle name="40% - Accent5 3 5 2 2 3" xfId="29039" xr:uid="{C6C337B4-E0ED-4C45-97B0-D7D097084DB5}"/>
    <cellStyle name="40% - Accent5 3 5 2 3" xfId="12188" xr:uid="{D1327D25-1352-40D4-B626-E605E52559F1}"/>
    <cellStyle name="40% - Accent5 3 5 2 3 2" xfId="24828" xr:uid="{5DD847C0-659B-43C4-B59C-FC2D9B1FB303}"/>
    <cellStyle name="40% - Accent5 3 5 2 4" xfId="20617" xr:uid="{454978F4-5DB5-4FF5-AA39-CDAEB10D6180}"/>
    <cellStyle name="40% - Accent5 3 5 3" xfId="5832" xr:uid="{00000000-0005-0000-0000-0000B2060000}"/>
    <cellStyle name="40% - Accent5 3 5 3 2" xfId="14261" xr:uid="{5011AB0B-3B36-4482-8EFC-9BB696CC3E14}"/>
    <cellStyle name="40% - Accent5 3 5 3 3" xfId="26894" xr:uid="{F1A1C592-B868-459F-B684-75E79EC83A70}"/>
    <cellStyle name="40% - Accent5 3 5 4" xfId="10043" xr:uid="{DBFF8A2A-6590-43C2-A8AD-BE9C9C7161CA}"/>
    <cellStyle name="40% - Accent5 3 5 4 2" xfId="22683" xr:uid="{BB6CCD93-AA7D-452C-B412-2970026E2AE5}"/>
    <cellStyle name="40% - Accent5 3 5 5" xfId="18472" xr:uid="{304CC657-1012-4BE1-A711-7877A506C13A}"/>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C3695340-3FA6-42AF-89C4-E1837EBD43E2}"/>
    <cellStyle name="40% - Accent5 3 6 2 2 3" xfId="29452" xr:uid="{D9396516-0589-462D-9DBC-3C9560B3697A}"/>
    <cellStyle name="40% - Accent5 3 6 2 3" xfId="12601" xr:uid="{A9D4A5A1-18DE-4596-92A6-4FA7F9AA321E}"/>
    <cellStyle name="40% - Accent5 3 6 2 3 2" xfId="25241" xr:uid="{AAE48CC0-B581-4ED0-8E68-CEAA6CB3059E}"/>
    <cellStyle name="40% - Accent5 3 6 2 4" xfId="21030" xr:uid="{E5FFBACD-ADB5-4E44-BC63-A28CD82A154D}"/>
    <cellStyle name="40% - Accent5 3 6 3" xfId="6245" xr:uid="{00000000-0005-0000-0000-0000B6060000}"/>
    <cellStyle name="40% - Accent5 3 6 3 2" xfId="14674" xr:uid="{FD0F24C1-F343-4856-B7DF-405D15A74206}"/>
    <cellStyle name="40% - Accent5 3 6 3 3" xfId="27307" xr:uid="{ADEFDBB3-8A86-4C90-B1A8-D3442C2D45DF}"/>
    <cellStyle name="40% - Accent5 3 6 4" xfId="10456" xr:uid="{190A84FE-0643-4A88-8C0E-35E7E222430A}"/>
    <cellStyle name="40% - Accent5 3 6 4 2" xfId="23096" xr:uid="{DFB2B970-2830-406E-9413-184CFBA64210}"/>
    <cellStyle name="40% - Accent5 3 6 5" xfId="18885" xr:uid="{6A5343CB-B941-4DA1-A07D-01DB40746766}"/>
    <cellStyle name="40% - Accent5 3 7" xfId="2350" xr:uid="{00000000-0005-0000-0000-0000B7060000}"/>
    <cellStyle name="40% - Accent5 3 7 2" xfId="6658" xr:uid="{00000000-0005-0000-0000-0000B8060000}"/>
    <cellStyle name="40% - Accent5 3 7 2 2" xfId="15087" xr:uid="{4DBABEBD-F8D9-4740-A0FB-817D2919674D}"/>
    <cellStyle name="40% - Accent5 3 7 2 3" xfId="27720" xr:uid="{B21ACDCC-2FAB-421C-9387-2A7526EDF6FB}"/>
    <cellStyle name="40% - Accent5 3 7 3" xfId="10869" xr:uid="{CCC36F66-66BA-435D-81C2-01758A28F137}"/>
    <cellStyle name="40% - Accent5 3 7 3 2" xfId="23509" xr:uid="{59343237-346B-4268-8337-315E8F1A662E}"/>
    <cellStyle name="40% - Accent5 3 7 4" xfId="19298" xr:uid="{302D0FC6-E937-47DA-AB6A-BB3253678349}"/>
    <cellStyle name="40% - Accent5 3 8" xfId="4592" xr:uid="{00000000-0005-0000-0000-0000B9060000}"/>
    <cellStyle name="40% - Accent5 3 8 2" xfId="13021" xr:uid="{A38AC9AE-C26E-421E-98C2-323C22C76856}"/>
    <cellStyle name="40% - Accent5 3 8 3" xfId="25654" xr:uid="{14D3AE58-CFAA-4920-A237-0B416058E3D3}"/>
    <cellStyle name="40% - Accent5 3 9" xfId="8803" xr:uid="{E0A8AFF7-5E9C-4A44-B477-380BF6C8380F}"/>
    <cellStyle name="40% - Accent5 3 9 2" xfId="21443" xr:uid="{48B7EBD5-DFE3-4114-83E1-22E337F68B5A}"/>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78B5E7B1-619C-43D5-A1E1-9D178B03F8E2}"/>
    <cellStyle name="40% - Accent5 4 2 2 2 3" xfId="28215" xr:uid="{5B7CF425-7ACD-4EB5-94F8-CC1048620E36}"/>
    <cellStyle name="40% - Accent5 4 2 2 3" xfId="11364" xr:uid="{0D4F76F7-2D72-46C8-97AA-5541C24D6AF1}"/>
    <cellStyle name="40% - Accent5 4 2 2 3 2" xfId="24004" xr:uid="{63855E4C-82B0-4A68-B965-1803F2D91021}"/>
    <cellStyle name="40% - Accent5 4 2 2 4" xfId="19793" xr:uid="{0E776F9B-F5D1-443B-A306-0F6806FF7BAF}"/>
    <cellStyle name="40% - Accent5 4 2 3" xfId="5008" xr:uid="{00000000-0005-0000-0000-0000BE060000}"/>
    <cellStyle name="40% - Accent5 4 2 3 2" xfId="13437" xr:uid="{8975311E-0F09-42C7-9E02-BF727E5F7EE1}"/>
    <cellStyle name="40% - Accent5 4 2 3 3" xfId="26070" xr:uid="{E2F63045-1EC6-49C3-9ABE-C2B1CE65A3D6}"/>
    <cellStyle name="40% - Accent5 4 2 4" xfId="9219" xr:uid="{8E4C97BD-8030-4B1A-B35C-71E6EA3B644E}"/>
    <cellStyle name="40% - Accent5 4 2 4 2" xfId="21859" xr:uid="{8F6FB7E8-09E8-46D2-8500-3CFF87825287}"/>
    <cellStyle name="40% - Accent5 4 2 5" xfId="17648" xr:uid="{C7297A25-12FF-4DB7-A1CF-23B345DBF47E}"/>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27E17B6A-E585-45E5-B709-175D945B7889}"/>
    <cellStyle name="40% - Accent5 4 3 2 2 3" xfId="28628" xr:uid="{35156FE8-2C22-4BC2-9F16-ADD13CE819DA}"/>
    <cellStyle name="40% - Accent5 4 3 2 3" xfId="11777" xr:uid="{6FB1E66F-D883-42ED-9ECA-9F73FB22BD03}"/>
    <cellStyle name="40% - Accent5 4 3 2 3 2" xfId="24417" xr:uid="{CE611D15-A0FC-42A9-B4D0-0BB505981BFD}"/>
    <cellStyle name="40% - Accent5 4 3 2 4" xfId="20206" xr:uid="{FC1C9816-B9CC-4F51-B7A8-DBD8DE28BD80}"/>
    <cellStyle name="40% - Accent5 4 3 3" xfId="5421" xr:uid="{00000000-0005-0000-0000-0000C2060000}"/>
    <cellStyle name="40% - Accent5 4 3 3 2" xfId="13850" xr:uid="{EBF9C081-FC8C-44CD-900F-FFFC42D9948F}"/>
    <cellStyle name="40% - Accent5 4 3 3 3" xfId="26483" xr:uid="{8727EF60-253E-42D3-825C-6585E07A1E30}"/>
    <cellStyle name="40% - Accent5 4 3 4" xfId="9632" xr:uid="{076E5CE7-8CBD-4ADF-890D-D04AB1A37197}"/>
    <cellStyle name="40% - Accent5 4 3 4 2" xfId="22272" xr:uid="{66FD6A17-7620-40E8-9D8C-E0B1A7BAF3DC}"/>
    <cellStyle name="40% - Accent5 4 3 5" xfId="18061" xr:uid="{0E780116-E74C-4625-B41F-92ACE88071D2}"/>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180B05F5-82D0-410F-807C-476E7C551FEE}"/>
    <cellStyle name="40% - Accent5 4 4 2 2 3" xfId="29041" xr:uid="{71A59CB9-C1DA-4D55-A16B-993860F4B0D4}"/>
    <cellStyle name="40% - Accent5 4 4 2 3" xfId="12190" xr:uid="{BCFB1ACB-23C8-4428-8864-282A6832BB9F}"/>
    <cellStyle name="40% - Accent5 4 4 2 3 2" xfId="24830" xr:uid="{00D0AF24-8505-4F6F-A183-72A205C7CC3E}"/>
    <cellStyle name="40% - Accent5 4 4 2 4" xfId="20619" xr:uid="{FC4215C3-29D7-4087-A1A1-EB9451C9F85F}"/>
    <cellStyle name="40% - Accent5 4 4 3" xfId="5834" xr:uid="{00000000-0005-0000-0000-0000C6060000}"/>
    <cellStyle name="40% - Accent5 4 4 3 2" xfId="14263" xr:uid="{125133C5-2ADA-4AA7-829F-EA1D8BD7F596}"/>
    <cellStyle name="40% - Accent5 4 4 3 3" xfId="26896" xr:uid="{1F17D05C-9EA1-4210-862C-A6DB3DB577FC}"/>
    <cellStyle name="40% - Accent5 4 4 4" xfId="10045" xr:uid="{76F83183-B587-4FF4-B7EE-CA0D514EF3F6}"/>
    <cellStyle name="40% - Accent5 4 4 4 2" xfId="22685" xr:uid="{22E09707-4C62-40D6-9FA6-F0432D3CC412}"/>
    <cellStyle name="40% - Accent5 4 4 5" xfId="18474" xr:uid="{0395BBF1-9BAC-4FF2-806F-DE6064568792}"/>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8A1CC513-75AA-4E6E-80E9-4908581BC1E5}"/>
    <cellStyle name="40% - Accent5 4 5 2 2 3" xfId="29454" xr:uid="{C7AAA47E-439E-4FDF-AD6D-7D672B01C297}"/>
    <cellStyle name="40% - Accent5 4 5 2 3" xfId="12603" xr:uid="{BD9F6100-873C-42CF-A200-AD32198F20D3}"/>
    <cellStyle name="40% - Accent5 4 5 2 3 2" xfId="25243" xr:uid="{134BB056-F5D5-4A43-90D0-C28C9BE98449}"/>
    <cellStyle name="40% - Accent5 4 5 2 4" xfId="21032" xr:uid="{868F1593-56AD-4341-AF59-D58E7DA7DDFE}"/>
    <cellStyle name="40% - Accent5 4 5 3" xfId="6247" xr:uid="{00000000-0005-0000-0000-0000CA060000}"/>
    <cellStyle name="40% - Accent5 4 5 3 2" xfId="14676" xr:uid="{83A26D84-0C55-45D0-88D4-390F29627A62}"/>
    <cellStyle name="40% - Accent5 4 5 3 3" xfId="27309" xr:uid="{B9578B22-E4D3-46F8-A14B-D7A362992E92}"/>
    <cellStyle name="40% - Accent5 4 5 4" xfId="10458" xr:uid="{13B52EA4-1A13-4E65-B20C-66E55B92DB00}"/>
    <cellStyle name="40% - Accent5 4 5 4 2" xfId="23098" xr:uid="{01EC09C5-B2B1-4B18-A417-9640A939C86D}"/>
    <cellStyle name="40% - Accent5 4 5 5" xfId="18887" xr:uid="{3D400204-1E4B-443E-A90B-1E7E86602139}"/>
    <cellStyle name="40% - Accent5 4 6" xfId="2352" xr:uid="{00000000-0005-0000-0000-0000CB060000}"/>
    <cellStyle name="40% - Accent5 4 6 2" xfId="6660" xr:uid="{00000000-0005-0000-0000-0000CC060000}"/>
    <cellStyle name="40% - Accent5 4 6 2 2" xfId="15089" xr:uid="{DFF67983-75EB-4E10-ACDF-4BB2A0B120E7}"/>
    <cellStyle name="40% - Accent5 4 6 2 3" xfId="27722" xr:uid="{7D070658-44E0-4135-970C-AAAE39ABA403}"/>
    <cellStyle name="40% - Accent5 4 6 3" xfId="10871" xr:uid="{B9CC2E8E-F756-4F70-A34D-BB47877F6240}"/>
    <cellStyle name="40% - Accent5 4 6 3 2" xfId="23511" xr:uid="{1804135F-095C-4F19-8AFA-A563D7DD39B2}"/>
    <cellStyle name="40% - Accent5 4 6 4" xfId="19300" xr:uid="{AABBDCC5-0595-4499-8F43-7686BA9031AD}"/>
    <cellStyle name="40% - Accent5 4 7" xfId="4594" xr:uid="{00000000-0005-0000-0000-0000CD060000}"/>
    <cellStyle name="40% - Accent5 4 7 2" xfId="13023" xr:uid="{CA6CC226-F0B6-49A0-9234-60E2B0E3C2CA}"/>
    <cellStyle name="40% - Accent5 4 7 3" xfId="25656" xr:uid="{29C4E07C-BE2E-42C3-AD75-74B5F387E26E}"/>
    <cellStyle name="40% - Accent5 4 8" xfId="8805" xr:uid="{7404C06B-1C20-482A-81C2-813F795F9970}"/>
    <cellStyle name="40% - Accent5 4 8 2" xfId="21445" xr:uid="{9B75DB1F-B647-44C2-BC66-FF4A23CE7454}"/>
    <cellStyle name="40% - Accent5 4 9" xfId="17234" xr:uid="{70B8C70A-0F61-4915-92E6-769CBCA4217B}"/>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CF2358AD-F55F-40B7-BEA0-A00224ABAD47}"/>
    <cellStyle name="40% - Accent5 5 2 2 3" xfId="28208" xr:uid="{4906D7A1-C9EE-40D8-B2F6-649697E43DE4}"/>
    <cellStyle name="40% - Accent5 5 2 3" xfId="11357" xr:uid="{16DB483E-F942-47CF-962F-CFC97B02DF5B}"/>
    <cellStyle name="40% - Accent5 5 2 3 2" xfId="23997" xr:uid="{38F52CAC-C16C-409F-8346-26C53468A6E3}"/>
    <cellStyle name="40% - Accent5 5 2 4" xfId="19786" xr:uid="{EDD53EBE-A824-434F-B8B5-BEAF27285C81}"/>
    <cellStyle name="40% - Accent5 5 3" xfId="5001" xr:uid="{00000000-0005-0000-0000-0000D1060000}"/>
    <cellStyle name="40% - Accent5 5 3 2" xfId="13430" xr:uid="{8AF2CE35-B3B0-4AA8-ABF9-C100ED36AC52}"/>
    <cellStyle name="40% - Accent5 5 3 3" xfId="26063" xr:uid="{3182FF67-526A-4C76-A2E3-81DC0FFFE8AE}"/>
    <cellStyle name="40% - Accent5 5 4" xfId="9212" xr:uid="{BE252270-31B8-48D7-8B80-0C242272787B}"/>
    <cellStyle name="40% - Accent5 5 4 2" xfId="21852" xr:uid="{A5F70C2C-486A-4AEA-B20C-6610FEFBB1AF}"/>
    <cellStyle name="40% - Accent5 5 5" xfId="17641" xr:uid="{35CE9593-06FF-4FCA-AF48-A2D8474C5E16}"/>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70663AAC-20BD-4331-BE24-DC98E226211A}"/>
    <cellStyle name="40% - Accent5 6 2 2 3" xfId="28621" xr:uid="{B72552A1-8C5C-41CB-A933-B7830A0DB587}"/>
    <cellStyle name="40% - Accent5 6 2 3" xfId="11770" xr:uid="{777D8EFC-6019-4AAC-A4CD-AB538C641872}"/>
    <cellStyle name="40% - Accent5 6 2 3 2" xfId="24410" xr:uid="{605AE0A0-0A07-4636-9927-1146294A4C9A}"/>
    <cellStyle name="40% - Accent5 6 2 4" xfId="20199" xr:uid="{17ECF077-24FC-4C35-8FA1-D6F7967E345B}"/>
    <cellStyle name="40% - Accent5 6 3" xfId="5414" xr:uid="{00000000-0005-0000-0000-0000D5060000}"/>
    <cellStyle name="40% - Accent5 6 3 2" xfId="13843" xr:uid="{D9CDDCD3-41EC-4B55-9703-40355F7FF695}"/>
    <cellStyle name="40% - Accent5 6 3 3" xfId="26476" xr:uid="{45CDFE6A-5D52-44D3-B1AD-71FCB88D8CA5}"/>
    <cellStyle name="40% - Accent5 6 4" xfId="9625" xr:uid="{53CA9780-EFF6-4C95-9D33-87AA2F45E8AE}"/>
    <cellStyle name="40% - Accent5 6 4 2" xfId="22265" xr:uid="{92D86278-C64B-4995-B0A5-EBE57C78D247}"/>
    <cellStyle name="40% - Accent5 6 5" xfId="18054" xr:uid="{456C5B84-FD0F-4E54-871A-791AEE6C9D1D}"/>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60C7DAB9-7161-44CB-8631-D2BC7BDD750E}"/>
    <cellStyle name="40% - Accent5 7 2 2 3" xfId="29034" xr:uid="{45AA1DDF-3C79-4DDF-89A3-5117E6C5626F}"/>
    <cellStyle name="40% - Accent5 7 2 3" xfId="12183" xr:uid="{31CF52F8-4BCB-40F0-9076-58D004232F78}"/>
    <cellStyle name="40% - Accent5 7 2 3 2" xfId="24823" xr:uid="{E0DB6591-0797-4AF0-A965-19E4B8F8E6B1}"/>
    <cellStyle name="40% - Accent5 7 2 4" xfId="20612" xr:uid="{E00268D6-B781-43B3-9D94-AB92B993E340}"/>
    <cellStyle name="40% - Accent5 7 3" xfId="5827" xr:uid="{00000000-0005-0000-0000-0000D9060000}"/>
    <cellStyle name="40% - Accent5 7 3 2" xfId="14256" xr:uid="{693CADB5-7AA5-47BA-BF31-1A17C3C0D73A}"/>
    <cellStyle name="40% - Accent5 7 3 3" xfId="26889" xr:uid="{2FD674DB-C870-4266-8046-D28BB10FE790}"/>
    <cellStyle name="40% - Accent5 7 4" xfId="10038" xr:uid="{30AFE4B3-1969-4E13-8689-9F6751B4A198}"/>
    <cellStyle name="40% - Accent5 7 4 2" xfId="22678" xr:uid="{6F05036D-8792-4A50-83F0-A1FF27CE6437}"/>
    <cellStyle name="40% - Accent5 7 5" xfId="18467" xr:uid="{B2E42EAA-59C8-4B29-98ED-F70344997635}"/>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8E57B654-FC21-468E-9224-2B0F4E7DE9B6}"/>
    <cellStyle name="40% - Accent5 8 2 2 3" xfId="29447" xr:uid="{BE598D89-7FE5-4AAF-A45D-442FD3FC20D7}"/>
    <cellStyle name="40% - Accent5 8 2 3" xfId="12596" xr:uid="{EB70C1D7-1E13-4DF3-9C0B-DC9A4C00CA1F}"/>
    <cellStyle name="40% - Accent5 8 2 3 2" xfId="25236" xr:uid="{A9CFA5AD-ED99-43C6-BF1D-FE70091DBC6B}"/>
    <cellStyle name="40% - Accent5 8 2 4" xfId="21025" xr:uid="{8021311D-8C23-4391-989C-17FF54283847}"/>
    <cellStyle name="40% - Accent5 8 3" xfId="6240" xr:uid="{00000000-0005-0000-0000-0000DD060000}"/>
    <cellStyle name="40% - Accent5 8 3 2" xfId="14669" xr:uid="{F25219A2-FCD5-4304-883B-AF3F3F194D2A}"/>
    <cellStyle name="40% - Accent5 8 3 3" xfId="27302" xr:uid="{7806670C-8D1B-4FD9-89ED-F1C07B0ECB44}"/>
    <cellStyle name="40% - Accent5 8 4" xfId="10451" xr:uid="{7E71546C-2B80-4EEB-835D-AF8B9E9683F9}"/>
    <cellStyle name="40% - Accent5 8 4 2" xfId="23091" xr:uid="{023EBEBD-38EF-441B-8A74-FD4434563C5E}"/>
    <cellStyle name="40% - Accent5 8 5" xfId="18880" xr:uid="{89FACC63-F910-4D19-8004-D8F6D5428605}"/>
    <cellStyle name="40% - Accent5 9" xfId="2345" xr:uid="{00000000-0005-0000-0000-0000DE060000}"/>
    <cellStyle name="40% - Accent5 9 2" xfId="6653" xr:uid="{00000000-0005-0000-0000-0000DF060000}"/>
    <cellStyle name="40% - Accent5 9 2 2" xfId="15082" xr:uid="{0B3DA235-E5F1-4E94-966D-40EBB3C0FD3A}"/>
    <cellStyle name="40% - Accent5 9 2 3" xfId="27715" xr:uid="{2D86BAA3-F91F-4E61-9DC6-E3CE80AE616F}"/>
    <cellStyle name="40% - Accent5 9 3" xfId="10864" xr:uid="{DECD0F88-F981-44EE-9DC9-445397FC41E0}"/>
    <cellStyle name="40% - Accent5 9 3 2" xfId="23504" xr:uid="{64D65C00-6AA1-401C-974B-19F0082663AA}"/>
    <cellStyle name="40% - Accent5 9 4" xfId="19293" xr:uid="{724FD781-1650-4453-BE11-3E51C70601A8}"/>
    <cellStyle name="40% - Accent6" xfId="89" builtinId="51" customBuiltin="1"/>
    <cellStyle name="40% - Accent6 10" xfId="4595" xr:uid="{00000000-0005-0000-0000-0000E1060000}"/>
    <cellStyle name="40% - Accent6 10 2" xfId="13024" xr:uid="{5458578A-8869-4E0B-83B5-2E9B67DF639C}"/>
    <cellStyle name="40% - Accent6 10 3" xfId="25657" xr:uid="{87D05661-647F-440E-9CCB-80A6C88D89FD}"/>
    <cellStyle name="40% - Accent6 11" xfId="8806" xr:uid="{957D620E-DCC7-4D60-83C0-6710A204E24A}"/>
    <cellStyle name="40% - Accent6 11 2" xfId="21446" xr:uid="{08716379-9B83-471F-9D0A-92BCEFC771A6}"/>
    <cellStyle name="40% - Accent6 12" xfId="17235" xr:uid="{4D9E5A3F-42A6-457D-8F98-54FD93C07BCA}"/>
    <cellStyle name="40% - Accent6 2" xfId="90" xr:uid="{00000000-0005-0000-0000-0000E2060000}"/>
    <cellStyle name="40% - Accent6 2 10" xfId="8807" xr:uid="{4D8BCB4D-B698-43CD-8C22-1E3B6A8B7717}"/>
    <cellStyle name="40% - Accent6 2 10 2" xfId="21447" xr:uid="{36BE628D-BE4F-480C-AA5C-093C8458BD7E}"/>
    <cellStyle name="40% - Accent6 2 11" xfId="17236" xr:uid="{C40C3C6A-B49D-4E04-A6B7-7B8D83E9C691}"/>
    <cellStyle name="40% - Accent6 2 2" xfId="91" xr:uid="{00000000-0005-0000-0000-0000E3060000}"/>
    <cellStyle name="40% - Accent6 2 2 10" xfId="17237" xr:uid="{A7B9F7DE-3059-4DA4-9144-39085C4B070D}"/>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FCE6BBC0-0592-4702-A18C-304D1597C27B}"/>
    <cellStyle name="40% - Accent6 2 2 2 2 2 2 3" xfId="28219" xr:uid="{78FAB139-7329-47AC-BCC6-849AF8DB9FAE}"/>
    <cellStyle name="40% - Accent6 2 2 2 2 2 3" xfId="11368" xr:uid="{1E078DCB-51DF-4E07-B521-852F37B28CF6}"/>
    <cellStyle name="40% - Accent6 2 2 2 2 2 3 2" xfId="24008" xr:uid="{C3B3108D-D414-401F-A6CE-8E79D6E76267}"/>
    <cellStyle name="40% - Accent6 2 2 2 2 2 4" xfId="19797" xr:uid="{6536BD6E-3479-4F96-886A-9FDCEE1C30C2}"/>
    <cellStyle name="40% - Accent6 2 2 2 2 3" xfId="5012" xr:uid="{00000000-0005-0000-0000-0000E8060000}"/>
    <cellStyle name="40% - Accent6 2 2 2 2 3 2" xfId="13441" xr:uid="{3910ADB4-53B6-40C2-A448-6EC304EC7911}"/>
    <cellStyle name="40% - Accent6 2 2 2 2 3 3" xfId="26074" xr:uid="{C2DFB182-0013-4B5A-8114-C17889FA51F9}"/>
    <cellStyle name="40% - Accent6 2 2 2 2 4" xfId="9223" xr:uid="{B2C74BFD-99BB-4C3C-846C-3C5EA425F0A3}"/>
    <cellStyle name="40% - Accent6 2 2 2 2 4 2" xfId="21863" xr:uid="{E6ACE859-F0DB-4763-BEAA-887A3DBC9E9A}"/>
    <cellStyle name="40% - Accent6 2 2 2 2 5" xfId="17652" xr:uid="{789E0FBD-C9B3-4E3A-A08E-B391EF25C732}"/>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D70A1DDE-2FC2-48E5-B6C1-C65B7E09DB62}"/>
    <cellStyle name="40% - Accent6 2 2 2 3 2 2 3" xfId="28632" xr:uid="{AA92D555-4E4D-4C6E-971C-8CA51C4E9DE3}"/>
    <cellStyle name="40% - Accent6 2 2 2 3 2 3" xfId="11781" xr:uid="{8ADE5E7C-53E6-4BBF-9DAE-EF4B081F2370}"/>
    <cellStyle name="40% - Accent6 2 2 2 3 2 3 2" xfId="24421" xr:uid="{2EC20EA9-FA24-44C8-A3A4-E1B400BBA98C}"/>
    <cellStyle name="40% - Accent6 2 2 2 3 2 4" xfId="20210" xr:uid="{4A1C6F63-3853-4BB7-B46F-EC3C6C5760D4}"/>
    <cellStyle name="40% - Accent6 2 2 2 3 3" xfId="5425" xr:uid="{00000000-0005-0000-0000-0000EC060000}"/>
    <cellStyle name="40% - Accent6 2 2 2 3 3 2" xfId="13854" xr:uid="{85A2A7DA-C5A5-482C-ABFC-460F53492E78}"/>
    <cellStyle name="40% - Accent6 2 2 2 3 3 3" xfId="26487" xr:uid="{8DB972A4-46C1-4AEC-9F96-E4609EF641A0}"/>
    <cellStyle name="40% - Accent6 2 2 2 3 4" xfId="9636" xr:uid="{042F3BFE-9926-4DD4-B69D-27FB5F3B9A7F}"/>
    <cellStyle name="40% - Accent6 2 2 2 3 4 2" xfId="22276" xr:uid="{B02DBBDF-0183-488F-B86F-1D72E65DC5C2}"/>
    <cellStyle name="40% - Accent6 2 2 2 3 5" xfId="18065" xr:uid="{1D18C56F-9227-44D0-8ADA-93914F96582E}"/>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9B9BCF5C-3777-4A11-BB34-5D3BC49CE7EC}"/>
    <cellStyle name="40% - Accent6 2 2 2 4 2 2 3" xfId="29045" xr:uid="{F41C1130-170A-4717-ADF4-CCDF1C804462}"/>
    <cellStyle name="40% - Accent6 2 2 2 4 2 3" xfId="12194" xr:uid="{31928E9F-0930-41C3-87DD-EF688A3D90D1}"/>
    <cellStyle name="40% - Accent6 2 2 2 4 2 3 2" xfId="24834" xr:uid="{F70B15C5-B7DC-4DC7-BABB-7D3857BFFAF0}"/>
    <cellStyle name="40% - Accent6 2 2 2 4 2 4" xfId="20623" xr:uid="{F9657F53-D288-486B-AD9F-EB30BCF07C5C}"/>
    <cellStyle name="40% - Accent6 2 2 2 4 3" xfId="5838" xr:uid="{00000000-0005-0000-0000-0000F0060000}"/>
    <cellStyle name="40% - Accent6 2 2 2 4 3 2" xfId="14267" xr:uid="{03A1F823-2045-496E-A8D4-109FFBEBB6F4}"/>
    <cellStyle name="40% - Accent6 2 2 2 4 3 3" xfId="26900" xr:uid="{3C4D2B37-97B2-4412-B8B1-D23038EA8757}"/>
    <cellStyle name="40% - Accent6 2 2 2 4 4" xfId="10049" xr:uid="{87170ABA-342C-491E-A1FE-A41F77206144}"/>
    <cellStyle name="40% - Accent6 2 2 2 4 4 2" xfId="22689" xr:uid="{466317D1-F27D-4FFE-AE3C-0EF703C7DB4E}"/>
    <cellStyle name="40% - Accent6 2 2 2 4 5" xfId="18478" xr:uid="{DCEB8A45-0796-4565-822D-1E0E7137A5F8}"/>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FD39F351-2451-44E7-A7C9-EECE1E6B0FCF}"/>
    <cellStyle name="40% - Accent6 2 2 2 5 2 2 3" xfId="29458" xr:uid="{50AE996C-7609-4C18-A0F0-69581FFA3C33}"/>
    <cellStyle name="40% - Accent6 2 2 2 5 2 3" xfId="12607" xr:uid="{8D4F9AF5-8A68-48C4-8EF5-BFB6806955BE}"/>
    <cellStyle name="40% - Accent6 2 2 2 5 2 3 2" xfId="25247" xr:uid="{B0936572-A1BE-4F58-9D8D-EC6F1ACD041E}"/>
    <cellStyle name="40% - Accent6 2 2 2 5 2 4" xfId="21036" xr:uid="{367F1E35-3033-4E06-A6E5-E96C6041700E}"/>
    <cellStyle name="40% - Accent6 2 2 2 5 3" xfId="6251" xr:uid="{00000000-0005-0000-0000-0000F4060000}"/>
    <cellStyle name="40% - Accent6 2 2 2 5 3 2" xfId="14680" xr:uid="{757965E1-5523-4281-9E14-514C57707ED9}"/>
    <cellStyle name="40% - Accent6 2 2 2 5 3 3" xfId="27313" xr:uid="{12958303-44B8-429D-87E6-D404219DD275}"/>
    <cellStyle name="40% - Accent6 2 2 2 5 4" xfId="10462" xr:uid="{0FBA0BDD-F90D-4AF3-8FCA-F291DD31F990}"/>
    <cellStyle name="40% - Accent6 2 2 2 5 4 2" xfId="23102" xr:uid="{28192871-A4B3-48FD-BA11-2BBF049B91DA}"/>
    <cellStyle name="40% - Accent6 2 2 2 5 5" xfId="18891" xr:uid="{09C5EDA4-E1BD-4492-B72E-3835125EEFD6}"/>
    <cellStyle name="40% - Accent6 2 2 2 6" xfId="2356" xr:uid="{00000000-0005-0000-0000-0000F5060000}"/>
    <cellStyle name="40% - Accent6 2 2 2 6 2" xfId="6664" xr:uid="{00000000-0005-0000-0000-0000F6060000}"/>
    <cellStyle name="40% - Accent6 2 2 2 6 2 2" xfId="15093" xr:uid="{96BE468A-FE4F-4C80-B0C4-206F495EFAA9}"/>
    <cellStyle name="40% - Accent6 2 2 2 6 2 3" xfId="27726" xr:uid="{C3AD134D-B4E5-4C44-AC08-84CE6F645B20}"/>
    <cellStyle name="40% - Accent6 2 2 2 6 3" xfId="10875" xr:uid="{8E773682-4AE2-4FCD-9BC1-A4FF9A534C4E}"/>
    <cellStyle name="40% - Accent6 2 2 2 6 3 2" xfId="23515" xr:uid="{A46121AB-7A1E-45A2-BAF3-50BCAB2CFAD9}"/>
    <cellStyle name="40% - Accent6 2 2 2 6 4" xfId="19304" xr:uid="{F5AC304E-09A8-486C-BFF9-75589754FD36}"/>
    <cellStyle name="40% - Accent6 2 2 2 7" xfId="4598" xr:uid="{00000000-0005-0000-0000-0000F7060000}"/>
    <cellStyle name="40% - Accent6 2 2 2 7 2" xfId="13027" xr:uid="{5636BC95-B078-4B26-8275-90856D050D55}"/>
    <cellStyle name="40% - Accent6 2 2 2 7 3" xfId="25660" xr:uid="{1A3DAD66-2722-4E96-914A-F9927D93D703}"/>
    <cellStyle name="40% - Accent6 2 2 2 8" xfId="8809" xr:uid="{4701DE7E-7CCB-43DC-8B6C-B75F29765424}"/>
    <cellStyle name="40% - Accent6 2 2 2 8 2" xfId="21449" xr:uid="{AC9ABDAF-FA7C-4CBF-96BA-A8AE4148CB0C}"/>
    <cellStyle name="40% - Accent6 2 2 2 9" xfId="17238" xr:uid="{2D0FE5DC-B8FC-4E95-9CE1-3B86807CB4A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CEF8BF2C-1CEC-4077-B8BF-4B7796311081}"/>
    <cellStyle name="40% - Accent6 2 2 3 2 2 3" xfId="28218" xr:uid="{B69F19A6-936A-48EF-B745-754C94CDFE89}"/>
    <cellStyle name="40% - Accent6 2 2 3 2 3" xfId="11367" xr:uid="{49A857A8-628A-442A-9F1A-925DF3FC8FFA}"/>
    <cellStyle name="40% - Accent6 2 2 3 2 3 2" xfId="24007" xr:uid="{AD1C571F-B858-4A6B-9AF9-08AA6F7E5C67}"/>
    <cellStyle name="40% - Accent6 2 2 3 2 4" xfId="19796" xr:uid="{364543FE-FED7-4143-9FD7-2768A7B19093}"/>
    <cellStyle name="40% - Accent6 2 2 3 3" xfId="5011" xr:uid="{00000000-0005-0000-0000-0000FB060000}"/>
    <cellStyle name="40% - Accent6 2 2 3 3 2" xfId="13440" xr:uid="{4785F694-7647-42D3-93B7-FE0EA317BB72}"/>
    <cellStyle name="40% - Accent6 2 2 3 3 3" xfId="26073" xr:uid="{0437FEA7-C7DA-4A9C-891C-EA941EF54799}"/>
    <cellStyle name="40% - Accent6 2 2 3 4" xfId="9222" xr:uid="{FD87E57B-C6B0-4600-A3B6-37241CB9A4F5}"/>
    <cellStyle name="40% - Accent6 2 2 3 4 2" xfId="21862" xr:uid="{4C6E42F1-C300-4BD6-8ED9-A57F13488692}"/>
    <cellStyle name="40% - Accent6 2 2 3 5" xfId="17651" xr:uid="{01F2AF60-0022-47FA-8144-0197C2923957}"/>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CC9C0334-6448-440A-A64F-F13245ABAC2D}"/>
    <cellStyle name="40% - Accent6 2 2 4 2 2 3" xfId="28631" xr:uid="{5DA6C77A-1D18-46D8-889B-68F251BADA34}"/>
    <cellStyle name="40% - Accent6 2 2 4 2 3" xfId="11780" xr:uid="{57E1920E-F646-415C-B1F8-157AF535D2D8}"/>
    <cellStyle name="40% - Accent6 2 2 4 2 3 2" xfId="24420" xr:uid="{F7DFE17E-6AC5-4AA3-89DD-2298A4E5CF1D}"/>
    <cellStyle name="40% - Accent6 2 2 4 2 4" xfId="20209" xr:uid="{0B2BDB76-8461-493F-B207-A48F86A10011}"/>
    <cellStyle name="40% - Accent6 2 2 4 3" xfId="5424" xr:uid="{00000000-0005-0000-0000-0000FF060000}"/>
    <cellStyle name="40% - Accent6 2 2 4 3 2" xfId="13853" xr:uid="{0E62C3BB-268A-4DEF-AD95-77C6CEE7B9BA}"/>
    <cellStyle name="40% - Accent6 2 2 4 3 3" xfId="26486" xr:uid="{2B82752A-F6B4-41B9-82C7-738515B03A78}"/>
    <cellStyle name="40% - Accent6 2 2 4 4" xfId="9635" xr:uid="{1E800AC8-CA16-4F15-89D6-4DCE419E81E9}"/>
    <cellStyle name="40% - Accent6 2 2 4 4 2" xfId="22275" xr:uid="{F6C93500-50F6-44AB-82CE-3CC7F2B33A0B}"/>
    <cellStyle name="40% - Accent6 2 2 4 5" xfId="18064" xr:uid="{2FDC392C-3FD8-48C7-A7A9-BB4A8EAEBFDD}"/>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EC242C1E-2223-455E-B3B0-6DC12F9396AC}"/>
    <cellStyle name="40% - Accent6 2 2 5 2 2 3" xfId="29044" xr:uid="{796929EF-0B7E-4529-BAC3-58CBE92ACEC0}"/>
    <cellStyle name="40% - Accent6 2 2 5 2 3" xfId="12193" xr:uid="{27400148-2B45-43E5-B4D6-AE00DFB17BB2}"/>
    <cellStyle name="40% - Accent6 2 2 5 2 3 2" xfId="24833" xr:uid="{D5A2DA45-515C-4791-9BFF-FDF7B201DEA6}"/>
    <cellStyle name="40% - Accent6 2 2 5 2 4" xfId="20622" xr:uid="{5FD904E2-A100-48D9-B77E-1C2FAF466A13}"/>
    <cellStyle name="40% - Accent6 2 2 5 3" xfId="5837" xr:uid="{00000000-0005-0000-0000-000003070000}"/>
    <cellStyle name="40% - Accent6 2 2 5 3 2" xfId="14266" xr:uid="{3B7DFF09-7F59-4E34-A590-A1B6A6547B4C}"/>
    <cellStyle name="40% - Accent6 2 2 5 3 3" xfId="26899" xr:uid="{2D50D06F-564E-4AFA-A51B-F8B37BE02BFB}"/>
    <cellStyle name="40% - Accent6 2 2 5 4" xfId="10048" xr:uid="{11C92484-C700-4144-9EE4-99D25B5D079E}"/>
    <cellStyle name="40% - Accent6 2 2 5 4 2" xfId="22688" xr:uid="{254E50D8-C982-4FF1-9572-2AEE5F32A0BD}"/>
    <cellStyle name="40% - Accent6 2 2 5 5" xfId="18477" xr:uid="{A78D8AF5-4269-4C58-88BE-9BD752514878}"/>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69A8793B-C028-40BF-A2BF-EA2455392E4E}"/>
    <cellStyle name="40% - Accent6 2 2 6 2 2 3" xfId="29457" xr:uid="{009B99E6-988A-4FE0-836A-23C797CEAE50}"/>
    <cellStyle name="40% - Accent6 2 2 6 2 3" xfId="12606" xr:uid="{0B9DC8A0-DF02-4360-826A-4A77770F7290}"/>
    <cellStyle name="40% - Accent6 2 2 6 2 3 2" xfId="25246" xr:uid="{0C28C534-EC70-41F7-AAEB-50599F96FF87}"/>
    <cellStyle name="40% - Accent6 2 2 6 2 4" xfId="21035" xr:uid="{CFAD30FF-15B5-403D-9876-B7A9A4ED507E}"/>
    <cellStyle name="40% - Accent6 2 2 6 3" xfId="6250" xr:uid="{00000000-0005-0000-0000-000007070000}"/>
    <cellStyle name="40% - Accent6 2 2 6 3 2" xfId="14679" xr:uid="{F76A5D29-7B8D-4F74-81A4-62655AF2EF44}"/>
    <cellStyle name="40% - Accent6 2 2 6 3 3" xfId="27312" xr:uid="{28A88E97-7EE9-400B-963F-8B2D56EA5285}"/>
    <cellStyle name="40% - Accent6 2 2 6 4" xfId="10461" xr:uid="{3B9402F7-201A-4B12-8D4C-C3A9AA83A834}"/>
    <cellStyle name="40% - Accent6 2 2 6 4 2" xfId="23101" xr:uid="{A74B62F7-C710-4E47-B586-ED0B59F5006E}"/>
    <cellStyle name="40% - Accent6 2 2 6 5" xfId="18890" xr:uid="{7AA5814D-0C25-4A4F-B83E-B528A3D0224E}"/>
    <cellStyle name="40% - Accent6 2 2 7" xfId="2355" xr:uid="{00000000-0005-0000-0000-000008070000}"/>
    <cellStyle name="40% - Accent6 2 2 7 2" xfId="6663" xr:uid="{00000000-0005-0000-0000-000009070000}"/>
    <cellStyle name="40% - Accent6 2 2 7 2 2" xfId="15092" xr:uid="{A6B37327-0304-4CAD-B82D-6E47E8870441}"/>
    <cellStyle name="40% - Accent6 2 2 7 2 3" xfId="27725" xr:uid="{D66F3152-9E51-4813-9849-655E1AC4055E}"/>
    <cellStyle name="40% - Accent6 2 2 7 3" xfId="10874" xr:uid="{E74822B6-94A4-429E-9087-7A27394612B0}"/>
    <cellStyle name="40% - Accent6 2 2 7 3 2" xfId="23514" xr:uid="{900AE24B-0C0C-4189-ABFA-901223CEB818}"/>
    <cellStyle name="40% - Accent6 2 2 7 4" xfId="19303" xr:uid="{956A52EE-F0AD-4B8B-9AA0-0296EAE2835A}"/>
    <cellStyle name="40% - Accent6 2 2 8" xfId="4597" xr:uid="{00000000-0005-0000-0000-00000A070000}"/>
    <cellStyle name="40% - Accent6 2 2 8 2" xfId="13026" xr:uid="{8438424E-19DD-4F69-AE03-CFE56801FE49}"/>
    <cellStyle name="40% - Accent6 2 2 8 3" xfId="25659" xr:uid="{C5B60CF2-D343-41C1-B1C0-A752127C1017}"/>
    <cellStyle name="40% - Accent6 2 2 9" xfId="8808" xr:uid="{A38AA495-4560-4D94-9C48-9511C50E37A8}"/>
    <cellStyle name="40% - Accent6 2 2 9 2" xfId="21448" xr:uid="{C0B81A28-877D-4E9C-99E6-0472F1230686}"/>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92E9170F-F77B-4A53-AF7D-0D14365DBAB4}"/>
    <cellStyle name="40% - Accent6 2 3 2 2 2 3" xfId="28220" xr:uid="{E17671E1-33FF-444C-BE65-696A2012D9E9}"/>
    <cellStyle name="40% - Accent6 2 3 2 2 3" xfId="11369" xr:uid="{8F71F0AA-A2F8-4B1F-A5B0-7D1458D2668B}"/>
    <cellStyle name="40% - Accent6 2 3 2 2 3 2" xfId="24009" xr:uid="{016099BE-2ECA-426C-A6B9-290E7EDCFA0E}"/>
    <cellStyle name="40% - Accent6 2 3 2 2 4" xfId="19798" xr:uid="{D57DB0D1-20A4-43CE-AED0-492B00AFCE3C}"/>
    <cellStyle name="40% - Accent6 2 3 2 3" xfId="5013" xr:uid="{00000000-0005-0000-0000-00000F070000}"/>
    <cellStyle name="40% - Accent6 2 3 2 3 2" xfId="13442" xr:uid="{03B7BB84-4E94-4DF6-86A3-82A62D694EB0}"/>
    <cellStyle name="40% - Accent6 2 3 2 3 3" xfId="26075" xr:uid="{4D760DFC-6360-4D08-B22D-5754D5EFB6FB}"/>
    <cellStyle name="40% - Accent6 2 3 2 4" xfId="9224" xr:uid="{52052DB1-395D-4206-8009-9ED060F9B795}"/>
    <cellStyle name="40% - Accent6 2 3 2 4 2" xfId="21864" xr:uid="{91CC4E76-6B8A-4D04-BD57-F00D3C3676F1}"/>
    <cellStyle name="40% - Accent6 2 3 2 5" xfId="17653" xr:uid="{035C28CB-9AED-4984-A08D-49A0F6CF2681}"/>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52BC8809-9ACE-463C-AF20-AF7C71788E98}"/>
    <cellStyle name="40% - Accent6 2 3 3 2 2 3" xfId="28633" xr:uid="{CB4BB8B9-8C04-4B17-8B5C-5758228CC3F0}"/>
    <cellStyle name="40% - Accent6 2 3 3 2 3" xfId="11782" xr:uid="{07F35CC4-2B6F-49C4-83A4-D508FCE14335}"/>
    <cellStyle name="40% - Accent6 2 3 3 2 3 2" xfId="24422" xr:uid="{3C5E596F-39A8-4661-A321-7B1644627119}"/>
    <cellStyle name="40% - Accent6 2 3 3 2 4" xfId="20211" xr:uid="{EAD9FCA1-306C-4D58-B60A-A1FFE764FD74}"/>
    <cellStyle name="40% - Accent6 2 3 3 3" xfId="5426" xr:uid="{00000000-0005-0000-0000-000013070000}"/>
    <cellStyle name="40% - Accent6 2 3 3 3 2" xfId="13855" xr:uid="{04D028ED-FDEA-443E-9DB3-9C7C717F016C}"/>
    <cellStyle name="40% - Accent6 2 3 3 3 3" xfId="26488" xr:uid="{EE43A6A5-2C98-450B-8CF5-6F0698495BF6}"/>
    <cellStyle name="40% - Accent6 2 3 3 4" xfId="9637" xr:uid="{284F77E4-4E42-4606-B0C8-92C6F29D8D31}"/>
    <cellStyle name="40% - Accent6 2 3 3 4 2" xfId="22277" xr:uid="{B26D62FA-DC21-4C07-8CE6-145AAACBA0D6}"/>
    <cellStyle name="40% - Accent6 2 3 3 5" xfId="18066" xr:uid="{8FD8FA6B-BFC4-4CCC-A156-7C72BC9A7BA8}"/>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DBEC3501-4976-49B6-A7F2-4EA3C385828A}"/>
    <cellStyle name="40% - Accent6 2 3 4 2 2 3" xfId="29046" xr:uid="{E63B092B-8E30-4FEE-B19B-E5F129B93AF7}"/>
    <cellStyle name="40% - Accent6 2 3 4 2 3" xfId="12195" xr:uid="{92ACD010-6EFB-4CEF-AC4E-0DF7FB7EEFC1}"/>
    <cellStyle name="40% - Accent6 2 3 4 2 3 2" xfId="24835" xr:uid="{D9F1529D-C098-45E0-97D7-B09F32F0A363}"/>
    <cellStyle name="40% - Accent6 2 3 4 2 4" xfId="20624" xr:uid="{B7866873-EAEA-4C5F-BC8A-30012BB743AA}"/>
    <cellStyle name="40% - Accent6 2 3 4 3" xfId="5839" xr:uid="{00000000-0005-0000-0000-000017070000}"/>
    <cellStyle name="40% - Accent6 2 3 4 3 2" xfId="14268" xr:uid="{A0E15A64-8279-4949-860A-D2B339F9042C}"/>
    <cellStyle name="40% - Accent6 2 3 4 3 3" xfId="26901" xr:uid="{86541AC8-EC06-4D57-B24E-65605B6BEC0C}"/>
    <cellStyle name="40% - Accent6 2 3 4 4" xfId="10050" xr:uid="{DADBC762-E5C9-4279-8BA1-6A02C2712B66}"/>
    <cellStyle name="40% - Accent6 2 3 4 4 2" xfId="22690" xr:uid="{AEFE5E5A-3CF2-4356-BFB6-82AF7090A07D}"/>
    <cellStyle name="40% - Accent6 2 3 4 5" xfId="18479" xr:uid="{67858B4C-2DD9-43FB-B38B-95BB1975FEC6}"/>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C125D1B6-161B-4493-9C9A-F52D8154FB93}"/>
    <cellStyle name="40% - Accent6 2 3 5 2 2 3" xfId="29459" xr:uid="{9EDD938E-AF17-4087-95BF-9FF4D7C7C3B6}"/>
    <cellStyle name="40% - Accent6 2 3 5 2 3" xfId="12608" xr:uid="{55122B4F-01F2-4D80-AC68-295936EE80B4}"/>
    <cellStyle name="40% - Accent6 2 3 5 2 3 2" xfId="25248" xr:uid="{30766713-67DA-4899-AE1B-A03A82183105}"/>
    <cellStyle name="40% - Accent6 2 3 5 2 4" xfId="21037" xr:uid="{C46DF9AE-EFCD-487C-918F-3F5F1BB015FB}"/>
    <cellStyle name="40% - Accent6 2 3 5 3" xfId="6252" xr:uid="{00000000-0005-0000-0000-00001B070000}"/>
    <cellStyle name="40% - Accent6 2 3 5 3 2" xfId="14681" xr:uid="{3491C988-FA41-46C0-A4FC-0E07B5B4D7AE}"/>
    <cellStyle name="40% - Accent6 2 3 5 3 3" xfId="27314" xr:uid="{7C582E33-EDEF-4426-A9C4-2BFC9A7BD5B3}"/>
    <cellStyle name="40% - Accent6 2 3 5 4" xfId="10463" xr:uid="{FF713B57-74C6-4879-A6CA-D9F1FB43632B}"/>
    <cellStyle name="40% - Accent6 2 3 5 4 2" xfId="23103" xr:uid="{C0D316AC-5677-4574-B4A1-C617A1581799}"/>
    <cellStyle name="40% - Accent6 2 3 5 5" xfId="18892" xr:uid="{06414981-88E0-4FE2-A337-13047433471B}"/>
    <cellStyle name="40% - Accent6 2 3 6" xfId="2357" xr:uid="{00000000-0005-0000-0000-00001C070000}"/>
    <cellStyle name="40% - Accent6 2 3 6 2" xfId="6665" xr:uid="{00000000-0005-0000-0000-00001D070000}"/>
    <cellStyle name="40% - Accent6 2 3 6 2 2" xfId="15094" xr:uid="{8B81F460-928E-4B0E-8348-429730FDE69F}"/>
    <cellStyle name="40% - Accent6 2 3 6 2 3" xfId="27727" xr:uid="{F533CA21-87C6-4A70-80B9-31B48A189F97}"/>
    <cellStyle name="40% - Accent6 2 3 6 3" xfId="10876" xr:uid="{3EB63EBD-9C98-42C4-9BEA-C00E665F0D91}"/>
    <cellStyle name="40% - Accent6 2 3 6 3 2" xfId="23516" xr:uid="{224F7BCB-7D37-4ECD-BA6A-EF19AA10A213}"/>
    <cellStyle name="40% - Accent6 2 3 6 4" xfId="19305" xr:uid="{A04A7DC3-B387-4D99-8BD5-B82D35197160}"/>
    <cellStyle name="40% - Accent6 2 3 7" xfId="4599" xr:uid="{00000000-0005-0000-0000-00001E070000}"/>
    <cellStyle name="40% - Accent6 2 3 7 2" xfId="13028" xr:uid="{3A384203-81B3-45C0-B4E6-FCFC6B354147}"/>
    <cellStyle name="40% - Accent6 2 3 7 3" xfId="25661" xr:uid="{FA0E444D-036D-4AC6-A5FF-131CC64AF10A}"/>
    <cellStyle name="40% - Accent6 2 3 8" xfId="8810" xr:uid="{7C3D3B03-E776-4E93-ACF0-FE6DBC8C8574}"/>
    <cellStyle name="40% - Accent6 2 3 8 2" xfId="21450" xr:uid="{D298A84F-CC9E-47BF-B135-31DFEE5E149A}"/>
    <cellStyle name="40% - Accent6 2 3 9" xfId="17239" xr:uid="{BA98176D-B670-4BEA-A113-72169CBA327A}"/>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C43573E5-CB54-462B-B92E-EBDEDEAC9317}"/>
    <cellStyle name="40% - Accent6 2 4 2 2 3" xfId="28217" xr:uid="{4C4A8AD7-2428-4139-908A-C611BC0F7905}"/>
    <cellStyle name="40% - Accent6 2 4 2 3" xfId="11366" xr:uid="{0C0DEA33-684A-47AB-8456-53E8088AF0DF}"/>
    <cellStyle name="40% - Accent6 2 4 2 3 2" xfId="24006" xr:uid="{4F6BBA7C-A93D-4552-B702-71B0DCDAE0E9}"/>
    <cellStyle name="40% - Accent6 2 4 2 4" xfId="19795" xr:uid="{C0FAF5EA-F440-46D7-AD8F-07C9C1722BBB}"/>
    <cellStyle name="40% - Accent6 2 4 3" xfId="5010" xr:uid="{00000000-0005-0000-0000-000022070000}"/>
    <cellStyle name="40% - Accent6 2 4 3 2" xfId="13439" xr:uid="{B68B4494-5005-474B-9514-F8AAED81D884}"/>
    <cellStyle name="40% - Accent6 2 4 3 3" xfId="26072" xr:uid="{00311280-60BD-4C6E-8FDC-D57865BAF121}"/>
    <cellStyle name="40% - Accent6 2 4 4" xfId="9221" xr:uid="{AA9E3818-AFA6-4F41-9A89-7AFFD50C029D}"/>
    <cellStyle name="40% - Accent6 2 4 4 2" xfId="21861" xr:uid="{ABD5F7E2-272A-47D2-A2D5-9662701F6868}"/>
    <cellStyle name="40% - Accent6 2 4 5" xfId="17650" xr:uid="{5D4D5648-3CF9-4B7C-BF3B-BFFD7DBAB9E0}"/>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774F5FAE-A2B9-4430-A45A-3EB5C10EE969}"/>
    <cellStyle name="40% - Accent6 2 5 2 2 3" xfId="28630" xr:uid="{DAD02E8E-C5AA-46AB-A3B6-A5CA030944A3}"/>
    <cellStyle name="40% - Accent6 2 5 2 3" xfId="11779" xr:uid="{1CB785EA-4A36-4F38-872E-8407A7C970BC}"/>
    <cellStyle name="40% - Accent6 2 5 2 3 2" xfId="24419" xr:uid="{22D4D396-D632-4631-AA0A-A29822D17895}"/>
    <cellStyle name="40% - Accent6 2 5 2 4" xfId="20208" xr:uid="{44E73F98-5EB9-4128-89CA-421953BF71CA}"/>
    <cellStyle name="40% - Accent6 2 5 3" xfId="5423" xr:uid="{00000000-0005-0000-0000-000026070000}"/>
    <cellStyle name="40% - Accent6 2 5 3 2" xfId="13852" xr:uid="{BD28E0AE-E8A3-418A-9F34-15221CB8639E}"/>
    <cellStyle name="40% - Accent6 2 5 3 3" xfId="26485" xr:uid="{9BD08635-6905-4EA4-BDFF-D196A3AD32C8}"/>
    <cellStyle name="40% - Accent6 2 5 4" xfId="9634" xr:uid="{E4DF6ADC-0AE2-4821-8420-6016FDD6FC26}"/>
    <cellStyle name="40% - Accent6 2 5 4 2" xfId="22274" xr:uid="{E094DAAF-52F8-4658-9623-A908F7557EE7}"/>
    <cellStyle name="40% - Accent6 2 5 5" xfId="18063" xr:uid="{E10D1E40-1072-478B-A9BC-73F979F8685D}"/>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BE473864-6853-41ED-BCA4-2CAA0E0C1DC8}"/>
    <cellStyle name="40% - Accent6 2 6 2 2 3" xfId="29043" xr:uid="{83E5ABAA-72B3-4162-AC01-81ACC3BF384B}"/>
    <cellStyle name="40% - Accent6 2 6 2 3" xfId="12192" xr:uid="{EB3E274E-5DA8-468C-AE47-250376A3067F}"/>
    <cellStyle name="40% - Accent6 2 6 2 3 2" xfId="24832" xr:uid="{7849E8BA-4402-48AD-B57C-EC7BDC6D54E9}"/>
    <cellStyle name="40% - Accent6 2 6 2 4" xfId="20621" xr:uid="{B4725DC7-1D5F-4CC7-97BE-73A38EA5B671}"/>
    <cellStyle name="40% - Accent6 2 6 3" xfId="5836" xr:uid="{00000000-0005-0000-0000-00002A070000}"/>
    <cellStyle name="40% - Accent6 2 6 3 2" xfId="14265" xr:uid="{95823916-2F5F-46E0-B6B0-D983E6109760}"/>
    <cellStyle name="40% - Accent6 2 6 3 3" xfId="26898" xr:uid="{02BD453A-79EB-4EB0-A865-1B0D0732202C}"/>
    <cellStyle name="40% - Accent6 2 6 4" xfId="10047" xr:uid="{FF9062C8-1855-4D9E-B93F-CEDDDE133C34}"/>
    <cellStyle name="40% - Accent6 2 6 4 2" xfId="22687" xr:uid="{CC21DB15-5F55-49E1-B1DF-D0C2AAB5A33E}"/>
    <cellStyle name="40% - Accent6 2 6 5" xfId="18476" xr:uid="{D76A82C7-855F-41AF-A37D-CECCA6EA3990}"/>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C06176C4-252E-42D1-AD15-B7D1CC2209A0}"/>
    <cellStyle name="40% - Accent6 2 7 2 2 3" xfId="29456" xr:uid="{589AC4C8-4F06-4A35-A91A-7604F95626EE}"/>
    <cellStyle name="40% - Accent6 2 7 2 3" xfId="12605" xr:uid="{A6443748-2003-426C-A233-B3B84A9990F0}"/>
    <cellStyle name="40% - Accent6 2 7 2 3 2" xfId="25245" xr:uid="{1A9B8662-727B-4E9E-904B-3D7EDDA2503C}"/>
    <cellStyle name="40% - Accent6 2 7 2 4" xfId="21034" xr:uid="{77A86727-953B-42D7-93BE-1B137FE7EFD0}"/>
    <cellStyle name="40% - Accent6 2 7 3" xfId="6249" xr:uid="{00000000-0005-0000-0000-00002E070000}"/>
    <cellStyle name="40% - Accent6 2 7 3 2" xfId="14678" xr:uid="{84ED1BD2-7FB8-48E7-8C91-B726A77C53DC}"/>
    <cellStyle name="40% - Accent6 2 7 3 3" xfId="27311" xr:uid="{2EED76C5-BAE9-425C-8CAE-176CCCE8D027}"/>
    <cellStyle name="40% - Accent6 2 7 4" xfId="10460" xr:uid="{504532AB-5E59-4624-B72E-2E67682F911F}"/>
    <cellStyle name="40% - Accent6 2 7 4 2" xfId="23100" xr:uid="{A33B96BE-8F80-4670-AC80-7820637EA96F}"/>
    <cellStyle name="40% - Accent6 2 7 5" xfId="18889" xr:uid="{B87292E2-1C3B-4349-9CA9-4F803ED1BF51}"/>
    <cellStyle name="40% - Accent6 2 8" xfId="2354" xr:uid="{00000000-0005-0000-0000-00002F070000}"/>
    <cellStyle name="40% - Accent6 2 8 2" xfId="6662" xr:uid="{00000000-0005-0000-0000-000030070000}"/>
    <cellStyle name="40% - Accent6 2 8 2 2" xfId="15091" xr:uid="{B29FFC48-5A70-4D5E-9ECB-8F837C3FDB3B}"/>
    <cellStyle name="40% - Accent6 2 8 2 3" xfId="27724" xr:uid="{C1BE9867-7DC4-4F3C-9436-030659E439C8}"/>
    <cellStyle name="40% - Accent6 2 8 3" xfId="10873" xr:uid="{8BF6FB1E-8C07-4297-9F66-448CC1A0DDE6}"/>
    <cellStyle name="40% - Accent6 2 8 3 2" xfId="23513" xr:uid="{DFD5A297-1841-4E8C-86DD-4095B6CF38F5}"/>
    <cellStyle name="40% - Accent6 2 8 4" xfId="19302" xr:uid="{D9D114EE-817E-46D1-AB88-F08B1CF00BBA}"/>
    <cellStyle name="40% - Accent6 2 9" xfId="4596" xr:uid="{00000000-0005-0000-0000-000031070000}"/>
    <cellStyle name="40% - Accent6 2 9 2" xfId="13025" xr:uid="{D8623AB5-B501-4067-9F5E-ACB5330A8944}"/>
    <cellStyle name="40% - Accent6 2 9 3" xfId="25658" xr:uid="{2959CA41-A2F6-4ADA-B3CB-DB5B5B008421}"/>
    <cellStyle name="40% - Accent6 3" xfId="94" xr:uid="{00000000-0005-0000-0000-000032070000}"/>
    <cellStyle name="40% - Accent6 3 10" xfId="17240" xr:uid="{0ADAEF44-B903-4979-B1C7-5F7540D21E3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43EED950-6302-4AF3-BB0F-ECA589674B35}"/>
    <cellStyle name="40% - Accent6 3 2 2 2 2 3" xfId="28222" xr:uid="{044BEBB4-94BB-4027-93D0-D339C7C1A43C}"/>
    <cellStyle name="40% - Accent6 3 2 2 2 3" xfId="11371" xr:uid="{18385AE0-9B3A-4960-9886-40D8FFA157FC}"/>
    <cellStyle name="40% - Accent6 3 2 2 2 3 2" xfId="24011" xr:uid="{CB1E2009-BCED-4061-84A7-71F948DFF9A3}"/>
    <cellStyle name="40% - Accent6 3 2 2 2 4" xfId="19800" xr:uid="{541D64ED-832C-4C69-93D7-A5BD42380C63}"/>
    <cellStyle name="40% - Accent6 3 2 2 3" xfId="5015" xr:uid="{00000000-0005-0000-0000-000037070000}"/>
    <cellStyle name="40% - Accent6 3 2 2 3 2" xfId="13444" xr:uid="{2C8F5D24-8AA9-4E10-93EC-A0A3D816EE1C}"/>
    <cellStyle name="40% - Accent6 3 2 2 3 3" xfId="26077" xr:uid="{6E9009B0-1449-4132-83E5-46628141B0D6}"/>
    <cellStyle name="40% - Accent6 3 2 2 4" xfId="9226" xr:uid="{9903326F-C138-4598-807F-367D6465B090}"/>
    <cellStyle name="40% - Accent6 3 2 2 4 2" xfId="21866" xr:uid="{7BBC251A-E5F8-4359-9097-926B86B30754}"/>
    <cellStyle name="40% - Accent6 3 2 2 5" xfId="17655" xr:uid="{38DCF290-7598-4930-84EF-96BF853D5CBE}"/>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2FC98FB4-1090-4165-8208-D13A81BAAD37}"/>
    <cellStyle name="40% - Accent6 3 2 3 2 2 3" xfId="28635" xr:uid="{DDEA50DE-6537-431C-97A7-448AFA612958}"/>
    <cellStyle name="40% - Accent6 3 2 3 2 3" xfId="11784" xr:uid="{A8016905-F710-4C84-80DB-0D46C2DD9258}"/>
    <cellStyle name="40% - Accent6 3 2 3 2 3 2" xfId="24424" xr:uid="{987E6D0C-4224-4BCC-B019-EAB9561498B0}"/>
    <cellStyle name="40% - Accent6 3 2 3 2 4" xfId="20213" xr:uid="{FB509482-ECBD-40E6-B7C2-82258A9F982A}"/>
    <cellStyle name="40% - Accent6 3 2 3 3" xfId="5428" xr:uid="{00000000-0005-0000-0000-00003B070000}"/>
    <cellStyle name="40% - Accent6 3 2 3 3 2" xfId="13857" xr:uid="{B1BDC56B-8B54-408F-93C3-C655E2C404AA}"/>
    <cellStyle name="40% - Accent6 3 2 3 3 3" xfId="26490" xr:uid="{761B0A7A-3C6A-43B7-85B6-1372B2192805}"/>
    <cellStyle name="40% - Accent6 3 2 3 4" xfId="9639" xr:uid="{9BF0B433-CFE5-4264-A232-7A7896A024A9}"/>
    <cellStyle name="40% - Accent6 3 2 3 4 2" xfId="22279" xr:uid="{2BC29AD7-9219-400B-AB27-267CBCA9A77D}"/>
    <cellStyle name="40% - Accent6 3 2 3 5" xfId="18068" xr:uid="{57D34032-F519-4A1B-9237-DBA008647535}"/>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5340D1F3-774F-490B-9156-2E68F32C8E70}"/>
    <cellStyle name="40% - Accent6 3 2 4 2 2 3" xfId="29048" xr:uid="{D4F0F4BC-F44F-4D91-AA98-1AFA22749979}"/>
    <cellStyle name="40% - Accent6 3 2 4 2 3" xfId="12197" xr:uid="{EF594EC0-4BD5-49A9-A27C-2AEB6A28B904}"/>
    <cellStyle name="40% - Accent6 3 2 4 2 3 2" xfId="24837" xr:uid="{A6DE88B9-DD86-4F7E-80D5-AE5A32F01266}"/>
    <cellStyle name="40% - Accent6 3 2 4 2 4" xfId="20626" xr:uid="{CC304D32-BB3E-45CA-894D-5CAB2707827C}"/>
    <cellStyle name="40% - Accent6 3 2 4 3" xfId="5841" xr:uid="{00000000-0005-0000-0000-00003F070000}"/>
    <cellStyle name="40% - Accent6 3 2 4 3 2" xfId="14270" xr:uid="{4B36C053-BC18-4C4B-A055-2534B18FE2E8}"/>
    <cellStyle name="40% - Accent6 3 2 4 3 3" xfId="26903" xr:uid="{E8BBD740-2C2A-4BDA-9300-04586835C558}"/>
    <cellStyle name="40% - Accent6 3 2 4 4" xfId="10052" xr:uid="{0B6192AE-D9E9-4766-B9BB-A176A5D339AD}"/>
    <cellStyle name="40% - Accent6 3 2 4 4 2" xfId="22692" xr:uid="{CFE0168C-8CC0-4AF5-B559-1AFF5A1D355B}"/>
    <cellStyle name="40% - Accent6 3 2 4 5" xfId="18481" xr:uid="{035A5BCE-B8BD-4DDE-AE3B-7DC3E7258876}"/>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9FCDA3CF-A489-42F3-BFA9-DFE67245782E}"/>
    <cellStyle name="40% - Accent6 3 2 5 2 2 3" xfId="29461" xr:uid="{6FE40A26-493F-4F6C-B541-692AA393E2C1}"/>
    <cellStyle name="40% - Accent6 3 2 5 2 3" xfId="12610" xr:uid="{136CA968-67B2-4B3F-89FE-81DA243FD8DF}"/>
    <cellStyle name="40% - Accent6 3 2 5 2 3 2" xfId="25250" xr:uid="{20D3FACE-7BEB-4FDF-B248-10E515BF2B7E}"/>
    <cellStyle name="40% - Accent6 3 2 5 2 4" xfId="21039" xr:uid="{6FEC88A6-2B35-474E-9C1D-EEFF12C6D4C0}"/>
    <cellStyle name="40% - Accent6 3 2 5 3" xfId="6254" xr:uid="{00000000-0005-0000-0000-000043070000}"/>
    <cellStyle name="40% - Accent6 3 2 5 3 2" xfId="14683" xr:uid="{9F775747-EC2B-486F-BF9B-536304D31B79}"/>
    <cellStyle name="40% - Accent6 3 2 5 3 3" xfId="27316" xr:uid="{36333619-EACC-4221-B13D-D57D1BB745E2}"/>
    <cellStyle name="40% - Accent6 3 2 5 4" xfId="10465" xr:uid="{6D00AE22-AFD9-42F1-9B8F-C3A630035739}"/>
    <cellStyle name="40% - Accent6 3 2 5 4 2" xfId="23105" xr:uid="{6D49AE06-1C89-4B49-8979-B57F107458D6}"/>
    <cellStyle name="40% - Accent6 3 2 5 5" xfId="18894" xr:uid="{7660268A-6071-424D-BB66-3AA548582131}"/>
    <cellStyle name="40% - Accent6 3 2 6" xfId="2359" xr:uid="{00000000-0005-0000-0000-000044070000}"/>
    <cellStyle name="40% - Accent6 3 2 6 2" xfId="6667" xr:uid="{00000000-0005-0000-0000-000045070000}"/>
    <cellStyle name="40% - Accent6 3 2 6 2 2" xfId="15096" xr:uid="{8C583D0A-40E6-46B5-8600-08521D17B876}"/>
    <cellStyle name="40% - Accent6 3 2 6 2 3" xfId="27729" xr:uid="{B1145906-D471-4760-AEE5-2ADC3D84B1F9}"/>
    <cellStyle name="40% - Accent6 3 2 6 3" xfId="10878" xr:uid="{89204FF1-CE89-4373-9C20-20CF02DF2CDF}"/>
    <cellStyle name="40% - Accent6 3 2 6 3 2" xfId="23518" xr:uid="{63E5AD44-B682-4CD9-A987-3DB7945898CB}"/>
    <cellStyle name="40% - Accent6 3 2 6 4" xfId="19307" xr:uid="{C500986C-743D-4705-B8AD-DEFDB8A6CF1F}"/>
    <cellStyle name="40% - Accent6 3 2 7" xfId="4601" xr:uid="{00000000-0005-0000-0000-000046070000}"/>
    <cellStyle name="40% - Accent6 3 2 7 2" xfId="13030" xr:uid="{2E639484-3939-4841-91B1-B2B61F93D70D}"/>
    <cellStyle name="40% - Accent6 3 2 7 3" xfId="25663" xr:uid="{6B972280-FA3C-4FF3-925A-F94CB439DB4C}"/>
    <cellStyle name="40% - Accent6 3 2 8" xfId="8812" xr:uid="{FD86BC35-DE2F-4C51-BAA5-7A1D543BA8CE}"/>
    <cellStyle name="40% - Accent6 3 2 8 2" xfId="21452" xr:uid="{D366F435-59EB-4D43-BB0B-A5E9B9855C8B}"/>
    <cellStyle name="40% - Accent6 3 2 9" xfId="17241" xr:uid="{1590A972-84A0-416F-AA54-87EA711AEA73}"/>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EFEB46C0-2D6F-4F6D-A4A8-34D81EE50577}"/>
    <cellStyle name="40% - Accent6 3 3 2 2 3" xfId="28221" xr:uid="{A469FC53-6F71-4082-A28D-C40DE1B45B20}"/>
    <cellStyle name="40% - Accent6 3 3 2 3" xfId="11370" xr:uid="{DE9A0D58-E2D4-4C38-9563-314F88D5D7A3}"/>
    <cellStyle name="40% - Accent6 3 3 2 3 2" xfId="24010" xr:uid="{F47A2F04-0E6A-4B18-BFAA-A7054225BE55}"/>
    <cellStyle name="40% - Accent6 3 3 2 4" xfId="19799" xr:uid="{BF02179E-D45A-45AD-B1EB-5CD02B58A9C5}"/>
    <cellStyle name="40% - Accent6 3 3 3" xfId="5014" xr:uid="{00000000-0005-0000-0000-00004A070000}"/>
    <cellStyle name="40% - Accent6 3 3 3 2" xfId="13443" xr:uid="{6C2FB458-C4DF-4E49-8E74-5BF83DF5A6D6}"/>
    <cellStyle name="40% - Accent6 3 3 3 3" xfId="26076" xr:uid="{C7805298-FE08-4A96-BFA5-98B5593DE980}"/>
    <cellStyle name="40% - Accent6 3 3 4" xfId="9225" xr:uid="{17A3EF1B-F6F1-4617-B240-AFA12472ABCC}"/>
    <cellStyle name="40% - Accent6 3 3 4 2" xfId="21865" xr:uid="{F065B582-45E6-42BD-8E77-098156C645B7}"/>
    <cellStyle name="40% - Accent6 3 3 5" xfId="17654" xr:uid="{E61756BA-8381-4327-AE2B-95000FA8959F}"/>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034832F6-0389-4540-BBED-B3C8C768B744}"/>
    <cellStyle name="40% - Accent6 3 4 2 2 3" xfId="28634" xr:uid="{02B3A894-C377-4803-B8B6-451358508495}"/>
    <cellStyle name="40% - Accent6 3 4 2 3" xfId="11783" xr:uid="{BB5609E9-40BB-4BBD-9AF6-B6311DC57D39}"/>
    <cellStyle name="40% - Accent6 3 4 2 3 2" xfId="24423" xr:uid="{AAAC06F7-EEAC-4892-95C1-7C970F78D0E0}"/>
    <cellStyle name="40% - Accent6 3 4 2 4" xfId="20212" xr:uid="{72509125-6804-4575-87BA-5F655626D70A}"/>
    <cellStyle name="40% - Accent6 3 4 3" xfId="5427" xr:uid="{00000000-0005-0000-0000-00004E070000}"/>
    <cellStyle name="40% - Accent6 3 4 3 2" xfId="13856" xr:uid="{0391ADDB-6B24-494B-A1E9-FB7680B2A949}"/>
    <cellStyle name="40% - Accent6 3 4 3 3" xfId="26489" xr:uid="{D5E5E23D-0512-4D56-BA77-2B93FD5F2A15}"/>
    <cellStyle name="40% - Accent6 3 4 4" xfId="9638" xr:uid="{23C6EFFD-191C-41C0-8A07-651B781549F0}"/>
    <cellStyle name="40% - Accent6 3 4 4 2" xfId="22278" xr:uid="{D89752DE-3C34-4ECE-9EE1-DC6DED1969C1}"/>
    <cellStyle name="40% - Accent6 3 4 5" xfId="18067" xr:uid="{2E5918FA-5FEB-4B13-8A7A-DD0FCE024086}"/>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DCC02722-E4C2-4CCB-951C-8042CBAAA5E9}"/>
    <cellStyle name="40% - Accent6 3 5 2 2 3" xfId="29047" xr:uid="{76D28DA2-8807-4D92-9DFE-BD6B85F01CAF}"/>
    <cellStyle name="40% - Accent6 3 5 2 3" xfId="12196" xr:uid="{A194BB8D-A547-4BF1-942A-E78E3F20D371}"/>
    <cellStyle name="40% - Accent6 3 5 2 3 2" xfId="24836" xr:uid="{8B44CB63-129D-4AE0-8890-A35A0688425A}"/>
    <cellStyle name="40% - Accent6 3 5 2 4" xfId="20625" xr:uid="{ADDEE4CB-E080-466C-894A-9DD5FB9E191D}"/>
    <cellStyle name="40% - Accent6 3 5 3" xfId="5840" xr:uid="{00000000-0005-0000-0000-000052070000}"/>
    <cellStyle name="40% - Accent6 3 5 3 2" xfId="14269" xr:uid="{5B4C3BF9-DD41-40BE-BF77-486EEBE99200}"/>
    <cellStyle name="40% - Accent6 3 5 3 3" xfId="26902" xr:uid="{D391C734-FC4D-4636-B851-B3263365CA0A}"/>
    <cellStyle name="40% - Accent6 3 5 4" xfId="10051" xr:uid="{B838F9F8-9D2C-417F-AFCB-1AEF57C06208}"/>
    <cellStyle name="40% - Accent6 3 5 4 2" xfId="22691" xr:uid="{066442C4-432F-4557-A922-1ADD65A21ADF}"/>
    <cellStyle name="40% - Accent6 3 5 5" xfId="18480" xr:uid="{B42D0FFC-9114-445B-92A4-D9E75E134B88}"/>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C29B5D58-EA6B-4428-9D20-790B1BD9869B}"/>
    <cellStyle name="40% - Accent6 3 6 2 2 3" xfId="29460" xr:uid="{914FD21A-E35D-437B-877D-D74E6F557932}"/>
    <cellStyle name="40% - Accent6 3 6 2 3" xfId="12609" xr:uid="{ABC72033-F8CB-4ADE-9256-377D908D40DD}"/>
    <cellStyle name="40% - Accent6 3 6 2 3 2" xfId="25249" xr:uid="{9DAC5F90-29EC-427D-8AE0-79127037BC19}"/>
    <cellStyle name="40% - Accent6 3 6 2 4" xfId="21038" xr:uid="{7CB67A48-2AAB-4023-967B-BD8AAB5DBC6B}"/>
    <cellStyle name="40% - Accent6 3 6 3" xfId="6253" xr:uid="{00000000-0005-0000-0000-000056070000}"/>
    <cellStyle name="40% - Accent6 3 6 3 2" xfId="14682" xr:uid="{D1043699-5317-4227-9E51-BD08863960CF}"/>
    <cellStyle name="40% - Accent6 3 6 3 3" xfId="27315" xr:uid="{6870F0F8-AF9B-406B-BF52-CA6DC5743443}"/>
    <cellStyle name="40% - Accent6 3 6 4" xfId="10464" xr:uid="{21D7686A-F0B2-4F3A-8C13-1BF578673A7F}"/>
    <cellStyle name="40% - Accent6 3 6 4 2" xfId="23104" xr:uid="{D3CAA2A0-8307-439C-8ABC-71D18D014AE5}"/>
    <cellStyle name="40% - Accent6 3 6 5" xfId="18893" xr:uid="{E38E18AB-C0B9-4054-9ECB-71C27DD659FC}"/>
    <cellStyle name="40% - Accent6 3 7" xfId="2358" xr:uid="{00000000-0005-0000-0000-000057070000}"/>
    <cellStyle name="40% - Accent6 3 7 2" xfId="6666" xr:uid="{00000000-0005-0000-0000-000058070000}"/>
    <cellStyle name="40% - Accent6 3 7 2 2" xfId="15095" xr:uid="{9E85EAFE-517F-4B52-9427-09A86BA197B9}"/>
    <cellStyle name="40% - Accent6 3 7 2 3" xfId="27728" xr:uid="{8A6CF889-5596-4E65-A74D-C47250B9E5CD}"/>
    <cellStyle name="40% - Accent6 3 7 3" xfId="10877" xr:uid="{C6507385-2267-4815-B4CC-F1464E05E14B}"/>
    <cellStyle name="40% - Accent6 3 7 3 2" xfId="23517" xr:uid="{8EFE7204-E7BE-47EC-ACC9-AEF64753862D}"/>
    <cellStyle name="40% - Accent6 3 7 4" xfId="19306" xr:uid="{11622E36-0036-4EE1-837E-0CDA671B0160}"/>
    <cellStyle name="40% - Accent6 3 8" xfId="4600" xr:uid="{00000000-0005-0000-0000-000059070000}"/>
    <cellStyle name="40% - Accent6 3 8 2" xfId="13029" xr:uid="{4773417A-BBF0-4ADE-958D-12B387A8F52E}"/>
    <cellStyle name="40% - Accent6 3 8 3" xfId="25662" xr:uid="{7BA6934B-7AFA-449B-8879-494EB2A16699}"/>
    <cellStyle name="40% - Accent6 3 9" xfId="8811" xr:uid="{D17F9A8C-887D-49B1-8DBF-91B4EC981BF4}"/>
    <cellStyle name="40% - Accent6 3 9 2" xfId="21451" xr:uid="{24722C07-F45B-4462-9F50-E51BA77F1885}"/>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9AA0D9E8-004D-4FC6-B371-5B5AD8D026FF}"/>
    <cellStyle name="40% - Accent6 4 2 2 2 3" xfId="28223" xr:uid="{F748ECB4-1797-48B1-BFB4-6BD5EB00D52C}"/>
    <cellStyle name="40% - Accent6 4 2 2 3" xfId="11372" xr:uid="{043734AE-8530-43B3-A94D-BF4109AC1F01}"/>
    <cellStyle name="40% - Accent6 4 2 2 3 2" xfId="24012" xr:uid="{34C41F02-8A3C-4DFE-A107-5D2CCC26A5D1}"/>
    <cellStyle name="40% - Accent6 4 2 2 4" xfId="19801" xr:uid="{0CEB8E78-DC97-4205-9E5B-D8AB3BABF19C}"/>
    <cellStyle name="40% - Accent6 4 2 3" xfId="5016" xr:uid="{00000000-0005-0000-0000-00005E070000}"/>
    <cellStyle name="40% - Accent6 4 2 3 2" xfId="13445" xr:uid="{7B8F6E24-1A89-4687-961B-97F250FECC44}"/>
    <cellStyle name="40% - Accent6 4 2 3 3" xfId="26078" xr:uid="{C4431174-ABD7-4693-A967-F3716B3403DD}"/>
    <cellStyle name="40% - Accent6 4 2 4" xfId="9227" xr:uid="{231947DE-6FCC-4B61-BAEF-D4872ECE26CD}"/>
    <cellStyle name="40% - Accent6 4 2 4 2" xfId="21867" xr:uid="{E65F3183-8C79-4810-9431-6332C1037709}"/>
    <cellStyle name="40% - Accent6 4 2 5" xfId="17656" xr:uid="{4FFFB2D5-C27C-4FE9-B034-D34F19C3D5D1}"/>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B6CDDED6-EAE1-4BAB-AC0E-80CC080D0121}"/>
    <cellStyle name="40% - Accent6 4 3 2 2 3" xfId="28636" xr:uid="{121AD5A0-A3BA-405B-8904-74A0E5D9BCDB}"/>
    <cellStyle name="40% - Accent6 4 3 2 3" xfId="11785" xr:uid="{18E82FC7-F826-45B1-A9E9-BA9E0FD20A7E}"/>
    <cellStyle name="40% - Accent6 4 3 2 3 2" xfId="24425" xr:uid="{C8A5A78A-A8B5-4E40-9185-D03D1155288C}"/>
    <cellStyle name="40% - Accent6 4 3 2 4" xfId="20214" xr:uid="{A0B3EC33-0828-48F6-A3E2-F3B6EB530C92}"/>
    <cellStyle name="40% - Accent6 4 3 3" xfId="5429" xr:uid="{00000000-0005-0000-0000-000062070000}"/>
    <cellStyle name="40% - Accent6 4 3 3 2" xfId="13858" xr:uid="{20EBE15A-7E74-4BCF-94B3-E72008381F2D}"/>
    <cellStyle name="40% - Accent6 4 3 3 3" xfId="26491" xr:uid="{BCEEF775-596A-4E82-8299-A5B3AEB80776}"/>
    <cellStyle name="40% - Accent6 4 3 4" xfId="9640" xr:uid="{B5B81FC9-2D19-4175-81DE-E741AE87BFA7}"/>
    <cellStyle name="40% - Accent6 4 3 4 2" xfId="22280" xr:uid="{E43F9FB3-26F9-4E9E-BABC-477C8BEE15C7}"/>
    <cellStyle name="40% - Accent6 4 3 5" xfId="18069" xr:uid="{BBABDDCA-F460-480A-95C0-058A6313206D}"/>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85CAFC0E-A464-45D6-8D53-0CEB60226EE5}"/>
    <cellStyle name="40% - Accent6 4 4 2 2 3" xfId="29049" xr:uid="{D8AEC7F3-20A2-4381-A279-EA4AE1D97264}"/>
    <cellStyle name="40% - Accent6 4 4 2 3" xfId="12198" xr:uid="{AB200CAD-9BFA-4C2C-9F95-1940D5A7290B}"/>
    <cellStyle name="40% - Accent6 4 4 2 3 2" xfId="24838" xr:uid="{8FBAF807-DF84-43C0-905B-B1B886491B50}"/>
    <cellStyle name="40% - Accent6 4 4 2 4" xfId="20627" xr:uid="{0C9979B9-1613-44F6-AD58-2AD94B3111E8}"/>
    <cellStyle name="40% - Accent6 4 4 3" xfId="5842" xr:uid="{00000000-0005-0000-0000-000066070000}"/>
    <cellStyle name="40% - Accent6 4 4 3 2" xfId="14271" xr:uid="{78262A1B-BDF5-4F80-BD5C-906D17ED7EDC}"/>
    <cellStyle name="40% - Accent6 4 4 3 3" xfId="26904" xr:uid="{237816EC-06DC-4062-BC32-7B8751E13405}"/>
    <cellStyle name="40% - Accent6 4 4 4" xfId="10053" xr:uid="{F356320E-8E80-4C57-8474-0266D18194EB}"/>
    <cellStyle name="40% - Accent6 4 4 4 2" xfId="22693" xr:uid="{CD2C9B46-A71E-442D-A6DE-D5475687EB67}"/>
    <cellStyle name="40% - Accent6 4 4 5" xfId="18482" xr:uid="{4C2C4C77-E020-47DF-84F9-11C7732A1436}"/>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F7C30A02-C748-449D-A772-E44E6B311DD4}"/>
    <cellStyle name="40% - Accent6 4 5 2 2 3" xfId="29462" xr:uid="{CA820E91-1475-4FED-A2D9-595B3C21CAAF}"/>
    <cellStyle name="40% - Accent6 4 5 2 3" xfId="12611" xr:uid="{80F5D3D3-9BF0-4F3B-89C7-6102F85654F8}"/>
    <cellStyle name="40% - Accent6 4 5 2 3 2" xfId="25251" xr:uid="{567A4367-910F-4A0F-BD21-E78107FEE9A3}"/>
    <cellStyle name="40% - Accent6 4 5 2 4" xfId="21040" xr:uid="{C1F25063-8360-4000-AF4D-0D668CAB7073}"/>
    <cellStyle name="40% - Accent6 4 5 3" xfId="6255" xr:uid="{00000000-0005-0000-0000-00006A070000}"/>
    <cellStyle name="40% - Accent6 4 5 3 2" xfId="14684" xr:uid="{C43A72EE-9E34-4EF4-ADD1-4BDF9B56AFEF}"/>
    <cellStyle name="40% - Accent6 4 5 3 3" xfId="27317" xr:uid="{0862A5B2-F210-4144-99EA-6E0ADDDC6F7F}"/>
    <cellStyle name="40% - Accent6 4 5 4" xfId="10466" xr:uid="{4DC8BFF6-121D-4AE6-A434-1BA577FE9725}"/>
    <cellStyle name="40% - Accent6 4 5 4 2" xfId="23106" xr:uid="{1287F59F-6A9C-4EB9-97E4-F4A8EFA28D4F}"/>
    <cellStyle name="40% - Accent6 4 5 5" xfId="18895" xr:uid="{F63C0ECF-E16B-4C89-9221-5D33B8473AFF}"/>
    <cellStyle name="40% - Accent6 4 6" xfId="2360" xr:uid="{00000000-0005-0000-0000-00006B070000}"/>
    <cellStyle name="40% - Accent6 4 6 2" xfId="6668" xr:uid="{00000000-0005-0000-0000-00006C070000}"/>
    <cellStyle name="40% - Accent6 4 6 2 2" xfId="15097" xr:uid="{EF57FF4C-0649-4E29-83B3-DC18C5C1AD44}"/>
    <cellStyle name="40% - Accent6 4 6 2 3" xfId="27730" xr:uid="{78935852-7857-4058-BBCF-C9350D3F012C}"/>
    <cellStyle name="40% - Accent6 4 6 3" xfId="10879" xr:uid="{78EE00B9-2088-4540-AD40-44FA65677884}"/>
    <cellStyle name="40% - Accent6 4 6 3 2" xfId="23519" xr:uid="{73958311-ABCD-4AA1-A3C8-C701BAEE2EA3}"/>
    <cellStyle name="40% - Accent6 4 6 4" xfId="19308" xr:uid="{3F1B6F19-EBEB-4A56-8F7F-3FAFF6C1DBB4}"/>
    <cellStyle name="40% - Accent6 4 7" xfId="4602" xr:uid="{00000000-0005-0000-0000-00006D070000}"/>
    <cellStyle name="40% - Accent6 4 7 2" xfId="13031" xr:uid="{4B07DE5E-0922-4C78-AC8A-5F445B37DB6E}"/>
    <cellStyle name="40% - Accent6 4 7 3" xfId="25664" xr:uid="{2F9B3353-7DD5-48AF-8370-A31DA8FE1D11}"/>
    <cellStyle name="40% - Accent6 4 8" xfId="8813" xr:uid="{4C3F0918-C637-480E-B542-F47D2D584A03}"/>
    <cellStyle name="40% - Accent6 4 8 2" xfId="21453" xr:uid="{B2FF218E-5F5F-4718-8E59-4C730B1905E7}"/>
    <cellStyle name="40% - Accent6 4 9" xfId="17242" xr:uid="{ECC12E32-D3B8-4732-97BA-3C4343F41B0D}"/>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E510BF8A-8CCE-4E72-B747-55C6DDEF1DFF}"/>
    <cellStyle name="40% - Accent6 5 2 2 3" xfId="28216" xr:uid="{C3A6386A-51B3-4787-AA47-86F73A2CCFAA}"/>
    <cellStyle name="40% - Accent6 5 2 3" xfId="11365" xr:uid="{8F2B9B49-0DF3-406C-A05A-C26E5F80C83D}"/>
    <cellStyle name="40% - Accent6 5 2 3 2" xfId="24005" xr:uid="{95496E71-5AF0-4695-A98B-147846914ACE}"/>
    <cellStyle name="40% - Accent6 5 2 4" xfId="19794" xr:uid="{6833318F-B9FC-4F08-8F5E-5432BBCE1781}"/>
    <cellStyle name="40% - Accent6 5 3" xfId="5009" xr:uid="{00000000-0005-0000-0000-000071070000}"/>
    <cellStyle name="40% - Accent6 5 3 2" xfId="13438" xr:uid="{0BEA3528-41CA-42F1-86DD-1E9417B25908}"/>
    <cellStyle name="40% - Accent6 5 3 3" xfId="26071" xr:uid="{824812E8-E8A4-4E8C-8A24-E5696F317178}"/>
    <cellStyle name="40% - Accent6 5 4" xfId="9220" xr:uid="{C7468C6F-B42A-413C-8C02-0EE54C9B030D}"/>
    <cellStyle name="40% - Accent6 5 4 2" xfId="21860" xr:uid="{7C0B60DC-3DDF-403C-922C-84BF3BD419FF}"/>
    <cellStyle name="40% - Accent6 5 5" xfId="17649" xr:uid="{3F71BE7C-DB90-486E-B722-7CEC4B4D27CF}"/>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D901C55A-DB88-4F54-8906-6B47C275050A}"/>
    <cellStyle name="40% - Accent6 6 2 2 3" xfId="28629" xr:uid="{575BDE64-2BD3-460D-8A66-C656A49087EA}"/>
    <cellStyle name="40% - Accent6 6 2 3" xfId="11778" xr:uid="{569C7BD7-CDAD-410F-B9B1-6145FF44BA3C}"/>
    <cellStyle name="40% - Accent6 6 2 3 2" xfId="24418" xr:uid="{95769E8A-DDBD-47BD-B658-2D920A4CE968}"/>
    <cellStyle name="40% - Accent6 6 2 4" xfId="20207" xr:uid="{C0D9373C-5D36-4DE3-8CA2-EFCE3E583E16}"/>
    <cellStyle name="40% - Accent6 6 3" xfId="5422" xr:uid="{00000000-0005-0000-0000-000075070000}"/>
    <cellStyle name="40% - Accent6 6 3 2" xfId="13851" xr:uid="{EDC152A7-9B6E-4F6F-B10B-B153739CCD79}"/>
    <cellStyle name="40% - Accent6 6 3 3" xfId="26484" xr:uid="{D74EF19A-1E7C-4F61-A9FD-2CAA6B8C0762}"/>
    <cellStyle name="40% - Accent6 6 4" xfId="9633" xr:uid="{1915F2B5-1DCC-41D6-8401-4E6AC3816ED3}"/>
    <cellStyle name="40% - Accent6 6 4 2" xfId="22273" xr:uid="{EF5239AC-DD65-414D-B70E-998D725BB6F0}"/>
    <cellStyle name="40% - Accent6 6 5" xfId="18062" xr:uid="{6152CED4-4F49-4B79-93C8-A1EA95DDD163}"/>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7AA2D129-CA57-4DCA-9118-4A4D49887B21}"/>
    <cellStyle name="40% - Accent6 7 2 2 3" xfId="29042" xr:uid="{616F13C5-5D79-4065-9F7B-CFA299452A9C}"/>
    <cellStyle name="40% - Accent6 7 2 3" xfId="12191" xr:uid="{2BCCA006-7FE1-4012-B925-BCCF789E06F1}"/>
    <cellStyle name="40% - Accent6 7 2 3 2" xfId="24831" xr:uid="{E9BE6E6D-867A-4049-AF3A-401D7A5272FD}"/>
    <cellStyle name="40% - Accent6 7 2 4" xfId="20620" xr:uid="{A8D9B532-402B-4CDA-81B4-211200A20206}"/>
    <cellStyle name="40% - Accent6 7 3" xfId="5835" xr:uid="{00000000-0005-0000-0000-000079070000}"/>
    <cellStyle name="40% - Accent6 7 3 2" xfId="14264" xr:uid="{06EB6BC5-C900-4056-A764-F1A51CE3546C}"/>
    <cellStyle name="40% - Accent6 7 3 3" xfId="26897" xr:uid="{B99A4F97-952E-4D32-A974-26C8BB3C6BA2}"/>
    <cellStyle name="40% - Accent6 7 4" xfId="10046" xr:uid="{C062AC77-4DB3-4922-B58E-AEC4AF187F69}"/>
    <cellStyle name="40% - Accent6 7 4 2" xfId="22686" xr:uid="{1BD9458C-B43C-4D4F-80A3-0543C4F07229}"/>
    <cellStyle name="40% - Accent6 7 5" xfId="18475" xr:uid="{059BA939-70E3-4447-ABDD-B3EB9BE818C9}"/>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3F8CE744-6E89-4905-9C39-47F3853F7022}"/>
    <cellStyle name="40% - Accent6 8 2 2 3" xfId="29455" xr:uid="{2E5D4832-B56C-4710-BE79-8CD117D6118E}"/>
    <cellStyle name="40% - Accent6 8 2 3" xfId="12604" xr:uid="{49FAA61C-46A8-4184-83B5-16B574F24A1A}"/>
    <cellStyle name="40% - Accent6 8 2 3 2" xfId="25244" xr:uid="{1331E759-AF49-42FA-B4FE-6A34A49F87CB}"/>
    <cellStyle name="40% - Accent6 8 2 4" xfId="21033" xr:uid="{BE237F84-73D6-4F93-B8DC-3350F1735B5E}"/>
    <cellStyle name="40% - Accent6 8 3" xfId="6248" xr:uid="{00000000-0005-0000-0000-00007D070000}"/>
    <cellStyle name="40% - Accent6 8 3 2" xfId="14677" xr:uid="{60293022-D3F3-47ED-B153-32B64C6A67BF}"/>
    <cellStyle name="40% - Accent6 8 3 3" xfId="27310" xr:uid="{BEF2BEBD-F51A-4AD1-9119-9947AC89170D}"/>
    <cellStyle name="40% - Accent6 8 4" xfId="10459" xr:uid="{0F5A7FBC-272D-4362-93C6-80660282BA7C}"/>
    <cellStyle name="40% - Accent6 8 4 2" xfId="23099" xr:uid="{9480F2B2-50FD-4F1C-8115-49E80FFEAD86}"/>
    <cellStyle name="40% - Accent6 8 5" xfId="18888" xr:uid="{D33C3E81-D359-4BC8-A340-BC551E9DE7EF}"/>
    <cellStyle name="40% - Accent6 9" xfId="2353" xr:uid="{00000000-0005-0000-0000-00007E070000}"/>
    <cellStyle name="40% - Accent6 9 2" xfId="6661" xr:uid="{00000000-0005-0000-0000-00007F070000}"/>
    <cellStyle name="40% - Accent6 9 2 2" xfId="15090" xr:uid="{0E9B493F-F358-449C-9AC9-DD490CD5A789}"/>
    <cellStyle name="40% - Accent6 9 2 3" xfId="27723" xr:uid="{AB963859-F783-4546-AD26-7A012D454B6F}"/>
    <cellStyle name="40% - Accent6 9 3" xfId="10872" xr:uid="{659DABF5-6B41-43F7-8FA5-635D70C3A711}"/>
    <cellStyle name="40% - Accent6 9 3 2" xfId="23512" xr:uid="{301E111F-5D21-4F1C-881F-20C3A09ED246}"/>
    <cellStyle name="40% - Accent6 9 4" xfId="19301" xr:uid="{AB2CD0CA-B2BE-4C22-8A97-3EEFC01F51D9}"/>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C3AD592A-3439-4B6C-A979-E3A9B6A12305}"/>
    <cellStyle name="Comma 4 2 2 2 10 2 3" xfId="28048" xr:uid="{109DB90E-7C46-40BA-A351-BA84F07A08F3}"/>
    <cellStyle name="Comma 4 2 2 2 10 3" xfId="11197" xr:uid="{A3405698-5ED3-4E80-856F-B4A40ABC5525}"/>
    <cellStyle name="Comma 4 2 2 2 10 3 2" xfId="23837" xr:uid="{9B9072F5-B67E-4872-B057-08FAED949350}"/>
    <cellStyle name="Comma 4 2 2 2 10 4" xfId="19626" xr:uid="{507A9A1B-26FF-4369-B664-503A57C5E9C1}"/>
    <cellStyle name="Comma 4 2 2 2 11" xfId="4603" xr:uid="{00000000-0005-0000-0000-0000A3070000}"/>
    <cellStyle name="Comma 4 2 2 2 11 2" xfId="13032" xr:uid="{B3FF6D93-FCA7-4927-9AF2-76676C7EC4F8}"/>
    <cellStyle name="Comma 4 2 2 2 11 3" xfId="25665" xr:uid="{66357640-D736-45D6-AE28-F30A5109D8BB}"/>
    <cellStyle name="Comma 4 2 2 2 12" xfId="8814" xr:uid="{056DBFC7-BABC-4686-B250-7292CD90D9AF}"/>
    <cellStyle name="Comma 4 2 2 2 12 2" xfId="21454" xr:uid="{05DE2E86-BA80-4353-9331-9585F615E70D}"/>
    <cellStyle name="Comma 4 2 2 2 13" xfId="17243" xr:uid="{2CB8A9A3-6B6B-44FC-B491-B76F1BF78C40}"/>
    <cellStyle name="Comma 4 2 2 2 2" xfId="129" xr:uid="{00000000-0005-0000-0000-0000A4070000}"/>
    <cellStyle name="Comma 4 2 2 2 2 10" xfId="4604" xr:uid="{00000000-0005-0000-0000-0000A5070000}"/>
    <cellStyle name="Comma 4 2 2 2 2 10 2" xfId="13033" xr:uid="{D5A7D2C9-BB11-4AAD-B860-8395A22B537D}"/>
    <cellStyle name="Comma 4 2 2 2 2 10 3" xfId="25666" xr:uid="{C97B4B8D-69DA-4BA4-A230-0211BF850C21}"/>
    <cellStyle name="Comma 4 2 2 2 2 11" xfId="8815" xr:uid="{920E2A83-7579-4252-8DDF-1CBD56AF2CCC}"/>
    <cellStyle name="Comma 4 2 2 2 2 11 2" xfId="21455" xr:uid="{A1DA2EBA-B787-490F-8B6E-5CA531EADB05}"/>
    <cellStyle name="Comma 4 2 2 2 2 12" xfId="17244" xr:uid="{B9A1C562-4312-4806-9F3B-431957B57A13}"/>
    <cellStyle name="Comma 4 2 2 2 2 2" xfId="130" xr:uid="{00000000-0005-0000-0000-0000A6070000}"/>
    <cellStyle name="Comma 4 2 2 2 2 2 10" xfId="8816" xr:uid="{3284D2A5-4FA3-4C27-869B-1544BE4A0B24}"/>
    <cellStyle name="Comma 4 2 2 2 2 2 10 2" xfId="21456" xr:uid="{400AA170-B181-40E4-AB79-813BDD1AFB4A}"/>
    <cellStyle name="Comma 4 2 2 2 2 2 11" xfId="17245" xr:uid="{E591133A-2E5A-4D66-9B09-E3498831CEC4}"/>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3DBC3CBB-1FB9-4901-8710-58F03CD9A129}"/>
    <cellStyle name="Comma 4 2 2 2 2 2 2 2 2 3" xfId="28226" xr:uid="{10CABA8C-5916-46D1-B6F1-7AC63254C1F2}"/>
    <cellStyle name="Comma 4 2 2 2 2 2 2 2 3" xfId="11375" xr:uid="{35C13824-9727-4A04-AD18-FBF2DA043E34}"/>
    <cellStyle name="Comma 4 2 2 2 2 2 2 2 3 2" xfId="24015" xr:uid="{F021460E-DEF0-4729-8E04-2CF090C6E8A7}"/>
    <cellStyle name="Comma 4 2 2 2 2 2 2 2 4" xfId="19804" xr:uid="{7969BCD0-1DF1-418F-A75F-0FACFF24F134}"/>
    <cellStyle name="Comma 4 2 2 2 2 2 2 3" xfId="5019" xr:uid="{00000000-0005-0000-0000-0000AA070000}"/>
    <cellStyle name="Comma 4 2 2 2 2 2 2 3 2" xfId="13448" xr:uid="{802E9A81-0475-431A-BD44-3589C51BAC8A}"/>
    <cellStyle name="Comma 4 2 2 2 2 2 2 3 3" xfId="26081" xr:uid="{4AE6DDE9-EECB-40C1-9A68-F519B12542F5}"/>
    <cellStyle name="Comma 4 2 2 2 2 2 2 4" xfId="9230" xr:uid="{2F09483A-74F8-4A08-A10B-ECD0DAE0A03F}"/>
    <cellStyle name="Comma 4 2 2 2 2 2 2 4 2" xfId="21870" xr:uid="{9474804A-5DA3-4E57-8841-030E1A2C828E}"/>
    <cellStyle name="Comma 4 2 2 2 2 2 2 5" xfId="17659" xr:uid="{2AA7465A-773C-4F0F-A30E-ABAB157483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7A16E18C-1102-4348-8AF6-E1174B60A1E0}"/>
    <cellStyle name="Comma 4 2 2 2 2 2 3 2 2 3" xfId="28639" xr:uid="{E19BB77C-8098-4542-8090-EA1F388F5A27}"/>
    <cellStyle name="Comma 4 2 2 2 2 2 3 2 3" xfId="11788" xr:uid="{27694AD8-02CA-499B-AE95-A7DD1D395CB9}"/>
    <cellStyle name="Comma 4 2 2 2 2 2 3 2 3 2" xfId="24428" xr:uid="{359A83D2-A5B4-4BD6-AC23-4DE4C5C7C0E5}"/>
    <cellStyle name="Comma 4 2 2 2 2 2 3 2 4" xfId="20217" xr:uid="{38BF2963-A449-43A0-81D4-32C587807DE2}"/>
    <cellStyle name="Comma 4 2 2 2 2 2 3 3" xfId="5432" xr:uid="{00000000-0005-0000-0000-0000AE070000}"/>
    <cellStyle name="Comma 4 2 2 2 2 2 3 3 2" xfId="13861" xr:uid="{E3118192-AA58-40EA-B375-F1B68AF58A69}"/>
    <cellStyle name="Comma 4 2 2 2 2 2 3 3 3" xfId="26494" xr:uid="{BE95BE4E-D18D-4901-91D2-D0FBE7A0A507}"/>
    <cellStyle name="Comma 4 2 2 2 2 2 3 4" xfId="9643" xr:uid="{6A92C26E-D052-4FE4-967F-9BCAFB828CF4}"/>
    <cellStyle name="Comma 4 2 2 2 2 2 3 4 2" xfId="22283" xr:uid="{2C1B81A2-FD77-44B5-9C1C-0702204CDE43}"/>
    <cellStyle name="Comma 4 2 2 2 2 2 3 5" xfId="18072" xr:uid="{BB765CE1-10FD-42E7-BC21-BBD9F85BC8AC}"/>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0C380572-33E6-499B-9D4F-36AC6CC6F77B}"/>
    <cellStyle name="Comma 4 2 2 2 2 2 4 2 2 3" xfId="29052" xr:uid="{CC46BD36-675E-475D-84E6-ACF120528A83}"/>
    <cellStyle name="Comma 4 2 2 2 2 2 4 2 3" xfId="12201" xr:uid="{490376AF-1BC9-4289-96DC-0B920BD16199}"/>
    <cellStyle name="Comma 4 2 2 2 2 2 4 2 3 2" xfId="24841" xr:uid="{20438C7B-7B79-4B5E-8C5C-C906DED1E56A}"/>
    <cellStyle name="Comma 4 2 2 2 2 2 4 2 4" xfId="20630" xr:uid="{6EF4930D-508E-427F-A947-C5EF922984ED}"/>
    <cellStyle name="Comma 4 2 2 2 2 2 4 3" xfId="5845" xr:uid="{00000000-0005-0000-0000-0000B2070000}"/>
    <cellStyle name="Comma 4 2 2 2 2 2 4 3 2" xfId="14274" xr:uid="{E3C7491D-9E51-4987-A0F6-FADB132AADA3}"/>
    <cellStyle name="Comma 4 2 2 2 2 2 4 3 3" xfId="26907" xr:uid="{65E1C256-5FFD-4992-96E3-B6B221DDB553}"/>
    <cellStyle name="Comma 4 2 2 2 2 2 4 4" xfId="10056" xr:uid="{6DDAC100-1B2F-4EC4-89AE-8E4F31CCAFE4}"/>
    <cellStyle name="Comma 4 2 2 2 2 2 4 4 2" xfId="22696" xr:uid="{F6465C5C-EFA9-4C41-899E-D85EDE166B36}"/>
    <cellStyle name="Comma 4 2 2 2 2 2 4 5" xfId="18485" xr:uid="{153A546F-625A-4A16-92B3-FACB4B371F2E}"/>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118CC75E-05CE-413C-9744-043AED4E739C}"/>
    <cellStyle name="Comma 4 2 2 2 2 2 5 2 2 3" xfId="29465" xr:uid="{959C072C-9B9A-482A-96A2-6F2DF1339FA8}"/>
    <cellStyle name="Comma 4 2 2 2 2 2 5 2 3" xfId="12614" xr:uid="{60810AC1-8284-4302-BDB5-6CA3F8310016}"/>
    <cellStyle name="Comma 4 2 2 2 2 2 5 2 3 2" xfId="25254" xr:uid="{B35339FE-9178-4001-B6BB-24C24F1A00E6}"/>
    <cellStyle name="Comma 4 2 2 2 2 2 5 2 4" xfId="21043" xr:uid="{0A2D00D3-41A8-4934-81B9-4798F4626B49}"/>
    <cellStyle name="Comma 4 2 2 2 2 2 5 3" xfId="6258" xr:uid="{00000000-0005-0000-0000-0000B6070000}"/>
    <cellStyle name="Comma 4 2 2 2 2 2 5 3 2" xfId="14687" xr:uid="{B844C7E8-7B4B-4084-BD68-48A872F72614}"/>
    <cellStyle name="Comma 4 2 2 2 2 2 5 3 3" xfId="27320" xr:uid="{F2F93E01-481E-42CD-8926-553182D073C3}"/>
    <cellStyle name="Comma 4 2 2 2 2 2 5 4" xfId="10469" xr:uid="{5A21644B-E3DF-4FD2-86E9-1A4E318E7434}"/>
    <cellStyle name="Comma 4 2 2 2 2 2 5 4 2" xfId="23109" xr:uid="{99531F57-6184-411C-92CD-1397DB82843F}"/>
    <cellStyle name="Comma 4 2 2 2 2 2 5 5" xfId="18898" xr:uid="{BB47DC47-58F6-4F20-A2E8-B6B9AD43DB8E}"/>
    <cellStyle name="Comma 4 2 2 2 2 2 6" xfId="2385" xr:uid="{00000000-0005-0000-0000-0000B7070000}"/>
    <cellStyle name="Comma 4 2 2 2 2 2 6 2" xfId="6671" xr:uid="{00000000-0005-0000-0000-0000B8070000}"/>
    <cellStyle name="Comma 4 2 2 2 2 2 6 2 2" xfId="15100" xr:uid="{23875326-4208-481D-A969-5B8345D79A8F}"/>
    <cellStyle name="Comma 4 2 2 2 2 2 6 2 3" xfId="27733" xr:uid="{0316F2CF-703D-4874-A091-A555D32A0581}"/>
    <cellStyle name="Comma 4 2 2 2 2 2 6 3" xfId="10882" xr:uid="{E5F77FDB-5891-4826-A783-9E37AD34D90F}"/>
    <cellStyle name="Comma 4 2 2 2 2 2 6 3 2" xfId="23522" xr:uid="{900E177B-4601-446C-A890-0F5A8DCF94FC}"/>
    <cellStyle name="Comma 4 2 2 2 2 2 6 4" xfId="19311" xr:uid="{51AC9F6C-236E-47C8-8AFF-40A0030096E1}"/>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3B250C5D-AD5C-4890-B975-1D8948A0BBF9}"/>
    <cellStyle name="Comma 4 2 2 2 2 2 8 2 3" xfId="28050" xr:uid="{840E1AA9-5A39-4665-97C5-DD9B828C9CC6}"/>
    <cellStyle name="Comma 4 2 2 2 2 2 8 3" xfId="11199" xr:uid="{7B5122E0-0C67-4F14-B7B0-15AEC8EC0D24}"/>
    <cellStyle name="Comma 4 2 2 2 2 2 8 3 2" xfId="23839" xr:uid="{76F39603-B2AC-4265-ACA3-E66020957AE0}"/>
    <cellStyle name="Comma 4 2 2 2 2 2 8 4" xfId="19628" xr:uid="{64C60630-A395-48B7-AE09-E9AC6606F3E9}"/>
    <cellStyle name="Comma 4 2 2 2 2 2 9" xfId="4605" xr:uid="{00000000-0005-0000-0000-0000BC070000}"/>
    <cellStyle name="Comma 4 2 2 2 2 2 9 2" xfId="13034" xr:uid="{976DF125-E142-4E12-98AB-2DE7C3224CB4}"/>
    <cellStyle name="Comma 4 2 2 2 2 2 9 3" xfId="25667" xr:uid="{1CA8A56A-C7B1-4D6D-A251-768572162B3E}"/>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D8DE2834-C85F-4881-9A8F-5DADDA706F46}"/>
    <cellStyle name="Comma 4 2 2 2 2 3 2 2 3" xfId="28225" xr:uid="{DAAA7183-8C18-43E5-8EEC-E2704629D3A8}"/>
    <cellStyle name="Comma 4 2 2 2 2 3 2 3" xfId="11374" xr:uid="{A8533BA3-A82C-4742-8D50-277FBD77100D}"/>
    <cellStyle name="Comma 4 2 2 2 2 3 2 3 2" xfId="24014" xr:uid="{7976BFAE-EAA4-4520-83E1-3F78B6E5B608}"/>
    <cellStyle name="Comma 4 2 2 2 2 3 2 4" xfId="19803" xr:uid="{D16D27D9-C08E-4947-8352-A256645923AC}"/>
    <cellStyle name="Comma 4 2 2 2 2 3 3" xfId="5018" xr:uid="{00000000-0005-0000-0000-0000C0070000}"/>
    <cellStyle name="Comma 4 2 2 2 2 3 3 2" xfId="13447" xr:uid="{08FBD2C4-95D2-4499-A507-EEAEF59D659A}"/>
    <cellStyle name="Comma 4 2 2 2 2 3 3 3" xfId="26080" xr:uid="{57BED61B-D38F-4E61-B1DB-29A3B4C4F6A1}"/>
    <cellStyle name="Comma 4 2 2 2 2 3 4" xfId="9229" xr:uid="{728A8395-66C6-427E-82A1-C546A17FABB5}"/>
    <cellStyle name="Comma 4 2 2 2 2 3 4 2" xfId="21869" xr:uid="{3D2DA6B4-5939-4882-B3A8-2DD46FA8E43E}"/>
    <cellStyle name="Comma 4 2 2 2 2 3 5" xfId="17658" xr:uid="{60D7799F-3B6C-4074-AD86-A284F41A1442}"/>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98FF7010-480C-42F2-A6DE-7B9A20E2913B}"/>
    <cellStyle name="Comma 4 2 2 2 2 4 2 2 3" xfId="28638" xr:uid="{52C84C75-59C9-49B6-8B4D-309B2685BC6D}"/>
    <cellStyle name="Comma 4 2 2 2 2 4 2 3" xfId="11787" xr:uid="{E97D1DB1-8BEA-435F-AF67-A5656E419B1E}"/>
    <cellStyle name="Comma 4 2 2 2 2 4 2 3 2" xfId="24427" xr:uid="{FC58F83D-9023-4A3A-A550-2B3A9C75B4FB}"/>
    <cellStyle name="Comma 4 2 2 2 2 4 2 4" xfId="20216" xr:uid="{88D8F216-91D0-4FFA-8588-E2DD3E8B6AFE}"/>
    <cellStyle name="Comma 4 2 2 2 2 4 3" xfId="5431" xr:uid="{00000000-0005-0000-0000-0000C4070000}"/>
    <cellStyle name="Comma 4 2 2 2 2 4 3 2" xfId="13860" xr:uid="{691FA6DE-83D5-4BA4-98F2-CD1697492EBB}"/>
    <cellStyle name="Comma 4 2 2 2 2 4 3 3" xfId="26493" xr:uid="{9162F4AE-C0B5-449F-830D-A0E5CCA02B6D}"/>
    <cellStyle name="Comma 4 2 2 2 2 4 4" xfId="9642" xr:uid="{ABF2822A-0CFE-489F-B8AC-EA5CDB0BA883}"/>
    <cellStyle name="Comma 4 2 2 2 2 4 4 2" xfId="22282" xr:uid="{0E73AE8E-E1BA-4A31-B46F-BBD3B2614EBA}"/>
    <cellStyle name="Comma 4 2 2 2 2 4 5" xfId="18071" xr:uid="{E25ADA47-0387-4803-9209-493C239751E3}"/>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2E64208C-848C-4F53-84D2-8E1817EB4742}"/>
    <cellStyle name="Comma 4 2 2 2 2 5 2 2 3" xfId="29051" xr:uid="{DBAC1043-AE96-4994-8EB9-6E7EDCEA79F6}"/>
    <cellStyle name="Comma 4 2 2 2 2 5 2 3" xfId="12200" xr:uid="{177E4343-E45D-49BD-8727-424F591ACC71}"/>
    <cellStyle name="Comma 4 2 2 2 2 5 2 3 2" xfId="24840" xr:uid="{9F021747-53EE-4CC9-A7A5-282362EF9037}"/>
    <cellStyle name="Comma 4 2 2 2 2 5 2 4" xfId="20629" xr:uid="{FB330C1D-6EB2-421C-BF07-EF926023F668}"/>
    <cellStyle name="Comma 4 2 2 2 2 5 3" xfId="5844" xr:uid="{00000000-0005-0000-0000-0000C8070000}"/>
    <cellStyle name="Comma 4 2 2 2 2 5 3 2" xfId="14273" xr:uid="{9AA34306-433E-4A3A-9B1D-A0506D8D9FEB}"/>
    <cellStyle name="Comma 4 2 2 2 2 5 3 3" xfId="26906" xr:uid="{E5847642-7EC4-44CE-95A1-CEBFC9F33903}"/>
    <cellStyle name="Comma 4 2 2 2 2 5 4" xfId="10055" xr:uid="{0BF5FECB-8BC1-4477-AA5B-6EA6D129AADE}"/>
    <cellStyle name="Comma 4 2 2 2 2 5 4 2" xfId="22695" xr:uid="{A670E86A-DAEC-49F5-9EBE-91E9122BEB20}"/>
    <cellStyle name="Comma 4 2 2 2 2 5 5" xfId="18484" xr:uid="{C476962C-157D-4F1A-88D1-EB479D9D96A2}"/>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7310F53B-0572-43E2-9D89-0E69028EC3E9}"/>
    <cellStyle name="Comma 4 2 2 2 2 6 2 2 3" xfId="29464" xr:uid="{FB2ED61B-3A6C-4C12-B250-BDD3CE779721}"/>
    <cellStyle name="Comma 4 2 2 2 2 6 2 3" xfId="12613" xr:uid="{BB8D3EB6-0A32-40DD-AEBE-FC267F640C1F}"/>
    <cellStyle name="Comma 4 2 2 2 2 6 2 3 2" xfId="25253" xr:uid="{64C0DB8B-9D83-4562-B22E-541F1F28EEDC}"/>
    <cellStyle name="Comma 4 2 2 2 2 6 2 4" xfId="21042" xr:uid="{A6019635-F0D1-4293-B95E-BA40B08F1C8C}"/>
    <cellStyle name="Comma 4 2 2 2 2 6 3" xfId="6257" xr:uid="{00000000-0005-0000-0000-0000CC070000}"/>
    <cellStyle name="Comma 4 2 2 2 2 6 3 2" xfId="14686" xr:uid="{F056E201-C63F-49D1-AC29-2200E328DD51}"/>
    <cellStyle name="Comma 4 2 2 2 2 6 3 3" xfId="27319" xr:uid="{7A1FF3D9-FA72-4D0A-A1EE-5E168AA206B1}"/>
    <cellStyle name="Comma 4 2 2 2 2 6 4" xfId="10468" xr:uid="{2659DFD4-7218-4779-AB6E-35F590CA5BE7}"/>
    <cellStyle name="Comma 4 2 2 2 2 6 4 2" xfId="23108" xr:uid="{195D6303-A563-4A71-AF85-BE2383AF5A22}"/>
    <cellStyle name="Comma 4 2 2 2 2 6 5" xfId="18897" xr:uid="{18F1C1D2-3DD4-4A4D-BACF-653F519424BA}"/>
    <cellStyle name="Comma 4 2 2 2 2 7" xfId="2384" xr:uid="{00000000-0005-0000-0000-0000CD070000}"/>
    <cellStyle name="Comma 4 2 2 2 2 7 2" xfId="6670" xr:uid="{00000000-0005-0000-0000-0000CE070000}"/>
    <cellStyle name="Comma 4 2 2 2 2 7 2 2" xfId="15099" xr:uid="{DCF41C32-CEA9-4620-8ED4-E6D9FD5C09E1}"/>
    <cellStyle name="Comma 4 2 2 2 2 7 2 3" xfId="27732" xr:uid="{DCF46CCD-0F1A-4A25-98D4-8FE99A93F4B2}"/>
    <cellStyle name="Comma 4 2 2 2 2 7 3" xfId="10881" xr:uid="{69D54159-2FBD-403E-A757-707B3FE93F62}"/>
    <cellStyle name="Comma 4 2 2 2 2 7 3 2" xfId="23521" xr:uid="{B68B92B5-AC0D-4E51-82C2-89A919560BDC}"/>
    <cellStyle name="Comma 4 2 2 2 2 7 4" xfId="19310" xr:uid="{5EAD46C2-5E53-4A24-BCA5-35422DF05D6B}"/>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8145C340-407E-45C7-8B13-A413C076CBE9}"/>
    <cellStyle name="Comma 4 2 2 2 2 9 2 3" xfId="28049" xr:uid="{6B59A128-AB25-4894-9EE9-BDD684E738AA}"/>
    <cellStyle name="Comma 4 2 2 2 2 9 3" xfId="11198" xr:uid="{5C290A4D-7ACE-4258-BF41-4B632162F204}"/>
    <cellStyle name="Comma 4 2 2 2 2 9 3 2" xfId="23838" xr:uid="{2CA17489-8B8D-4684-85F6-9476D07EA135}"/>
    <cellStyle name="Comma 4 2 2 2 2 9 4" xfId="19627" xr:uid="{3324B7A0-D96B-4BD1-96BB-D64132590EDA}"/>
    <cellStyle name="Comma 4 2 2 2 3" xfId="131" xr:uid="{00000000-0005-0000-0000-0000D2070000}"/>
    <cellStyle name="Comma 4 2 2 2 3 10" xfId="8817" xr:uid="{4E01BF31-D792-446D-9DBF-A63C0E87A869}"/>
    <cellStyle name="Comma 4 2 2 2 3 10 2" xfId="21457" xr:uid="{95703CDB-1616-45AA-83AC-5A9E30815F63}"/>
    <cellStyle name="Comma 4 2 2 2 3 11" xfId="17246" xr:uid="{5C6F4CE9-9B58-4CD6-8953-36035A40F0BB}"/>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3A0A976E-DAC6-4CB2-A4D0-6BC01A074EF7}"/>
    <cellStyle name="Comma 4 2 2 2 3 2 2 2 3" xfId="28227" xr:uid="{228CB9FF-932F-40A7-8208-E1B8588763A5}"/>
    <cellStyle name="Comma 4 2 2 2 3 2 2 3" xfId="11376" xr:uid="{48AB5C04-31DC-416C-8ACF-6F5BE7A28A87}"/>
    <cellStyle name="Comma 4 2 2 2 3 2 2 3 2" xfId="24016" xr:uid="{A9ED7BDE-F2C3-4944-82B4-8FB45ED4A896}"/>
    <cellStyle name="Comma 4 2 2 2 3 2 2 4" xfId="19805" xr:uid="{E37B38B9-C443-477D-B02A-925E18EADE11}"/>
    <cellStyle name="Comma 4 2 2 2 3 2 3" xfId="5020" xr:uid="{00000000-0005-0000-0000-0000D6070000}"/>
    <cellStyle name="Comma 4 2 2 2 3 2 3 2" xfId="13449" xr:uid="{C7F98B04-37D8-4877-ACD8-EE58B1BE79F6}"/>
    <cellStyle name="Comma 4 2 2 2 3 2 3 3" xfId="26082" xr:uid="{FBAA02C9-2711-470C-BA84-15CD02DFC01F}"/>
    <cellStyle name="Comma 4 2 2 2 3 2 4" xfId="9231" xr:uid="{81FBC431-4EFF-408E-87C1-D434CD418263}"/>
    <cellStyle name="Comma 4 2 2 2 3 2 4 2" xfId="21871" xr:uid="{56DDDBF5-39CB-4B57-9A5B-3FA49D4FB64D}"/>
    <cellStyle name="Comma 4 2 2 2 3 2 5" xfId="17660" xr:uid="{49D16408-86B0-4823-A96D-D0A35EEA4396}"/>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65EEC52B-6EC6-44E0-9151-2B03CFDF900D}"/>
    <cellStyle name="Comma 4 2 2 2 3 3 2 2 3" xfId="28640" xr:uid="{3296B923-86C6-4459-A6E2-E5A70B929128}"/>
    <cellStyle name="Comma 4 2 2 2 3 3 2 3" xfId="11789" xr:uid="{866C88FB-2C79-4E86-8002-6ABA677B6221}"/>
    <cellStyle name="Comma 4 2 2 2 3 3 2 3 2" xfId="24429" xr:uid="{BA08C8D4-A185-4A35-87D9-D61DC4636C45}"/>
    <cellStyle name="Comma 4 2 2 2 3 3 2 4" xfId="20218" xr:uid="{D66A5687-5BC0-4C51-AA6E-B32E85A4DD05}"/>
    <cellStyle name="Comma 4 2 2 2 3 3 3" xfId="5433" xr:uid="{00000000-0005-0000-0000-0000DA070000}"/>
    <cellStyle name="Comma 4 2 2 2 3 3 3 2" xfId="13862" xr:uid="{2DE8A484-00E0-46D2-BA8C-F19412B27395}"/>
    <cellStyle name="Comma 4 2 2 2 3 3 3 3" xfId="26495" xr:uid="{98B0CB78-8890-4EEC-9CB9-D850EA4C24D7}"/>
    <cellStyle name="Comma 4 2 2 2 3 3 4" xfId="9644" xr:uid="{D00B8CC0-C837-472C-B2FB-C7C58BC7125A}"/>
    <cellStyle name="Comma 4 2 2 2 3 3 4 2" xfId="22284" xr:uid="{28D3E3CB-5BA1-4511-8CCB-AE5E46A4E66B}"/>
    <cellStyle name="Comma 4 2 2 2 3 3 5" xfId="18073" xr:uid="{A1FF3B62-B32A-4CEE-967D-0B77605385FE}"/>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F49175C3-8D98-4630-A84E-D5B72A963FD9}"/>
    <cellStyle name="Comma 4 2 2 2 3 4 2 2 3" xfId="29053" xr:uid="{3D6795F3-1CE7-43AA-8A5D-E9DF1EC321AB}"/>
    <cellStyle name="Comma 4 2 2 2 3 4 2 3" xfId="12202" xr:uid="{7BE96496-F63A-40C7-AD1C-5650F0582372}"/>
    <cellStyle name="Comma 4 2 2 2 3 4 2 3 2" xfId="24842" xr:uid="{6767CB82-8A37-4DD2-BB18-A89A8579794E}"/>
    <cellStyle name="Comma 4 2 2 2 3 4 2 4" xfId="20631" xr:uid="{7F2CF734-077F-4A63-A80B-47EFB92A8B41}"/>
    <cellStyle name="Comma 4 2 2 2 3 4 3" xfId="5846" xr:uid="{00000000-0005-0000-0000-0000DE070000}"/>
    <cellStyle name="Comma 4 2 2 2 3 4 3 2" xfId="14275" xr:uid="{0532D9FE-41CE-43A2-8040-04E886FA91FE}"/>
    <cellStyle name="Comma 4 2 2 2 3 4 3 3" xfId="26908" xr:uid="{2DE1E3A2-806A-4D67-95D9-D2B21A11A96D}"/>
    <cellStyle name="Comma 4 2 2 2 3 4 4" xfId="10057" xr:uid="{75AF0634-170D-48F1-BDEA-4F9B2871AEE4}"/>
    <cellStyle name="Comma 4 2 2 2 3 4 4 2" xfId="22697" xr:uid="{054A9152-DD9F-430D-AB89-7B9FF5E2D123}"/>
    <cellStyle name="Comma 4 2 2 2 3 4 5" xfId="18486" xr:uid="{1A4518E2-9C70-48B1-985E-C013EA091D2D}"/>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8464D94C-1341-4D7D-A0D0-F5E38B35F801}"/>
    <cellStyle name="Comma 4 2 2 2 3 5 2 2 3" xfId="29466" xr:uid="{EBB5CDBF-9DE6-4309-B2D0-A7CB4861CD57}"/>
    <cellStyle name="Comma 4 2 2 2 3 5 2 3" xfId="12615" xr:uid="{21FEA0E0-9C36-4C73-870D-E1AF3A03CCB5}"/>
    <cellStyle name="Comma 4 2 2 2 3 5 2 3 2" xfId="25255" xr:uid="{CCE9272F-EB33-4828-83FE-A918F5F8FA83}"/>
    <cellStyle name="Comma 4 2 2 2 3 5 2 4" xfId="21044" xr:uid="{1C56B89D-74D2-4D0E-86E0-E0AECC16DE7B}"/>
    <cellStyle name="Comma 4 2 2 2 3 5 3" xfId="6259" xr:uid="{00000000-0005-0000-0000-0000E2070000}"/>
    <cellStyle name="Comma 4 2 2 2 3 5 3 2" xfId="14688" xr:uid="{0AA735A6-A610-4D9D-B31F-D49CDCB0EA15}"/>
    <cellStyle name="Comma 4 2 2 2 3 5 3 3" xfId="27321" xr:uid="{B7A6D867-A344-4286-BF35-3CE4E18753D7}"/>
    <cellStyle name="Comma 4 2 2 2 3 5 4" xfId="10470" xr:uid="{4CF47CB4-1B8E-4140-B9D2-BC3028261351}"/>
    <cellStyle name="Comma 4 2 2 2 3 5 4 2" xfId="23110" xr:uid="{C8FC938C-C013-40C3-B4F0-6825B9BDEBC7}"/>
    <cellStyle name="Comma 4 2 2 2 3 5 5" xfId="18899" xr:uid="{5AD853CB-BC22-4510-AA1A-5EC61D5A1E3F}"/>
    <cellStyle name="Comma 4 2 2 2 3 6" xfId="2386" xr:uid="{00000000-0005-0000-0000-0000E3070000}"/>
    <cellStyle name="Comma 4 2 2 2 3 6 2" xfId="6672" xr:uid="{00000000-0005-0000-0000-0000E4070000}"/>
    <cellStyle name="Comma 4 2 2 2 3 6 2 2" xfId="15101" xr:uid="{E7E02A81-81CA-459E-A751-37F4F769BCD5}"/>
    <cellStyle name="Comma 4 2 2 2 3 6 2 3" xfId="27734" xr:uid="{8EFAD4CF-68FC-4B5A-A62B-25FEC07A789C}"/>
    <cellStyle name="Comma 4 2 2 2 3 6 3" xfId="10883" xr:uid="{E865AE95-DAB8-4FA1-8CFD-ACF60DCA9230}"/>
    <cellStyle name="Comma 4 2 2 2 3 6 3 2" xfId="23523" xr:uid="{7D32714A-1312-42E1-961C-9F6FA79D63C0}"/>
    <cellStyle name="Comma 4 2 2 2 3 6 4" xfId="19312" xr:uid="{8C7FF5CE-FE3E-46AB-889A-706398BD3327}"/>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CD9C823C-CB7A-44BA-9A6E-A9E5EBB541EF}"/>
    <cellStyle name="Comma 4 2 2 2 3 8 2 3" xfId="28051" xr:uid="{C740D531-79F0-423D-8CF4-61ACFC847181}"/>
    <cellStyle name="Comma 4 2 2 2 3 8 3" xfId="11200" xr:uid="{5D41353F-9FF2-4CD8-96F0-2F86B69DFB4E}"/>
    <cellStyle name="Comma 4 2 2 2 3 8 3 2" xfId="23840" xr:uid="{79B5E345-8E7C-433F-990D-DB80E702AD10}"/>
    <cellStyle name="Comma 4 2 2 2 3 8 4" xfId="19629" xr:uid="{D617565E-FC3B-460C-95BD-3D4367FA19C1}"/>
    <cellStyle name="Comma 4 2 2 2 3 9" xfId="4606" xr:uid="{00000000-0005-0000-0000-0000E8070000}"/>
    <cellStyle name="Comma 4 2 2 2 3 9 2" xfId="13035" xr:uid="{08345193-172A-4781-8A67-623B010072ED}"/>
    <cellStyle name="Comma 4 2 2 2 3 9 3" xfId="25668" xr:uid="{332E2889-2112-4F3E-907C-20D810693839}"/>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08734060-67FF-46FA-B636-7579EB077964}"/>
    <cellStyle name="Comma 4 2 2 2 4 2 2 3" xfId="28224" xr:uid="{F3A09566-037B-4258-A2B8-32EEC11348F8}"/>
    <cellStyle name="Comma 4 2 2 2 4 2 3" xfId="11373" xr:uid="{4114CB5C-4165-4A28-AAD7-B111422B7322}"/>
    <cellStyle name="Comma 4 2 2 2 4 2 3 2" xfId="24013" xr:uid="{B2A8BAE4-ECE3-41C2-9BF2-0E5686C307CF}"/>
    <cellStyle name="Comma 4 2 2 2 4 2 4" xfId="19802" xr:uid="{E3E2FA8D-DB29-40E8-8A99-933E4360CA2C}"/>
    <cellStyle name="Comma 4 2 2 2 4 3" xfId="5017" xr:uid="{00000000-0005-0000-0000-0000EC070000}"/>
    <cellStyle name="Comma 4 2 2 2 4 3 2" xfId="13446" xr:uid="{BE6BC2C3-7CAB-49A1-8187-FF6E3808D959}"/>
    <cellStyle name="Comma 4 2 2 2 4 3 3" xfId="26079" xr:uid="{862A731A-2A95-414F-B111-9A6BAAC666FE}"/>
    <cellStyle name="Comma 4 2 2 2 4 4" xfId="9228" xr:uid="{5B58ABAB-F054-474E-BB3E-B1FC0C97385B}"/>
    <cellStyle name="Comma 4 2 2 2 4 4 2" xfId="21868" xr:uid="{7057784D-980B-4C47-A9DA-0BC0D2364EDC}"/>
    <cellStyle name="Comma 4 2 2 2 4 5" xfId="17657" xr:uid="{F0F8E1A4-128D-479D-9F17-410E8C418E71}"/>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19721D72-EC2B-4111-B6BB-15B5FCD4CAB2}"/>
    <cellStyle name="Comma 4 2 2 2 5 2 2 3" xfId="28637" xr:uid="{DF778153-D44C-49D7-BA7C-C85E376C9236}"/>
    <cellStyle name="Comma 4 2 2 2 5 2 3" xfId="11786" xr:uid="{6499EAC2-FA4C-420A-9E41-3787D5BEB8B4}"/>
    <cellStyle name="Comma 4 2 2 2 5 2 3 2" xfId="24426" xr:uid="{FE93DA30-6FFE-4D31-A96D-E93DAE20549F}"/>
    <cellStyle name="Comma 4 2 2 2 5 2 4" xfId="20215" xr:uid="{0C9D5239-0F9E-4495-B0B8-90762063906C}"/>
    <cellStyle name="Comma 4 2 2 2 5 3" xfId="5430" xr:uid="{00000000-0005-0000-0000-0000F0070000}"/>
    <cellStyle name="Comma 4 2 2 2 5 3 2" xfId="13859" xr:uid="{AF0E7943-62FC-4E61-BA75-7D2EA6F59A11}"/>
    <cellStyle name="Comma 4 2 2 2 5 3 3" xfId="26492" xr:uid="{99704111-283A-48B7-A994-230112E17E4A}"/>
    <cellStyle name="Comma 4 2 2 2 5 4" xfId="9641" xr:uid="{369D5DE8-ACB9-4DCD-B750-F4BEFE5BDB22}"/>
    <cellStyle name="Comma 4 2 2 2 5 4 2" xfId="22281" xr:uid="{47C0AF14-53BA-44CE-9381-7ECA1C9E5431}"/>
    <cellStyle name="Comma 4 2 2 2 5 5" xfId="18070" xr:uid="{D46EDC6F-06FB-40CC-A193-EEB8C756B596}"/>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E493436D-8F47-4D19-9C9C-8CEA8EA16F51}"/>
    <cellStyle name="Comma 4 2 2 2 6 2 2 3" xfId="29050" xr:uid="{80483B83-2E8A-4A38-91EF-8DDCAAFB8F8A}"/>
    <cellStyle name="Comma 4 2 2 2 6 2 3" xfId="12199" xr:uid="{5CCE07C6-A689-4833-AEED-B16D6183ADAC}"/>
    <cellStyle name="Comma 4 2 2 2 6 2 3 2" xfId="24839" xr:uid="{874ECD4F-A656-4FE1-8316-7788DEAF5608}"/>
    <cellStyle name="Comma 4 2 2 2 6 2 4" xfId="20628" xr:uid="{ED7734D1-3647-4601-B80B-4C746C339F74}"/>
    <cellStyle name="Comma 4 2 2 2 6 3" xfId="5843" xr:uid="{00000000-0005-0000-0000-0000F4070000}"/>
    <cellStyle name="Comma 4 2 2 2 6 3 2" xfId="14272" xr:uid="{A1E9373D-9857-41B6-B765-D00A400D261F}"/>
    <cellStyle name="Comma 4 2 2 2 6 3 3" xfId="26905" xr:uid="{512A442F-77C6-4047-9AB2-E8416FE5D9CA}"/>
    <cellStyle name="Comma 4 2 2 2 6 4" xfId="10054" xr:uid="{EE4C02F4-788B-42C1-A8DD-8EFB083C9223}"/>
    <cellStyle name="Comma 4 2 2 2 6 4 2" xfId="22694" xr:uid="{0E87E2C4-BE7F-4A16-850B-EBAB2E20E49F}"/>
    <cellStyle name="Comma 4 2 2 2 6 5" xfId="18483" xr:uid="{E698EB04-5B7B-4AC5-8273-18314C7284B5}"/>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E4CBCCBF-AED0-4FF0-B468-B138F3D50904}"/>
    <cellStyle name="Comma 4 2 2 2 7 2 2 3" xfId="29463" xr:uid="{38267312-3036-4FE3-92CE-AA53C223DAD3}"/>
    <cellStyle name="Comma 4 2 2 2 7 2 3" xfId="12612" xr:uid="{972E2272-8D5D-4ADE-8F40-33F6BD827940}"/>
    <cellStyle name="Comma 4 2 2 2 7 2 3 2" xfId="25252" xr:uid="{75ECBC36-F145-4041-8529-4A12C6CBD5EE}"/>
    <cellStyle name="Comma 4 2 2 2 7 2 4" xfId="21041" xr:uid="{A551779A-70FC-4517-A5C0-EBC73FBA42B9}"/>
    <cellStyle name="Comma 4 2 2 2 7 3" xfId="6256" xr:uid="{00000000-0005-0000-0000-0000F8070000}"/>
    <cellStyle name="Comma 4 2 2 2 7 3 2" xfId="14685" xr:uid="{12A77BCE-4715-4B0A-8EAA-3E2451143543}"/>
    <cellStyle name="Comma 4 2 2 2 7 3 3" xfId="27318" xr:uid="{32826C46-4FA3-445A-8D96-B00F88728BEB}"/>
    <cellStyle name="Comma 4 2 2 2 7 4" xfId="10467" xr:uid="{D8D5D752-EDD1-44CB-908A-E65620245F58}"/>
    <cellStyle name="Comma 4 2 2 2 7 4 2" xfId="23107" xr:uid="{0325BE12-B52D-44A3-AAA3-3625C325FFFD}"/>
    <cellStyle name="Comma 4 2 2 2 7 5" xfId="18896" xr:uid="{70E00AC3-FE8C-40BC-A3D7-4A34491A680F}"/>
    <cellStyle name="Comma 4 2 2 2 8" xfId="2383" xr:uid="{00000000-0005-0000-0000-0000F9070000}"/>
    <cellStyle name="Comma 4 2 2 2 8 2" xfId="6669" xr:uid="{00000000-0005-0000-0000-0000FA070000}"/>
    <cellStyle name="Comma 4 2 2 2 8 2 2" xfId="15098" xr:uid="{986320FD-EA93-4686-9DEA-77B7825AAE1A}"/>
    <cellStyle name="Comma 4 2 2 2 8 2 3" xfId="27731" xr:uid="{CED78228-5D7E-4BBE-AA9A-8D2EA1251B51}"/>
    <cellStyle name="Comma 4 2 2 2 8 3" xfId="10880" xr:uid="{1829087D-152A-4E30-BCCA-9843E4FA6F7D}"/>
    <cellStyle name="Comma 4 2 2 2 8 3 2" xfId="23520" xr:uid="{0A86095B-0A7B-4008-97F8-280426564E76}"/>
    <cellStyle name="Comma 4 2 2 2 8 4" xfId="19309" xr:uid="{83E653AD-E433-43ED-A0EE-B476170277F5}"/>
    <cellStyle name="Comma 4 2 2 2 9" xfId="2382" xr:uid="{00000000-0005-0000-0000-0000FB070000}"/>
    <cellStyle name="Comma 4 2 2 3" xfId="132" xr:uid="{00000000-0005-0000-0000-0000FC070000}"/>
    <cellStyle name="Comma 4 2 2 3 10" xfId="4607" xr:uid="{00000000-0005-0000-0000-0000FD070000}"/>
    <cellStyle name="Comma 4 2 2 3 10 2" xfId="13036" xr:uid="{30E911F4-7810-400C-B5CF-BFB0E9D4BC65}"/>
    <cellStyle name="Comma 4 2 2 3 10 3" xfId="25669" xr:uid="{1117BF3A-D23E-499A-B0D7-D590B51E6263}"/>
    <cellStyle name="Comma 4 2 2 3 11" xfId="8818" xr:uid="{79BAE176-EA27-4C8A-B8EE-0D57934F55C1}"/>
    <cellStyle name="Comma 4 2 2 3 11 2" xfId="21458" xr:uid="{1EDAFC06-BDB3-49CB-8E56-5F7AB7DEDCF4}"/>
    <cellStyle name="Comma 4 2 2 3 12" xfId="17247" xr:uid="{05101429-A36A-4D48-AF6A-445D86B33FBE}"/>
    <cellStyle name="Comma 4 2 2 3 2" xfId="133" xr:uid="{00000000-0005-0000-0000-0000FE070000}"/>
    <cellStyle name="Comma 4 2 2 3 2 10" xfId="8819" xr:uid="{93DDECEA-1EF6-4681-ACAE-EBB2DF9136CF}"/>
    <cellStyle name="Comma 4 2 2 3 2 10 2" xfId="21459" xr:uid="{17098737-3297-4FEA-AEE4-9EB932DC7D12}"/>
    <cellStyle name="Comma 4 2 2 3 2 11" xfId="17248" xr:uid="{F6B99AA3-2417-4405-8414-C3541A4E9772}"/>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3C4E2D70-D5A7-4E1C-B4C5-5F7CD70508E0}"/>
    <cellStyle name="Comma 4 2 2 3 2 2 2 2 3" xfId="28229" xr:uid="{9AA09EDA-49B1-4D17-B8F9-F9A61139BDC7}"/>
    <cellStyle name="Comma 4 2 2 3 2 2 2 3" xfId="11378" xr:uid="{ABA9DD2D-EC2A-4254-9F70-85B95E23503D}"/>
    <cellStyle name="Comma 4 2 2 3 2 2 2 3 2" xfId="24018" xr:uid="{C05C4412-6A61-4719-9FF1-10252CF7A8DC}"/>
    <cellStyle name="Comma 4 2 2 3 2 2 2 4" xfId="19807" xr:uid="{179CD33B-249C-46BE-A155-788278469E0E}"/>
    <cellStyle name="Comma 4 2 2 3 2 2 3" xfId="5022" xr:uid="{00000000-0005-0000-0000-000002080000}"/>
    <cellStyle name="Comma 4 2 2 3 2 2 3 2" xfId="13451" xr:uid="{FDF0FE48-E1C0-4B62-BFEA-E260E923CA9B}"/>
    <cellStyle name="Comma 4 2 2 3 2 2 3 3" xfId="26084" xr:uid="{9E4ACAE9-C2EB-4795-85D1-F7B17192DA55}"/>
    <cellStyle name="Comma 4 2 2 3 2 2 4" xfId="9233" xr:uid="{C0705E61-0524-4F2E-822E-0F1A42DDC5E3}"/>
    <cellStyle name="Comma 4 2 2 3 2 2 4 2" xfId="21873" xr:uid="{95736B17-9511-438C-A2C8-2A9C0021754B}"/>
    <cellStyle name="Comma 4 2 2 3 2 2 5" xfId="17662" xr:uid="{A9E14B57-198B-49BA-A047-9062DC5994F7}"/>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3C62B792-CA77-48FB-BC2A-31620CCE257B}"/>
    <cellStyle name="Comma 4 2 2 3 2 3 2 2 3" xfId="28642" xr:uid="{E8E3CC11-2192-44C1-8454-2F71C13C2EAC}"/>
    <cellStyle name="Comma 4 2 2 3 2 3 2 3" xfId="11791" xr:uid="{9EE3DCDE-91FE-40E8-B7A0-98F17DCCAB4B}"/>
    <cellStyle name="Comma 4 2 2 3 2 3 2 3 2" xfId="24431" xr:uid="{ABAC265A-9222-4CF1-861D-9F658EA55189}"/>
    <cellStyle name="Comma 4 2 2 3 2 3 2 4" xfId="20220" xr:uid="{923FD598-1246-4563-88D2-21E902D39315}"/>
    <cellStyle name="Comma 4 2 2 3 2 3 3" xfId="5435" xr:uid="{00000000-0005-0000-0000-000006080000}"/>
    <cellStyle name="Comma 4 2 2 3 2 3 3 2" xfId="13864" xr:uid="{C328EC00-3104-4FD3-82D8-87B79391DE21}"/>
    <cellStyle name="Comma 4 2 2 3 2 3 3 3" xfId="26497" xr:uid="{113E567C-74B4-4191-AA6E-3A9617F2B49A}"/>
    <cellStyle name="Comma 4 2 2 3 2 3 4" xfId="9646" xr:uid="{C431EC33-AADD-4272-BB4F-C0B7674E702D}"/>
    <cellStyle name="Comma 4 2 2 3 2 3 4 2" xfId="22286" xr:uid="{20DC8244-71B9-438E-B7BF-F447B1F6D4C4}"/>
    <cellStyle name="Comma 4 2 2 3 2 3 5" xfId="18075" xr:uid="{A2C60F69-C679-4FEE-8E0A-96326C5FFF98}"/>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3726EB4C-F3EA-4257-8719-254E32923AD2}"/>
    <cellStyle name="Comma 4 2 2 3 2 4 2 2 3" xfId="29055" xr:uid="{6C9B855C-1F25-4B5E-ADCE-1885F753B4BE}"/>
    <cellStyle name="Comma 4 2 2 3 2 4 2 3" xfId="12204" xr:uid="{AA02876D-B4CE-4162-888E-99CDA2991DCF}"/>
    <cellStyle name="Comma 4 2 2 3 2 4 2 3 2" xfId="24844" xr:uid="{C464411A-70DF-43C2-84B1-977735BAC42E}"/>
    <cellStyle name="Comma 4 2 2 3 2 4 2 4" xfId="20633" xr:uid="{8957B347-EE70-40B6-BF62-8846680F2DD8}"/>
    <cellStyle name="Comma 4 2 2 3 2 4 3" xfId="5848" xr:uid="{00000000-0005-0000-0000-00000A080000}"/>
    <cellStyle name="Comma 4 2 2 3 2 4 3 2" xfId="14277" xr:uid="{E630CB2F-6382-47A7-A164-0E77573B92B1}"/>
    <cellStyle name="Comma 4 2 2 3 2 4 3 3" xfId="26910" xr:uid="{1505DDD2-CD78-4F77-9896-BCE9842932B0}"/>
    <cellStyle name="Comma 4 2 2 3 2 4 4" xfId="10059" xr:uid="{08312371-9732-41A0-900A-007168DE8ECC}"/>
    <cellStyle name="Comma 4 2 2 3 2 4 4 2" xfId="22699" xr:uid="{9CC8FFF2-893F-46A5-AF55-4DC40BD28C49}"/>
    <cellStyle name="Comma 4 2 2 3 2 4 5" xfId="18488" xr:uid="{FE20B967-7A3D-4B7A-921D-E6B21829A9A7}"/>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2600C089-8F82-417A-8545-50DECB71F015}"/>
    <cellStyle name="Comma 4 2 2 3 2 5 2 2 3" xfId="29468" xr:uid="{01667174-48D4-41E1-B558-7637B359B8C2}"/>
    <cellStyle name="Comma 4 2 2 3 2 5 2 3" xfId="12617" xr:uid="{8520C4C4-3980-46D4-87BE-3636902C09D5}"/>
    <cellStyle name="Comma 4 2 2 3 2 5 2 3 2" xfId="25257" xr:uid="{913B934E-F8D2-449A-9713-918BCD616E42}"/>
    <cellStyle name="Comma 4 2 2 3 2 5 2 4" xfId="21046" xr:uid="{B828A569-9AEE-42C6-B18C-7F3C54706913}"/>
    <cellStyle name="Comma 4 2 2 3 2 5 3" xfId="6261" xr:uid="{00000000-0005-0000-0000-00000E080000}"/>
    <cellStyle name="Comma 4 2 2 3 2 5 3 2" xfId="14690" xr:uid="{0479AD42-86D4-4CCB-A1A5-1B644BA06EC9}"/>
    <cellStyle name="Comma 4 2 2 3 2 5 3 3" xfId="27323" xr:uid="{27051909-AD9F-4F69-8FCD-A29200D84947}"/>
    <cellStyle name="Comma 4 2 2 3 2 5 4" xfId="10472" xr:uid="{F01B0D7D-24DE-4248-8503-FF5B900955A9}"/>
    <cellStyle name="Comma 4 2 2 3 2 5 4 2" xfId="23112" xr:uid="{C1A4C433-2B97-4D32-9597-27C78025CA4C}"/>
    <cellStyle name="Comma 4 2 2 3 2 5 5" xfId="18901" xr:uid="{F30B9DFA-3C42-4B95-8A8C-6BA277EFE01E}"/>
    <cellStyle name="Comma 4 2 2 3 2 6" xfId="2388" xr:uid="{00000000-0005-0000-0000-00000F080000}"/>
    <cellStyle name="Comma 4 2 2 3 2 6 2" xfId="6674" xr:uid="{00000000-0005-0000-0000-000010080000}"/>
    <cellStyle name="Comma 4 2 2 3 2 6 2 2" xfId="15103" xr:uid="{A9AFF640-9864-480C-BA1C-1D70ED51DA48}"/>
    <cellStyle name="Comma 4 2 2 3 2 6 2 3" xfId="27736" xr:uid="{44964C44-9886-4729-9D17-C321C05B0B84}"/>
    <cellStyle name="Comma 4 2 2 3 2 6 3" xfId="10885" xr:uid="{01F7D8E3-1F0E-40E8-A2B7-A2ACC2CBF164}"/>
    <cellStyle name="Comma 4 2 2 3 2 6 3 2" xfId="23525" xr:uid="{62328994-C27E-4381-8070-804031D2CEBF}"/>
    <cellStyle name="Comma 4 2 2 3 2 6 4" xfId="19314" xr:uid="{C663772E-19DA-468F-B556-8BF044EB9AB6}"/>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1750ADA7-4F45-4805-A270-2421F26D8079}"/>
    <cellStyle name="Comma 4 2 2 3 2 8 2 3" xfId="28053" xr:uid="{E4606111-84C2-41DF-90E8-CE2E79BB8065}"/>
    <cellStyle name="Comma 4 2 2 3 2 8 3" xfId="11202" xr:uid="{428EBABA-4043-4E88-9021-115AEC2E2D91}"/>
    <cellStyle name="Comma 4 2 2 3 2 8 3 2" xfId="23842" xr:uid="{6A4DF1BF-D536-4C77-916C-151A518C2C7A}"/>
    <cellStyle name="Comma 4 2 2 3 2 8 4" xfId="19631" xr:uid="{DC482B8A-6F16-4572-8EF9-7CE096D3E487}"/>
    <cellStyle name="Comma 4 2 2 3 2 9" xfId="4608" xr:uid="{00000000-0005-0000-0000-000014080000}"/>
    <cellStyle name="Comma 4 2 2 3 2 9 2" xfId="13037" xr:uid="{922754AA-4CC2-4D3E-9BB2-815829944469}"/>
    <cellStyle name="Comma 4 2 2 3 2 9 3" xfId="25670" xr:uid="{29394E87-4A36-4AA2-B091-BE0EE425AAA0}"/>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BB0EB767-B647-46F0-971D-333F7B7DA6A8}"/>
    <cellStyle name="Comma 4 2 2 3 3 2 2 3" xfId="28228" xr:uid="{690D3CE0-4EA8-45DD-86F7-79D0A165F651}"/>
    <cellStyle name="Comma 4 2 2 3 3 2 3" xfId="11377" xr:uid="{C33AAEE2-830D-47A3-99F6-C196DABB7699}"/>
    <cellStyle name="Comma 4 2 2 3 3 2 3 2" xfId="24017" xr:uid="{AC357C03-9339-42E9-A5F5-2B970CC55CDD}"/>
    <cellStyle name="Comma 4 2 2 3 3 2 4" xfId="19806" xr:uid="{849787D2-CBBD-4F94-BF35-AA93475FE94F}"/>
    <cellStyle name="Comma 4 2 2 3 3 3" xfId="5021" xr:uid="{00000000-0005-0000-0000-000018080000}"/>
    <cellStyle name="Comma 4 2 2 3 3 3 2" xfId="13450" xr:uid="{61346D3C-7E82-49DA-8AD9-5727B9AC9D39}"/>
    <cellStyle name="Comma 4 2 2 3 3 3 3" xfId="26083" xr:uid="{DCE82A1F-F37F-4B49-8136-F681DD165EDB}"/>
    <cellStyle name="Comma 4 2 2 3 3 4" xfId="9232" xr:uid="{ACB50959-62DD-4B21-A27B-A3432C30C9B2}"/>
    <cellStyle name="Comma 4 2 2 3 3 4 2" xfId="21872" xr:uid="{870B380E-E19E-4B86-8293-4C084CFE6CF9}"/>
    <cellStyle name="Comma 4 2 2 3 3 5" xfId="17661" xr:uid="{41022718-7DC1-417F-9604-F075461DE825}"/>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6AC6CF65-8AC5-4E0A-ABD6-DD77E5580650}"/>
    <cellStyle name="Comma 4 2 2 3 4 2 2 3" xfId="28641" xr:uid="{E9B526DA-8B25-4D80-862E-A2DAFB3CE2B1}"/>
    <cellStyle name="Comma 4 2 2 3 4 2 3" xfId="11790" xr:uid="{AADF317F-7596-4907-AE86-7FF6DCBB9FF5}"/>
    <cellStyle name="Comma 4 2 2 3 4 2 3 2" xfId="24430" xr:uid="{AD733848-CC4E-460F-95CE-5254155E824F}"/>
    <cellStyle name="Comma 4 2 2 3 4 2 4" xfId="20219" xr:uid="{781D04DC-ED5D-47EC-BADA-01FF75FD6C7C}"/>
    <cellStyle name="Comma 4 2 2 3 4 3" xfId="5434" xr:uid="{00000000-0005-0000-0000-00001C080000}"/>
    <cellStyle name="Comma 4 2 2 3 4 3 2" xfId="13863" xr:uid="{293DB889-BA28-40D0-952E-D4DD7CFF10FA}"/>
    <cellStyle name="Comma 4 2 2 3 4 3 3" xfId="26496" xr:uid="{64340E54-E469-4436-8F90-8DAE2BE70484}"/>
    <cellStyle name="Comma 4 2 2 3 4 4" xfId="9645" xr:uid="{069C9005-6869-43D1-998D-CAEA77C2D8C0}"/>
    <cellStyle name="Comma 4 2 2 3 4 4 2" xfId="22285" xr:uid="{961CAA88-3990-4509-82DE-675182896D34}"/>
    <cellStyle name="Comma 4 2 2 3 4 5" xfId="18074" xr:uid="{CFFA271D-2467-4C4C-9C8B-BE8F62199A10}"/>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DA6D9302-7F70-42AE-A7B1-545C616DC2A1}"/>
    <cellStyle name="Comma 4 2 2 3 5 2 2 3" xfId="29054" xr:uid="{B269F696-4CA5-4756-933A-07E768DA9C47}"/>
    <cellStyle name="Comma 4 2 2 3 5 2 3" xfId="12203" xr:uid="{EC14E4BF-608C-481C-BD8B-C2BEE51276AC}"/>
    <cellStyle name="Comma 4 2 2 3 5 2 3 2" xfId="24843" xr:uid="{0955D1B8-41D1-499F-B873-494641FE3528}"/>
    <cellStyle name="Comma 4 2 2 3 5 2 4" xfId="20632" xr:uid="{E092610B-37CA-454E-BED1-65A46DDE3762}"/>
    <cellStyle name="Comma 4 2 2 3 5 3" xfId="5847" xr:uid="{00000000-0005-0000-0000-000020080000}"/>
    <cellStyle name="Comma 4 2 2 3 5 3 2" xfId="14276" xr:uid="{64FF764E-1853-46D8-9913-E8134289B722}"/>
    <cellStyle name="Comma 4 2 2 3 5 3 3" xfId="26909" xr:uid="{BE500B02-F96F-4C60-AC10-9E479FDB69F9}"/>
    <cellStyle name="Comma 4 2 2 3 5 4" xfId="10058" xr:uid="{0D590903-02BE-44BD-A601-5507DB783857}"/>
    <cellStyle name="Comma 4 2 2 3 5 4 2" xfId="22698" xr:uid="{E917E247-9324-4681-9665-517B0A849720}"/>
    <cellStyle name="Comma 4 2 2 3 5 5" xfId="18487" xr:uid="{64F189F8-729C-4B6A-A09F-9DC9035524F8}"/>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10AA8FF1-ADF9-476B-8EC6-B8996A1FFC2F}"/>
    <cellStyle name="Comma 4 2 2 3 6 2 2 3" xfId="29467" xr:uid="{D58F7657-7019-43F5-AE66-16B602E21025}"/>
    <cellStyle name="Comma 4 2 2 3 6 2 3" xfId="12616" xr:uid="{1FE4477B-A932-49D1-AC34-20CF4EB5CE4F}"/>
    <cellStyle name="Comma 4 2 2 3 6 2 3 2" xfId="25256" xr:uid="{68D7554A-3E2B-4C67-BD57-EBE74B713299}"/>
    <cellStyle name="Comma 4 2 2 3 6 2 4" xfId="21045" xr:uid="{99CC0922-7423-4808-B83C-812519051E63}"/>
    <cellStyle name="Comma 4 2 2 3 6 3" xfId="6260" xr:uid="{00000000-0005-0000-0000-000024080000}"/>
    <cellStyle name="Comma 4 2 2 3 6 3 2" xfId="14689" xr:uid="{4E316065-E596-48B6-848F-F4076EE59637}"/>
    <cellStyle name="Comma 4 2 2 3 6 3 3" xfId="27322" xr:uid="{0C17DAAD-F48C-4C89-A347-13ADEA6EB653}"/>
    <cellStyle name="Comma 4 2 2 3 6 4" xfId="10471" xr:uid="{E5E8BC2D-06FE-48F3-A0DB-9309A03D9608}"/>
    <cellStyle name="Comma 4 2 2 3 6 4 2" xfId="23111" xr:uid="{C1E33555-AF83-4903-9156-91CFFCED564B}"/>
    <cellStyle name="Comma 4 2 2 3 6 5" xfId="18900" xr:uid="{760E2D4A-765D-4CE3-8B07-2C7102B2CF97}"/>
    <cellStyle name="Comma 4 2 2 3 7" xfId="2387" xr:uid="{00000000-0005-0000-0000-000025080000}"/>
    <cellStyle name="Comma 4 2 2 3 7 2" xfId="6673" xr:uid="{00000000-0005-0000-0000-000026080000}"/>
    <cellStyle name="Comma 4 2 2 3 7 2 2" xfId="15102" xr:uid="{5BF944D4-163F-4DFF-B860-EB6E5C9192CE}"/>
    <cellStyle name="Comma 4 2 2 3 7 2 3" xfId="27735" xr:uid="{AB9DC806-0249-43D5-83D6-C408D811F416}"/>
    <cellStyle name="Comma 4 2 2 3 7 3" xfId="10884" xr:uid="{64999A01-75B8-4E0A-B125-40994A73B64C}"/>
    <cellStyle name="Comma 4 2 2 3 7 3 2" xfId="23524" xr:uid="{64E1988E-CD23-4287-BD37-039AAF1B6E40}"/>
    <cellStyle name="Comma 4 2 2 3 7 4" xfId="19313" xr:uid="{FE478A23-313C-44E8-AA82-D724497DEB77}"/>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B7D41814-6B03-4955-A9A3-25A102F1D3EB}"/>
    <cellStyle name="Comma 4 2 2 3 9 2 3" xfId="28052" xr:uid="{E3169830-8410-42F9-AFEF-E73DDC60DEB2}"/>
    <cellStyle name="Comma 4 2 2 3 9 3" xfId="11201" xr:uid="{88CD0938-CFFB-44AB-950F-278BCA27CB49}"/>
    <cellStyle name="Comma 4 2 2 3 9 3 2" xfId="23841" xr:uid="{6B53FA06-C12D-4F71-BE5E-4A8A84D14C95}"/>
    <cellStyle name="Comma 4 2 2 3 9 4" xfId="19630" xr:uid="{0682130C-487F-4FB6-BC2A-DC7B5BDE4FCA}"/>
    <cellStyle name="Comma 4 2 2 4" xfId="134" xr:uid="{00000000-0005-0000-0000-00002A080000}"/>
    <cellStyle name="Comma 4 2 2 4 10" xfId="8820" xr:uid="{44350C1D-5006-4BCC-A245-11F83C26FF03}"/>
    <cellStyle name="Comma 4 2 2 4 10 2" xfId="21460" xr:uid="{46CB37E9-FCFD-4113-AD54-55937BBBB4CF}"/>
    <cellStyle name="Comma 4 2 2 4 11" xfId="17249" xr:uid="{252080F7-6330-4A56-9DF2-3DFC115660EB}"/>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6212A859-9BB0-49D7-B48C-B94389016A11}"/>
    <cellStyle name="Comma 4 2 2 4 2 2 2 3" xfId="28230" xr:uid="{4646974C-1AAA-4B24-B80D-8A4F5490E19E}"/>
    <cellStyle name="Comma 4 2 2 4 2 2 3" xfId="11379" xr:uid="{CE022862-7F01-4CDB-A4FF-7AFE87CFCB8F}"/>
    <cellStyle name="Comma 4 2 2 4 2 2 3 2" xfId="24019" xr:uid="{30F76451-3322-4FBB-96D0-CDD0076D0A45}"/>
    <cellStyle name="Comma 4 2 2 4 2 2 4" xfId="19808" xr:uid="{A361F22E-D2DE-4717-90BA-818E80F5DD1C}"/>
    <cellStyle name="Comma 4 2 2 4 2 3" xfId="5023" xr:uid="{00000000-0005-0000-0000-00002E080000}"/>
    <cellStyle name="Comma 4 2 2 4 2 3 2" xfId="13452" xr:uid="{58A341C4-9D15-46D2-9EC4-74E01C2D6698}"/>
    <cellStyle name="Comma 4 2 2 4 2 3 3" xfId="26085" xr:uid="{A9152A60-2EFC-4F8F-97C3-4EEAA46CAB38}"/>
    <cellStyle name="Comma 4 2 2 4 2 4" xfId="9234" xr:uid="{FC19C1C3-6B76-4D56-8A1C-FDC2C31E9DBB}"/>
    <cellStyle name="Comma 4 2 2 4 2 4 2" xfId="21874" xr:uid="{075A2811-F55B-4001-9751-1DFA8B8955EA}"/>
    <cellStyle name="Comma 4 2 2 4 2 5" xfId="17663" xr:uid="{6C8717A3-6E8F-4734-86D7-5B64C6C7F61F}"/>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A61A1A49-05B3-4511-ACF0-425823A6CA83}"/>
    <cellStyle name="Comma 4 2 2 4 3 2 2 3" xfId="28643" xr:uid="{A94FBBD3-78D7-4D30-8396-C090E1B209D8}"/>
    <cellStyle name="Comma 4 2 2 4 3 2 3" xfId="11792" xr:uid="{7F323BDB-C1B0-4447-81B4-4C8D4048B9B2}"/>
    <cellStyle name="Comma 4 2 2 4 3 2 3 2" xfId="24432" xr:uid="{A144C79B-CD46-4D55-BD0A-CD9FCF721756}"/>
    <cellStyle name="Comma 4 2 2 4 3 2 4" xfId="20221" xr:uid="{32D8CC5D-7055-4C91-9018-C46E3C6C611B}"/>
    <cellStyle name="Comma 4 2 2 4 3 3" xfId="5436" xr:uid="{00000000-0005-0000-0000-000032080000}"/>
    <cellStyle name="Comma 4 2 2 4 3 3 2" xfId="13865" xr:uid="{7A2C5EF1-6D30-4493-BB15-73F614C2EE5D}"/>
    <cellStyle name="Comma 4 2 2 4 3 3 3" xfId="26498" xr:uid="{D875C811-A0E9-428A-BC61-F1E5E20336FD}"/>
    <cellStyle name="Comma 4 2 2 4 3 4" xfId="9647" xr:uid="{E60B70BB-B961-4C47-97C9-E582934FA86B}"/>
    <cellStyle name="Comma 4 2 2 4 3 4 2" xfId="22287" xr:uid="{ECF992D7-D59E-4024-BC56-48842087BC13}"/>
    <cellStyle name="Comma 4 2 2 4 3 5" xfId="18076" xr:uid="{EF11A3A5-7C0F-4331-B7A0-36720A827EF4}"/>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D21595CD-42C0-48DB-B655-445300CC7A3C}"/>
    <cellStyle name="Comma 4 2 2 4 4 2 2 3" xfId="29056" xr:uid="{50FAF7A0-CAA0-4CF7-A966-90DAB95B9ADD}"/>
    <cellStyle name="Comma 4 2 2 4 4 2 3" xfId="12205" xr:uid="{5FFB2910-D0EB-491C-AE5C-BAB701744B1A}"/>
    <cellStyle name="Comma 4 2 2 4 4 2 3 2" xfId="24845" xr:uid="{E4CDED93-48F4-4D5C-A225-11EF8D528C02}"/>
    <cellStyle name="Comma 4 2 2 4 4 2 4" xfId="20634" xr:uid="{9E560C7C-E7D7-4FAD-8DEE-B67EFF2F918B}"/>
    <cellStyle name="Comma 4 2 2 4 4 3" xfId="5849" xr:uid="{00000000-0005-0000-0000-000036080000}"/>
    <cellStyle name="Comma 4 2 2 4 4 3 2" xfId="14278" xr:uid="{35EF2B3F-880F-4096-8C3E-86AF9AB79812}"/>
    <cellStyle name="Comma 4 2 2 4 4 3 3" xfId="26911" xr:uid="{725788F5-90B7-4666-9566-0B5CCEBF2B6A}"/>
    <cellStyle name="Comma 4 2 2 4 4 4" xfId="10060" xr:uid="{D44AF184-13E9-4526-904B-843F1D8C9A09}"/>
    <cellStyle name="Comma 4 2 2 4 4 4 2" xfId="22700" xr:uid="{1ACD5742-D5C7-4977-8633-904D1B136D4F}"/>
    <cellStyle name="Comma 4 2 2 4 4 5" xfId="18489" xr:uid="{724E8E93-F441-4AE8-ABE2-31F044A906CC}"/>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C4B54401-4885-46D2-BB5F-70A81E95E31D}"/>
    <cellStyle name="Comma 4 2 2 4 5 2 2 3" xfId="29469" xr:uid="{8AC20650-3BE2-4F74-833F-62C2F4C5CBD1}"/>
    <cellStyle name="Comma 4 2 2 4 5 2 3" xfId="12618" xr:uid="{24DA43C1-6DF1-469E-AB9A-EF1522C8D3CC}"/>
    <cellStyle name="Comma 4 2 2 4 5 2 3 2" xfId="25258" xr:uid="{49B7B5A7-692C-4D4F-9DD0-0F1F687B7A51}"/>
    <cellStyle name="Comma 4 2 2 4 5 2 4" xfId="21047" xr:uid="{A6FF10CC-A732-4AD0-B80A-E4A2EB4F3F92}"/>
    <cellStyle name="Comma 4 2 2 4 5 3" xfId="6262" xr:uid="{00000000-0005-0000-0000-00003A080000}"/>
    <cellStyle name="Comma 4 2 2 4 5 3 2" xfId="14691" xr:uid="{484DFEF1-D6DF-4544-94D1-2BD8551A0013}"/>
    <cellStyle name="Comma 4 2 2 4 5 3 3" xfId="27324" xr:uid="{5809EB47-A76C-44C1-B98B-20675FF81D2F}"/>
    <cellStyle name="Comma 4 2 2 4 5 4" xfId="10473" xr:uid="{A922EBD4-107F-4E33-A345-9B2089368B5D}"/>
    <cellStyle name="Comma 4 2 2 4 5 4 2" xfId="23113" xr:uid="{81142D71-3339-4714-8767-E315DCCB0505}"/>
    <cellStyle name="Comma 4 2 2 4 5 5" xfId="18902" xr:uid="{F85762D4-9A38-48C6-AE12-5D62BCF1790D}"/>
    <cellStyle name="Comma 4 2 2 4 6" xfId="2389" xr:uid="{00000000-0005-0000-0000-00003B080000}"/>
    <cellStyle name="Comma 4 2 2 4 6 2" xfId="6675" xr:uid="{00000000-0005-0000-0000-00003C080000}"/>
    <cellStyle name="Comma 4 2 2 4 6 2 2" xfId="15104" xr:uid="{FD839FBF-D0FF-4D21-80A5-5EBC4611FC36}"/>
    <cellStyle name="Comma 4 2 2 4 6 2 3" xfId="27737" xr:uid="{5165F464-C0FC-421C-A5CD-96AECC270211}"/>
    <cellStyle name="Comma 4 2 2 4 6 3" xfId="10886" xr:uid="{33DD0016-F88A-4B7F-96CE-D72D3A7F5823}"/>
    <cellStyle name="Comma 4 2 2 4 6 3 2" xfId="23526" xr:uid="{4A7D7AC9-2E54-402C-B08F-315E5F5C106F}"/>
    <cellStyle name="Comma 4 2 2 4 6 4" xfId="19315" xr:uid="{5347D5E4-9D07-4675-8747-F2978E742A61}"/>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DFFED20D-9D17-477C-82C1-F1276D9C368A}"/>
    <cellStyle name="Comma 4 2 2 4 8 2 3" xfId="28054" xr:uid="{E39C36D1-BF1D-432D-9B3C-610AA4364F0D}"/>
    <cellStyle name="Comma 4 2 2 4 8 3" xfId="11203" xr:uid="{4D869A86-5FB0-4E3D-8BD2-29F776370DA9}"/>
    <cellStyle name="Comma 4 2 2 4 8 3 2" xfId="23843" xr:uid="{5D4FD422-7588-4DEE-A66E-7E98772BC948}"/>
    <cellStyle name="Comma 4 2 2 4 8 4" xfId="19632" xr:uid="{3297D1EB-D148-4A7C-A2C7-E504D341889E}"/>
    <cellStyle name="Comma 4 2 2 4 9" xfId="4609" xr:uid="{00000000-0005-0000-0000-000040080000}"/>
    <cellStyle name="Comma 4 2 2 4 9 2" xfId="13038" xr:uid="{CA9E364D-D959-4559-B403-C9E868CA3822}"/>
    <cellStyle name="Comma 4 2 2 4 9 3" xfId="25671" xr:uid="{F69D073E-369E-49B2-A8D8-9798969DD884}"/>
    <cellStyle name="Comma 4 2 2 5" xfId="135" xr:uid="{00000000-0005-0000-0000-000041080000}"/>
    <cellStyle name="Comma 4 2 2 5 10" xfId="8821" xr:uid="{558AB87E-68B7-4497-9A51-8EC08A0A551A}"/>
    <cellStyle name="Comma 4 2 2 5 10 2" xfId="21461" xr:uid="{45F326CB-F3F6-4256-A270-585B10BB7EEF}"/>
    <cellStyle name="Comma 4 2 2 5 11" xfId="17250" xr:uid="{A6BEC285-6A52-4137-9D88-ECCB93587CE1}"/>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97D3676D-A01A-4B9C-BBBE-8E4B8A5B9354}"/>
    <cellStyle name="Comma 4 2 2 5 2 2 2 3" xfId="28231" xr:uid="{41D9B06F-7D50-4480-A866-CA2B04BA5B27}"/>
    <cellStyle name="Comma 4 2 2 5 2 2 3" xfId="11380" xr:uid="{DE4A58FD-C397-4970-BC13-7B081ADFC7F4}"/>
    <cellStyle name="Comma 4 2 2 5 2 2 3 2" xfId="24020" xr:uid="{C7D1490C-2F83-4AF2-8566-F5DED3AEA76D}"/>
    <cellStyle name="Comma 4 2 2 5 2 2 4" xfId="19809" xr:uid="{0FEA05CC-34C0-4F92-BE41-F8BF0E5DC731}"/>
    <cellStyle name="Comma 4 2 2 5 2 3" xfId="5024" xr:uid="{00000000-0005-0000-0000-000045080000}"/>
    <cellStyle name="Comma 4 2 2 5 2 3 2" xfId="13453" xr:uid="{29598FEA-22CE-4467-8540-406B1B95C2CA}"/>
    <cellStyle name="Comma 4 2 2 5 2 3 3" xfId="26086" xr:uid="{51E31414-4C78-4487-918B-5848855185DB}"/>
    <cellStyle name="Comma 4 2 2 5 2 4" xfId="9235" xr:uid="{3A1CB5A1-B07E-48B1-96D8-9051303FEC54}"/>
    <cellStyle name="Comma 4 2 2 5 2 4 2" xfId="21875" xr:uid="{3E10D9C4-B3D7-43D3-8D03-C01B2D708FB1}"/>
    <cellStyle name="Comma 4 2 2 5 2 5" xfId="17664" xr:uid="{3E7C9B1C-86BC-4AC4-A73D-5C24C17C2306}"/>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5EBAAA5B-183F-4631-9EEB-024F1E99104A}"/>
    <cellStyle name="Comma 4 2 2 5 3 2 2 3" xfId="28644" xr:uid="{883BE167-79E4-4619-8E5B-B9066B7FBF09}"/>
    <cellStyle name="Comma 4 2 2 5 3 2 3" xfId="11793" xr:uid="{E190DA36-B156-4F5C-B157-8A80E547BBFA}"/>
    <cellStyle name="Comma 4 2 2 5 3 2 3 2" xfId="24433" xr:uid="{E358329C-8847-4B7C-B2FD-BCC31979783E}"/>
    <cellStyle name="Comma 4 2 2 5 3 2 4" xfId="20222" xr:uid="{2B7F4302-4E70-4F9D-9758-1D2FC416EBC6}"/>
    <cellStyle name="Comma 4 2 2 5 3 3" xfId="5437" xr:uid="{00000000-0005-0000-0000-000049080000}"/>
    <cellStyle name="Comma 4 2 2 5 3 3 2" xfId="13866" xr:uid="{659E09FC-356B-43E7-89D9-F3A4A7C624E4}"/>
    <cellStyle name="Comma 4 2 2 5 3 3 3" xfId="26499" xr:uid="{68071976-2122-4C6F-AD6A-B76CBFF4EBA1}"/>
    <cellStyle name="Comma 4 2 2 5 3 4" xfId="9648" xr:uid="{D4EF0280-3007-4921-AC34-D36210CA6317}"/>
    <cellStyle name="Comma 4 2 2 5 3 4 2" xfId="22288" xr:uid="{A821937D-88EF-4A15-B162-192F1CF546C5}"/>
    <cellStyle name="Comma 4 2 2 5 3 5" xfId="18077" xr:uid="{041B5F32-117B-4E67-AC5D-98CFCB95C2C9}"/>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E17A9EF6-92FB-4226-B8DD-1679097A09AF}"/>
    <cellStyle name="Comma 4 2 2 5 4 2 2 3" xfId="29057" xr:uid="{0A1A26E5-8FE1-4611-9D6C-DA0936D9C049}"/>
    <cellStyle name="Comma 4 2 2 5 4 2 3" xfId="12206" xr:uid="{D61B855C-4DF2-44F5-8B18-F9C51C4F7016}"/>
    <cellStyle name="Comma 4 2 2 5 4 2 3 2" xfId="24846" xr:uid="{3581EC81-60A1-4580-9E0A-81D23FDCB0AC}"/>
    <cellStyle name="Comma 4 2 2 5 4 2 4" xfId="20635" xr:uid="{D8BE0C7B-AAD3-43E7-8D04-FA457AE21693}"/>
    <cellStyle name="Comma 4 2 2 5 4 3" xfId="5850" xr:uid="{00000000-0005-0000-0000-00004D080000}"/>
    <cellStyle name="Comma 4 2 2 5 4 3 2" xfId="14279" xr:uid="{99BA30FA-4286-484D-9A20-EF5C01E1F309}"/>
    <cellStyle name="Comma 4 2 2 5 4 3 3" xfId="26912" xr:uid="{C8B94305-BE50-471D-91F1-157C721CAACD}"/>
    <cellStyle name="Comma 4 2 2 5 4 4" xfId="10061" xr:uid="{7AC801EF-C1F9-477E-9823-90042DDCAFB3}"/>
    <cellStyle name="Comma 4 2 2 5 4 4 2" xfId="22701" xr:uid="{F254A660-C4A2-48DD-8589-B3958731266D}"/>
    <cellStyle name="Comma 4 2 2 5 4 5" xfId="18490" xr:uid="{5F6B4F1C-A7D2-4EFB-9629-B78CCAB62AAF}"/>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BFD27255-B49D-4C2F-960B-9F16C12B9978}"/>
    <cellStyle name="Comma 4 2 2 5 5 2 2 3" xfId="29470" xr:uid="{10734FF3-1C39-4B57-94AA-B1245D49449A}"/>
    <cellStyle name="Comma 4 2 2 5 5 2 3" xfId="12619" xr:uid="{01EA2CA6-C90B-45C2-9792-C8102A2EAE42}"/>
    <cellStyle name="Comma 4 2 2 5 5 2 3 2" xfId="25259" xr:uid="{7B4185E9-5262-4ABE-BCD9-4ABDE6AC7EF3}"/>
    <cellStyle name="Comma 4 2 2 5 5 2 4" xfId="21048" xr:uid="{49709DA6-54F5-4062-8D7C-4BA17422C321}"/>
    <cellStyle name="Comma 4 2 2 5 5 3" xfId="6263" xr:uid="{00000000-0005-0000-0000-000051080000}"/>
    <cellStyle name="Comma 4 2 2 5 5 3 2" xfId="14692" xr:uid="{72F7AB9B-23FB-43DD-8B17-8FB53859BCAB}"/>
    <cellStyle name="Comma 4 2 2 5 5 3 3" xfId="27325" xr:uid="{49979259-824F-42DB-A3BE-BACDFFECAE5D}"/>
    <cellStyle name="Comma 4 2 2 5 5 4" xfId="10474" xr:uid="{8F40343C-71B3-43B9-ACFA-797297278C14}"/>
    <cellStyle name="Comma 4 2 2 5 5 4 2" xfId="23114" xr:uid="{9A6148E4-E2C0-43C1-BD08-EEABE7464D11}"/>
    <cellStyle name="Comma 4 2 2 5 5 5" xfId="18903" xr:uid="{7FAD3A2E-7826-4810-9B18-8081CA0A836B}"/>
    <cellStyle name="Comma 4 2 2 5 6" xfId="2390" xr:uid="{00000000-0005-0000-0000-000052080000}"/>
    <cellStyle name="Comma 4 2 2 5 6 2" xfId="6676" xr:uid="{00000000-0005-0000-0000-000053080000}"/>
    <cellStyle name="Comma 4 2 2 5 6 2 2" xfId="15105" xr:uid="{8FE67BC1-EC44-4D4C-AC8B-5606A74F942D}"/>
    <cellStyle name="Comma 4 2 2 5 6 2 3" xfId="27738" xr:uid="{9D12DC9F-B6A1-4646-9AC4-059E5303A065}"/>
    <cellStyle name="Comma 4 2 2 5 6 3" xfId="10887" xr:uid="{CE32BE40-096D-46D4-8A71-B777495A66D8}"/>
    <cellStyle name="Comma 4 2 2 5 6 3 2" xfId="23527" xr:uid="{89CA4844-F16B-4485-A705-2863412B296E}"/>
    <cellStyle name="Comma 4 2 2 5 6 4" xfId="19316" xr:uid="{D86482BF-8567-4C52-B60E-79296E6447E6}"/>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F1A72FCB-7466-4526-81C7-A909EE888EF7}"/>
    <cellStyle name="Comma 4 2 2 5 8 2 3" xfId="28055" xr:uid="{6BFC1E17-0AB5-46F8-96E7-28D2C75A16AA}"/>
    <cellStyle name="Comma 4 2 2 5 8 3" xfId="11204" xr:uid="{C98F5E86-BB4F-4075-B61F-1C026EDD1F60}"/>
    <cellStyle name="Comma 4 2 2 5 8 3 2" xfId="23844" xr:uid="{4029776D-4C16-4ABA-A455-04BB3B9BA0BD}"/>
    <cellStyle name="Comma 4 2 2 5 8 4" xfId="19633" xr:uid="{19DBD4CC-17FA-4235-A66F-FC76F15FA548}"/>
    <cellStyle name="Comma 4 2 2 5 9" xfId="4610" xr:uid="{00000000-0005-0000-0000-000057080000}"/>
    <cellStyle name="Comma 4 2 2 5 9 2" xfId="13039" xr:uid="{B8D6FFB7-B099-4068-94CE-A044D2F07641}"/>
    <cellStyle name="Comma 4 2 2 5 9 3" xfId="25672" xr:uid="{FEA36AA1-EDE0-4998-8D27-E8063E05F931}"/>
    <cellStyle name="Comma 4 2 3" xfId="136" xr:uid="{00000000-0005-0000-0000-000058080000}"/>
    <cellStyle name="Comma 4 2 3 10" xfId="2769" xr:uid="{00000000-0005-0000-0000-000059080000}"/>
    <cellStyle name="Comma 4 2 3 10 2" xfId="6994" xr:uid="{00000000-0005-0000-0000-00005A080000}"/>
    <cellStyle name="Comma 4 2 3 10 2 2" xfId="15423" xr:uid="{6049CBAE-301F-4358-A2EB-4D871DBEE915}"/>
    <cellStyle name="Comma 4 2 3 10 2 3" xfId="28056" xr:uid="{42EB9477-2410-45FE-A4AB-5598AA69FBDA}"/>
    <cellStyle name="Comma 4 2 3 10 3" xfId="11205" xr:uid="{7E3C3F8E-61A0-4673-8857-1D759D4D42FA}"/>
    <cellStyle name="Comma 4 2 3 10 3 2" xfId="23845" xr:uid="{5A94BDF5-4A3C-48B7-8067-FA1D7EAA528A}"/>
    <cellStyle name="Comma 4 2 3 10 4" xfId="19634" xr:uid="{DA0F8D0D-5E48-49D3-A80F-5F4F15875E87}"/>
    <cellStyle name="Comma 4 2 3 11" xfId="4611" xr:uid="{00000000-0005-0000-0000-00005B080000}"/>
    <cellStyle name="Comma 4 2 3 11 2" xfId="13040" xr:uid="{2AE8BEC3-5CD3-4AFD-8CCF-2549DDC44400}"/>
    <cellStyle name="Comma 4 2 3 11 3" xfId="25673" xr:uid="{568B0AAD-0E80-4772-A92F-3E7A0AD89652}"/>
    <cellStyle name="Comma 4 2 3 12" xfId="8822" xr:uid="{2A66D6C1-74DD-4207-98ED-00A3F41B2944}"/>
    <cellStyle name="Comma 4 2 3 12 2" xfId="21462" xr:uid="{12C93AA3-DD70-4C5E-88A4-9FC1BF858FF8}"/>
    <cellStyle name="Comma 4 2 3 13" xfId="17251" xr:uid="{B691EAB4-494A-4DD1-AB24-5E60108A5497}"/>
    <cellStyle name="Comma 4 2 3 2" xfId="137" xr:uid="{00000000-0005-0000-0000-00005C080000}"/>
    <cellStyle name="Comma 4 2 3 2 10" xfId="4612" xr:uid="{00000000-0005-0000-0000-00005D080000}"/>
    <cellStyle name="Comma 4 2 3 2 10 2" xfId="13041" xr:uid="{01C8650D-B4DB-46FA-97EA-D9F26AEA1A90}"/>
    <cellStyle name="Comma 4 2 3 2 10 3" xfId="25674" xr:uid="{A7DEEB75-E552-4044-B8D3-90A956143549}"/>
    <cellStyle name="Comma 4 2 3 2 11" xfId="8823" xr:uid="{8021D2D4-7D3E-4B4D-8414-58CE27937DB2}"/>
    <cellStyle name="Comma 4 2 3 2 11 2" xfId="21463" xr:uid="{5D14BAEE-82DB-43B0-B498-70EA84AE3115}"/>
    <cellStyle name="Comma 4 2 3 2 12" xfId="17252" xr:uid="{877A2158-898C-452C-BF4B-D911A7892FB7}"/>
    <cellStyle name="Comma 4 2 3 2 2" xfId="138" xr:uid="{00000000-0005-0000-0000-00005E080000}"/>
    <cellStyle name="Comma 4 2 3 2 2 10" xfId="8824" xr:uid="{7D3568BA-E86A-46D5-91FA-F599C4394FEF}"/>
    <cellStyle name="Comma 4 2 3 2 2 10 2" xfId="21464" xr:uid="{D0A6D40D-8254-4D9C-B24E-497825401EC3}"/>
    <cellStyle name="Comma 4 2 3 2 2 11" xfId="17253" xr:uid="{62420DD2-2527-48E9-BD2E-232621EB64DB}"/>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CAF6F4F3-F52F-46EF-A843-4A25CC88F7E9}"/>
    <cellStyle name="Comma 4 2 3 2 2 2 2 2 3" xfId="28234" xr:uid="{7205481E-0AC0-4A3A-B6A2-000E4984F9C2}"/>
    <cellStyle name="Comma 4 2 3 2 2 2 2 3" xfId="11383" xr:uid="{2F725F24-3A0E-4BED-8628-1BBCE008A066}"/>
    <cellStyle name="Comma 4 2 3 2 2 2 2 3 2" xfId="24023" xr:uid="{B01A674C-DC56-4352-BE22-42FA490AF516}"/>
    <cellStyle name="Comma 4 2 3 2 2 2 2 4" xfId="19812" xr:uid="{C137A0E7-DF1D-4AEA-BCA5-22571FE3FDE0}"/>
    <cellStyle name="Comma 4 2 3 2 2 2 3" xfId="5027" xr:uid="{00000000-0005-0000-0000-000062080000}"/>
    <cellStyle name="Comma 4 2 3 2 2 2 3 2" xfId="13456" xr:uid="{9623F4C9-0680-4308-BDB6-0E3F87D1296E}"/>
    <cellStyle name="Comma 4 2 3 2 2 2 3 3" xfId="26089" xr:uid="{4ECEFC0F-5A59-4E8B-8017-A4CE29448E3C}"/>
    <cellStyle name="Comma 4 2 3 2 2 2 4" xfId="9238" xr:uid="{7AC24BC0-AF84-4BF8-8E80-020D89DCA2FF}"/>
    <cellStyle name="Comma 4 2 3 2 2 2 4 2" xfId="21878" xr:uid="{D49ACED4-C77E-4B4F-BFDC-87A6CC27AAFC}"/>
    <cellStyle name="Comma 4 2 3 2 2 2 5" xfId="17667" xr:uid="{24D1EC22-4D67-4954-921C-6D8BFE5540F4}"/>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7A440C19-08FC-458B-98FF-7A4D98266972}"/>
    <cellStyle name="Comma 4 2 3 2 2 3 2 2 3" xfId="28647" xr:uid="{FC54383D-2A61-49C0-B9E4-07141043427B}"/>
    <cellStyle name="Comma 4 2 3 2 2 3 2 3" xfId="11796" xr:uid="{C4219C42-16F3-4EA9-A8FA-4CA9B036E3EB}"/>
    <cellStyle name="Comma 4 2 3 2 2 3 2 3 2" xfId="24436" xr:uid="{AA14AC70-446B-4334-B5AB-EA9AB6A66055}"/>
    <cellStyle name="Comma 4 2 3 2 2 3 2 4" xfId="20225" xr:uid="{06D43D00-B77A-48E5-BC86-148B49AF36DD}"/>
    <cellStyle name="Comma 4 2 3 2 2 3 3" xfId="5440" xr:uid="{00000000-0005-0000-0000-000066080000}"/>
    <cellStyle name="Comma 4 2 3 2 2 3 3 2" xfId="13869" xr:uid="{5373C116-CCD4-4E8B-9631-EBDA2E1AEB39}"/>
    <cellStyle name="Comma 4 2 3 2 2 3 3 3" xfId="26502" xr:uid="{D7823DF9-13DF-43E7-906D-99694C792C35}"/>
    <cellStyle name="Comma 4 2 3 2 2 3 4" xfId="9651" xr:uid="{BA8D4C5A-245A-49BB-BCCD-B0F8B85368CD}"/>
    <cellStyle name="Comma 4 2 3 2 2 3 4 2" xfId="22291" xr:uid="{246AF360-5636-4FB4-B43E-1D182CCFF2EE}"/>
    <cellStyle name="Comma 4 2 3 2 2 3 5" xfId="18080" xr:uid="{5BB7AFDD-133E-404B-8943-76C9297DAF20}"/>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3A533D2E-E578-4F44-B82C-DFC56C525168}"/>
    <cellStyle name="Comma 4 2 3 2 2 4 2 2 3" xfId="29060" xr:uid="{7E731351-C282-4F48-AD8A-3E205722BD94}"/>
    <cellStyle name="Comma 4 2 3 2 2 4 2 3" xfId="12209" xr:uid="{DB0A4AFD-8330-4746-8417-724679808432}"/>
    <cellStyle name="Comma 4 2 3 2 2 4 2 3 2" xfId="24849" xr:uid="{0707B7BF-9223-4435-8361-C8BE18EF5295}"/>
    <cellStyle name="Comma 4 2 3 2 2 4 2 4" xfId="20638" xr:uid="{AEBA9040-8D45-4623-9086-80CE1A57D336}"/>
    <cellStyle name="Comma 4 2 3 2 2 4 3" xfId="5853" xr:uid="{00000000-0005-0000-0000-00006A080000}"/>
    <cellStyle name="Comma 4 2 3 2 2 4 3 2" xfId="14282" xr:uid="{F57D70D4-308E-4852-AED7-DA449E009D3A}"/>
    <cellStyle name="Comma 4 2 3 2 2 4 3 3" xfId="26915" xr:uid="{E93FA392-823A-40BD-98A2-07ED12A75B8F}"/>
    <cellStyle name="Comma 4 2 3 2 2 4 4" xfId="10064" xr:uid="{7E53DAA4-6DAE-4968-951A-EACAD169A950}"/>
    <cellStyle name="Comma 4 2 3 2 2 4 4 2" xfId="22704" xr:uid="{DDB76B48-0A1A-46B6-B2F6-7766A142AD32}"/>
    <cellStyle name="Comma 4 2 3 2 2 4 5" xfId="18493" xr:uid="{AE07CA37-28FD-4382-BC0B-D837117547DF}"/>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EE595CC7-5A05-4269-AB44-9F3507B7EC59}"/>
    <cellStyle name="Comma 4 2 3 2 2 5 2 2 3" xfId="29473" xr:uid="{A336682D-8448-407B-8192-48065B972F12}"/>
    <cellStyle name="Comma 4 2 3 2 2 5 2 3" xfId="12622" xr:uid="{2D9FA289-9088-4CE2-BCE3-C1173E697BFE}"/>
    <cellStyle name="Comma 4 2 3 2 2 5 2 3 2" xfId="25262" xr:uid="{40451B7C-0B72-4E70-8ED8-4F5F10C5D34B}"/>
    <cellStyle name="Comma 4 2 3 2 2 5 2 4" xfId="21051" xr:uid="{8D5F977C-3B0C-4F48-B78F-1D469677DDF7}"/>
    <cellStyle name="Comma 4 2 3 2 2 5 3" xfId="6266" xr:uid="{00000000-0005-0000-0000-00006E080000}"/>
    <cellStyle name="Comma 4 2 3 2 2 5 3 2" xfId="14695" xr:uid="{65DA073D-06E0-4A11-8288-31F21E1CF8C1}"/>
    <cellStyle name="Comma 4 2 3 2 2 5 3 3" xfId="27328" xr:uid="{45854859-714A-466D-8352-4921F99E9D8C}"/>
    <cellStyle name="Comma 4 2 3 2 2 5 4" xfId="10477" xr:uid="{C5BF25E1-191B-45A2-91B4-DB49A57476E3}"/>
    <cellStyle name="Comma 4 2 3 2 2 5 4 2" xfId="23117" xr:uid="{FB50FE2C-32B2-4898-BF6C-53E52B4B2698}"/>
    <cellStyle name="Comma 4 2 3 2 2 5 5" xfId="18906" xr:uid="{B48855B3-FEF6-4A1C-8A4C-0A657E76E90A}"/>
    <cellStyle name="Comma 4 2 3 2 2 6" xfId="2393" xr:uid="{00000000-0005-0000-0000-00006F080000}"/>
    <cellStyle name="Comma 4 2 3 2 2 6 2" xfId="6679" xr:uid="{00000000-0005-0000-0000-000070080000}"/>
    <cellStyle name="Comma 4 2 3 2 2 6 2 2" xfId="15108" xr:uid="{66DDABB1-9ADF-4326-A8C6-CD95483F6720}"/>
    <cellStyle name="Comma 4 2 3 2 2 6 2 3" xfId="27741" xr:uid="{C26B7523-FE99-4439-A6F6-A232A3E99E65}"/>
    <cellStyle name="Comma 4 2 3 2 2 6 3" xfId="10890" xr:uid="{231E877E-3D3B-4816-90DB-693B3820FC88}"/>
    <cellStyle name="Comma 4 2 3 2 2 6 3 2" xfId="23530" xr:uid="{974C2A45-2EFF-4DAF-A4DE-8D5858865AB9}"/>
    <cellStyle name="Comma 4 2 3 2 2 6 4" xfId="19319" xr:uid="{974DEB02-6D06-4072-9706-C7B51C7B824E}"/>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7C313779-0C5E-4B34-8A1A-4057DBBD8E01}"/>
    <cellStyle name="Comma 4 2 3 2 2 8 2 3" xfId="28058" xr:uid="{BB42A8D5-3433-458D-9539-953EA2208A00}"/>
    <cellStyle name="Comma 4 2 3 2 2 8 3" xfId="11207" xr:uid="{713185CD-5DCF-4FB6-A8B3-77D31B12A54D}"/>
    <cellStyle name="Comma 4 2 3 2 2 8 3 2" xfId="23847" xr:uid="{8059271E-28B6-42C7-AAE3-277BB5B4A68E}"/>
    <cellStyle name="Comma 4 2 3 2 2 8 4" xfId="19636" xr:uid="{C68C9A85-AB05-4D07-88C8-3ABE8F95CF3F}"/>
    <cellStyle name="Comma 4 2 3 2 2 9" xfId="4613" xr:uid="{00000000-0005-0000-0000-000074080000}"/>
    <cellStyle name="Comma 4 2 3 2 2 9 2" xfId="13042" xr:uid="{5D85AB8A-C8FC-452F-8FF3-AD4D9039F4BF}"/>
    <cellStyle name="Comma 4 2 3 2 2 9 3" xfId="25675" xr:uid="{BE9C0332-A59B-468C-8845-E7EAD5823F2A}"/>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09094012-7899-4AED-B7F9-BE6DEEEF160A}"/>
    <cellStyle name="Comma 4 2 3 2 3 2 2 3" xfId="28233" xr:uid="{E409BAB5-E9EC-447D-B94E-36BE0133DE6D}"/>
    <cellStyle name="Comma 4 2 3 2 3 2 3" xfId="11382" xr:uid="{61109D32-92DA-4E8E-A50D-13EF19A505AD}"/>
    <cellStyle name="Comma 4 2 3 2 3 2 3 2" xfId="24022" xr:uid="{9E037198-43A4-4AF5-8A07-3D89C900A459}"/>
    <cellStyle name="Comma 4 2 3 2 3 2 4" xfId="19811" xr:uid="{89910D05-6418-4728-99DD-2334E2AB3591}"/>
    <cellStyle name="Comma 4 2 3 2 3 3" xfId="5026" xr:uid="{00000000-0005-0000-0000-000078080000}"/>
    <cellStyle name="Comma 4 2 3 2 3 3 2" xfId="13455" xr:uid="{A32934C5-B7B8-42C3-B97D-DBBFD99177D6}"/>
    <cellStyle name="Comma 4 2 3 2 3 3 3" xfId="26088" xr:uid="{D33CE763-DDC8-4765-AFFA-C3275C64E744}"/>
    <cellStyle name="Comma 4 2 3 2 3 4" xfId="9237" xr:uid="{D14E842D-DD6D-4519-B3A8-4B55D5C23B64}"/>
    <cellStyle name="Comma 4 2 3 2 3 4 2" xfId="21877" xr:uid="{A82FB33A-DAF5-48D7-A49A-943E533331E2}"/>
    <cellStyle name="Comma 4 2 3 2 3 5" xfId="17666" xr:uid="{6588C5DB-4377-407B-95A0-557DD912BD4D}"/>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05060BCD-5EEF-4DEF-89A1-56AA89DF45CC}"/>
    <cellStyle name="Comma 4 2 3 2 4 2 2 3" xfId="28646" xr:uid="{1D157428-F822-4379-936B-7F85D5263DF6}"/>
    <cellStyle name="Comma 4 2 3 2 4 2 3" xfId="11795" xr:uid="{EBDC5B6C-74B7-4DF2-8454-F36C7A0B4C0C}"/>
    <cellStyle name="Comma 4 2 3 2 4 2 3 2" xfId="24435" xr:uid="{659D0956-FA98-435E-A097-7D17BE7DA816}"/>
    <cellStyle name="Comma 4 2 3 2 4 2 4" xfId="20224" xr:uid="{B4E360B0-F8C9-4D5A-B394-0AA49D85F83E}"/>
    <cellStyle name="Comma 4 2 3 2 4 3" xfId="5439" xr:uid="{00000000-0005-0000-0000-00007C080000}"/>
    <cellStyle name="Comma 4 2 3 2 4 3 2" xfId="13868" xr:uid="{1D2A4AEE-D40D-47D4-A8CB-B29F241599AD}"/>
    <cellStyle name="Comma 4 2 3 2 4 3 3" xfId="26501" xr:uid="{BD7CCE16-8CC2-4E2A-A262-B288B4B87C67}"/>
    <cellStyle name="Comma 4 2 3 2 4 4" xfId="9650" xr:uid="{2AFD6CA0-CA01-4A77-9316-6F51BB300C1C}"/>
    <cellStyle name="Comma 4 2 3 2 4 4 2" xfId="22290" xr:uid="{9D339D3B-B745-48ED-8CE3-6427EE4BE74A}"/>
    <cellStyle name="Comma 4 2 3 2 4 5" xfId="18079" xr:uid="{838E10BA-348D-4F38-8265-50F8D2488C24}"/>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6051F616-69F5-4515-B6D7-9012EE6592E8}"/>
    <cellStyle name="Comma 4 2 3 2 5 2 2 3" xfId="29059" xr:uid="{573D828D-5DDE-4535-B96F-405633DB7994}"/>
    <cellStyle name="Comma 4 2 3 2 5 2 3" xfId="12208" xr:uid="{7C18D456-009E-4726-A3BA-9660EDB06CE8}"/>
    <cellStyle name="Comma 4 2 3 2 5 2 3 2" xfId="24848" xr:uid="{1589EC02-BB73-4889-B29E-52CBF41A2FAE}"/>
    <cellStyle name="Comma 4 2 3 2 5 2 4" xfId="20637" xr:uid="{776D4544-7393-4656-BED9-18AF971108D8}"/>
    <cellStyle name="Comma 4 2 3 2 5 3" xfId="5852" xr:uid="{00000000-0005-0000-0000-000080080000}"/>
    <cellStyle name="Comma 4 2 3 2 5 3 2" xfId="14281" xr:uid="{61153110-47B8-4FA6-B9C5-21894C8E10A1}"/>
    <cellStyle name="Comma 4 2 3 2 5 3 3" xfId="26914" xr:uid="{0395A3EB-61C1-490E-B532-77FE416AD1A7}"/>
    <cellStyle name="Comma 4 2 3 2 5 4" xfId="10063" xr:uid="{8BC7BD84-C9B6-419B-B184-0B77876DB738}"/>
    <cellStyle name="Comma 4 2 3 2 5 4 2" xfId="22703" xr:uid="{B2E54C91-B131-4492-B0B3-ACDEF5FCA5A4}"/>
    <cellStyle name="Comma 4 2 3 2 5 5" xfId="18492" xr:uid="{0307A47C-C7BF-4920-A5E7-AFA14BAA5877}"/>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1A4B3ABB-6161-4779-8F65-770630D7A314}"/>
    <cellStyle name="Comma 4 2 3 2 6 2 2 3" xfId="29472" xr:uid="{B83D3764-26D2-43A6-AF4A-0ECC48DFAFC0}"/>
    <cellStyle name="Comma 4 2 3 2 6 2 3" xfId="12621" xr:uid="{48D92CE2-681E-441C-8512-78F12C8A9AB3}"/>
    <cellStyle name="Comma 4 2 3 2 6 2 3 2" xfId="25261" xr:uid="{974CCE61-7064-4331-AF0B-E5024E2EFD3F}"/>
    <cellStyle name="Comma 4 2 3 2 6 2 4" xfId="21050" xr:uid="{A67FAE0E-AB26-48AA-832D-2D2E8DA865BD}"/>
    <cellStyle name="Comma 4 2 3 2 6 3" xfId="6265" xr:uid="{00000000-0005-0000-0000-000084080000}"/>
    <cellStyle name="Comma 4 2 3 2 6 3 2" xfId="14694" xr:uid="{D27D94D9-87FA-4C9B-A716-305A6702CE53}"/>
    <cellStyle name="Comma 4 2 3 2 6 3 3" xfId="27327" xr:uid="{EC9D18DC-1866-45B8-95A5-36F5203127F0}"/>
    <cellStyle name="Comma 4 2 3 2 6 4" xfId="10476" xr:uid="{E1B41162-6274-4AD3-9048-DD218B68F9C3}"/>
    <cellStyle name="Comma 4 2 3 2 6 4 2" xfId="23116" xr:uid="{BFCD4D21-D20C-44B8-9B35-2B735D5671B8}"/>
    <cellStyle name="Comma 4 2 3 2 6 5" xfId="18905" xr:uid="{58A78629-55FB-4D88-AD41-06F6ED76812D}"/>
    <cellStyle name="Comma 4 2 3 2 7" xfId="2392" xr:uid="{00000000-0005-0000-0000-000085080000}"/>
    <cellStyle name="Comma 4 2 3 2 7 2" xfId="6678" xr:uid="{00000000-0005-0000-0000-000086080000}"/>
    <cellStyle name="Comma 4 2 3 2 7 2 2" xfId="15107" xr:uid="{848AE350-818E-491B-ADA5-50BCE62D5C8D}"/>
    <cellStyle name="Comma 4 2 3 2 7 2 3" xfId="27740" xr:uid="{8D3A1FC0-A755-4A4A-A022-DF1AB01BB05E}"/>
    <cellStyle name="Comma 4 2 3 2 7 3" xfId="10889" xr:uid="{E36DF297-7251-42E0-A783-4120C7C1DCB7}"/>
    <cellStyle name="Comma 4 2 3 2 7 3 2" xfId="23529" xr:uid="{0B759A33-BC60-4E3E-BFF3-5CC837A6CE0E}"/>
    <cellStyle name="Comma 4 2 3 2 7 4" xfId="19318" xr:uid="{22696496-CE96-4F03-BAB1-F45456BE9FF5}"/>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2D92E0D4-BD32-4C5E-9993-EC8E3815855B}"/>
    <cellStyle name="Comma 4 2 3 2 9 2 3" xfId="28057" xr:uid="{FA76FBFE-7A9D-4C48-80F2-32E861C2B2BB}"/>
    <cellStyle name="Comma 4 2 3 2 9 3" xfId="11206" xr:uid="{46C77BD7-DB44-4946-8201-204B0A368BA7}"/>
    <cellStyle name="Comma 4 2 3 2 9 3 2" xfId="23846" xr:uid="{1E9F56E3-DCF3-4C17-BEF3-648EA6087C14}"/>
    <cellStyle name="Comma 4 2 3 2 9 4" xfId="19635" xr:uid="{19A1733D-CC5C-4FDE-AB41-E711A6D7F7F2}"/>
    <cellStyle name="Comma 4 2 3 3" xfId="139" xr:uid="{00000000-0005-0000-0000-00008A080000}"/>
    <cellStyle name="Comma 4 2 3 3 10" xfId="8825" xr:uid="{208ABC5C-10B4-4080-8D7E-A2ABDBBB7936}"/>
    <cellStyle name="Comma 4 2 3 3 10 2" xfId="21465" xr:uid="{90F03996-4697-435F-89F1-0210314A7D27}"/>
    <cellStyle name="Comma 4 2 3 3 11" xfId="17254" xr:uid="{50C1E3A1-86BF-4151-A6DF-26D9DE30E573}"/>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A4648037-BB2D-4507-84D6-97B8025F8FA5}"/>
    <cellStyle name="Comma 4 2 3 3 2 2 2 3" xfId="28235" xr:uid="{CAAD7CA8-B9BF-4B48-A4A4-7BD96AEEF854}"/>
    <cellStyle name="Comma 4 2 3 3 2 2 3" xfId="11384" xr:uid="{990A5A2F-2E92-4AFD-977E-B7A200576C16}"/>
    <cellStyle name="Comma 4 2 3 3 2 2 3 2" xfId="24024" xr:uid="{C7697FBD-20F5-4BDE-89F2-BEB47F85AE2C}"/>
    <cellStyle name="Comma 4 2 3 3 2 2 4" xfId="19813" xr:uid="{777D2505-4ED7-4004-A125-9F696BA1224D}"/>
    <cellStyle name="Comma 4 2 3 3 2 3" xfId="5028" xr:uid="{00000000-0005-0000-0000-00008E080000}"/>
    <cellStyle name="Comma 4 2 3 3 2 3 2" xfId="13457" xr:uid="{3626D6FB-2845-429B-8DDE-4E5E37A57425}"/>
    <cellStyle name="Comma 4 2 3 3 2 3 3" xfId="26090" xr:uid="{E6679091-3B42-4004-AEE4-F9CF7B71FE88}"/>
    <cellStyle name="Comma 4 2 3 3 2 4" xfId="9239" xr:uid="{D45BF714-C28B-4B89-BBDC-4A338A3B8FAF}"/>
    <cellStyle name="Comma 4 2 3 3 2 4 2" xfId="21879" xr:uid="{4011142E-CF6C-4476-84C4-7DDF0FBBCE1C}"/>
    <cellStyle name="Comma 4 2 3 3 2 5" xfId="17668" xr:uid="{390B5E74-344A-441A-91D6-440DE92D260D}"/>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D7F989C1-81AB-4635-9587-5E0B47ED303E}"/>
    <cellStyle name="Comma 4 2 3 3 3 2 2 3" xfId="28648" xr:uid="{5656C20A-1240-4309-8FF0-A792B23006AD}"/>
    <cellStyle name="Comma 4 2 3 3 3 2 3" xfId="11797" xr:uid="{DFC6D704-DADC-40FB-9199-3914BBE463CD}"/>
    <cellStyle name="Comma 4 2 3 3 3 2 3 2" xfId="24437" xr:uid="{F266A48D-8352-4DAE-8D64-AD292C88BD8C}"/>
    <cellStyle name="Comma 4 2 3 3 3 2 4" xfId="20226" xr:uid="{1760551B-BD7F-4110-B3B7-3CB610A1D3D8}"/>
    <cellStyle name="Comma 4 2 3 3 3 3" xfId="5441" xr:uid="{00000000-0005-0000-0000-000092080000}"/>
    <cellStyle name="Comma 4 2 3 3 3 3 2" xfId="13870" xr:uid="{28EC1248-0DC9-46CA-AE5B-79FA1D52C935}"/>
    <cellStyle name="Comma 4 2 3 3 3 3 3" xfId="26503" xr:uid="{992E83BB-33AC-47AD-A831-EBF399CD89DD}"/>
    <cellStyle name="Comma 4 2 3 3 3 4" xfId="9652" xr:uid="{5D468E95-EDD8-4BA1-934A-9F1C85422E90}"/>
    <cellStyle name="Comma 4 2 3 3 3 4 2" xfId="22292" xr:uid="{E42B72F6-10AC-484B-8197-CDA17467B0F7}"/>
    <cellStyle name="Comma 4 2 3 3 3 5" xfId="18081" xr:uid="{F3CC0CE6-0500-4376-A101-EC2CD78A9868}"/>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C82BF8E8-9D4B-493C-8C1D-0876B23E14B8}"/>
    <cellStyle name="Comma 4 2 3 3 4 2 2 3" xfId="29061" xr:uid="{5EF933F8-390A-4DAA-AAEE-A0BF778B110C}"/>
    <cellStyle name="Comma 4 2 3 3 4 2 3" xfId="12210" xr:uid="{6D77EE7C-1441-4C25-814E-C9F17C6B8F40}"/>
    <cellStyle name="Comma 4 2 3 3 4 2 3 2" xfId="24850" xr:uid="{2A298DE4-345F-4634-94C3-A136EBFCA7ED}"/>
    <cellStyle name="Comma 4 2 3 3 4 2 4" xfId="20639" xr:uid="{340E742E-E95B-4AD9-8CC4-B6AD98DC53C0}"/>
    <cellStyle name="Comma 4 2 3 3 4 3" xfId="5854" xr:uid="{00000000-0005-0000-0000-000096080000}"/>
    <cellStyle name="Comma 4 2 3 3 4 3 2" xfId="14283" xr:uid="{F0ABF932-228D-4C22-8AC3-CE84481AF15B}"/>
    <cellStyle name="Comma 4 2 3 3 4 3 3" xfId="26916" xr:uid="{CEE2148A-184B-40DC-9DBF-F1C9186B4554}"/>
    <cellStyle name="Comma 4 2 3 3 4 4" xfId="10065" xr:uid="{21E61B4A-7464-4ADD-932E-A08571704AA9}"/>
    <cellStyle name="Comma 4 2 3 3 4 4 2" xfId="22705" xr:uid="{48EDD36B-ED0D-45DB-A252-67173954E8C9}"/>
    <cellStyle name="Comma 4 2 3 3 4 5" xfId="18494" xr:uid="{7403A932-0B1F-48E9-8E65-299A18484532}"/>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A4838C4E-88AC-4252-8B38-62B488641F0D}"/>
    <cellStyle name="Comma 4 2 3 3 5 2 2 3" xfId="29474" xr:uid="{71A2F3FA-B538-473C-BEB4-893EAB169FB2}"/>
    <cellStyle name="Comma 4 2 3 3 5 2 3" xfId="12623" xr:uid="{7C5D9A6A-D1A6-4FC7-8786-2B43C0A754B1}"/>
    <cellStyle name="Comma 4 2 3 3 5 2 3 2" xfId="25263" xr:uid="{04EA4A2F-0D09-4045-BF61-38C13FC73CEE}"/>
    <cellStyle name="Comma 4 2 3 3 5 2 4" xfId="21052" xr:uid="{CC013327-0A5E-4ABA-B291-6415229887AE}"/>
    <cellStyle name="Comma 4 2 3 3 5 3" xfId="6267" xr:uid="{00000000-0005-0000-0000-00009A080000}"/>
    <cellStyle name="Comma 4 2 3 3 5 3 2" xfId="14696" xr:uid="{1B709EFB-2005-44B8-8D94-27D14B662EA6}"/>
    <cellStyle name="Comma 4 2 3 3 5 3 3" xfId="27329" xr:uid="{001F2B81-6772-48D9-9A1F-E3963E6F3DC7}"/>
    <cellStyle name="Comma 4 2 3 3 5 4" xfId="10478" xr:uid="{311F0A2A-4078-429C-A193-0C9CB021AE3A}"/>
    <cellStyle name="Comma 4 2 3 3 5 4 2" xfId="23118" xr:uid="{F71A8908-30EF-4389-8759-7B95BFC58B5C}"/>
    <cellStyle name="Comma 4 2 3 3 5 5" xfId="18907" xr:uid="{FDB098DA-3513-4212-AC72-8E45EF166E6B}"/>
    <cellStyle name="Comma 4 2 3 3 6" xfId="2394" xr:uid="{00000000-0005-0000-0000-00009B080000}"/>
    <cellStyle name="Comma 4 2 3 3 6 2" xfId="6680" xr:uid="{00000000-0005-0000-0000-00009C080000}"/>
    <cellStyle name="Comma 4 2 3 3 6 2 2" xfId="15109" xr:uid="{8010FC8A-C4C6-48E3-AAA9-2263F4A06B07}"/>
    <cellStyle name="Comma 4 2 3 3 6 2 3" xfId="27742" xr:uid="{7F8AAEDA-55CE-4719-96FC-C34428A0270B}"/>
    <cellStyle name="Comma 4 2 3 3 6 3" xfId="10891" xr:uid="{AB0D33A3-FFA5-4FB7-80F9-282E3F1689E6}"/>
    <cellStyle name="Comma 4 2 3 3 6 3 2" xfId="23531" xr:uid="{16C6FCD4-8251-4676-91ED-F464ECDEB0A1}"/>
    <cellStyle name="Comma 4 2 3 3 6 4" xfId="19320" xr:uid="{E2C2EE1B-0B6B-45F6-BD40-AFEDD4A7A2ED}"/>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EB0F076C-424E-45BA-989B-65A27BB27431}"/>
    <cellStyle name="Comma 4 2 3 3 8 2 3" xfId="28059" xr:uid="{788B3B6D-0A96-4628-8B0C-017D965A2807}"/>
    <cellStyle name="Comma 4 2 3 3 8 3" xfId="11208" xr:uid="{B97F1681-BDAF-4E20-B878-5A8D5CCD8CBE}"/>
    <cellStyle name="Comma 4 2 3 3 8 3 2" xfId="23848" xr:uid="{3286385A-341B-4B72-844A-AD93FD51CA6E}"/>
    <cellStyle name="Comma 4 2 3 3 8 4" xfId="19637" xr:uid="{966E6711-ECB8-4BAD-90AD-0D1DAFC418C9}"/>
    <cellStyle name="Comma 4 2 3 3 9" xfId="4614" xr:uid="{00000000-0005-0000-0000-0000A0080000}"/>
    <cellStyle name="Comma 4 2 3 3 9 2" xfId="13043" xr:uid="{D51D97AA-7ED7-4C4B-BAB6-3EDB5B6FBB49}"/>
    <cellStyle name="Comma 4 2 3 3 9 3" xfId="25676" xr:uid="{A6FFDC9D-70B6-486A-9E42-ACDA695FA9D9}"/>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B42EB36F-2E68-49C6-A24A-1FE409C721F2}"/>
    <cellStyle name="Comma 4 2 3 4 2 2 3" xfId="28232" xr:uid="{BC9DCE6A-9B0F-4BBE-B054-78CE2C8221BD}"/>
    <cellStyle name="Comma 4 2 3 4 2 3" xfId="11381" xr:uid="{85C831ED-C9F3-4CB5-9AA3-6C4AF314FF87}"/>
    <cellStyle name="Comma 4 2 3 4 2 3 2" xfId="24021" xr:uid="{56545CB3-341B-45C5-8FD5-78A0F0C4A54B}"/>
    <cellStyle name="Comma 4 2 3 4 2 4" xfId="19810" xr:uid="{DBF2210F-229F-4EBB-BD37-56C1DAD68244}"/>
    <cellStyle name="Comma 4 2 3 4 3" xfId="5025" xr:uid="{00000000-0005-0000-0000-0000A4080000}"/>
    <cellStyle name="Comma 4 2 3 4 3 2" xfId="13454" xr:uid="{CA333744-8789-499A-9FA5-498304347997}"/>
    <cellStyle name="Comma 4 2 3 4 3 3" xfId="26087" xr:uid="{64BEE07B-BA49-42EF-82EF-4C0D31BD90B7}"/>
    <cellStyle name="Comma 4 2 3 4 4" xfId="9236" xr:uid="{ED12F096-E362-456E-9E9B-9DAA3BF64A6E}"/>
    <cellStyle name="Comma 4 2 3 4 4 2" xfId="21876" xr:uid="{B67F0B02-4E25-413D-85DB-6BA28F7E3CA1}"/>
    <cellStyle name="Comma 4 2 3 4 5" xfId="17665" xr:uid="{1AB222B1-19DB-4879-BFED-45137C3A5A7D}"/>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FB6E2345-11A7-40E0-A701-160E08424F53}"/>
    <cellStyle name="Comma 4 2 3 5 2 2 3" xfId="28645" xr:uid="{12BD70D8-7251-4031-A62F-AC76F090AAF9}"/>
    <cellStyle name="Comma 4 2 3 5 2 3" xfId="11794" xr:uid="{615BA05A-130E-4264-A6ED-0055FDB3BC7E}"/>
    <cellStyle name="Comma 4 2 3 5 2 3 2" xfId="24434" xr:uid="{AE248DFA-02A3-415C-A7F6-46B45F8BEF12}"/>
    <cellStyle name="Comma 4 2 3 5 2 4" xfId="20223" xr:uid="{FBD085C2-348F-47AA-B6CB-DCD165136BE3}"/>
    <cellStyle name="Comma 4 2 3 5 3" xfId="5438" xr:uid="{00000000-0005-0000-0000-0000A8080000}"/>
    <cellStyle name="Comma 4 2 3 5 3 2" xfId="13867" xr:uid="{1CABBB54-5B60-4AF3-910C-508455580875}"/>
    <cellStyle name="Comma 4 2 3 5 3 3" xfId="26500" xr:uid="{ADB9D765-B093-4627-927B-8A9B674B3B83}"/>
    <cellStyle name="Comma 4 2 3 5 4" xfId="9649" xr:uid="{36B54BE2-89DB-42F2-BCBB-0268CF2889A5}"/>
    <cellStyle name="Comma 4 2 3 5 4 2" xfId="22289" xr:uid="{222D205A-FB97-48AC-82F8-2B5AC17CC9F5}"/>
    <cellStyle name="Comma 4 2 3 5 5" xfId="18078" xr:uid="{2F336CDB-5CC8-465E-B933-412FBA1D890B}"/>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BB1EEAC6-276F-42C6-AA94-B0661F841262}"/>
    <cellStyle name="Comma 4 2 3 6 2 2 3" xfId="29058" xr:uid="{3F8CFB1A-3D40-4AAD-A25B-6495A1D9389D}"/>
    <cellStyle name="Comma 4 2 3 6 2 3" xfId="12207" xr:uid="{CDCA5994-676C-43CE-8536-6F34EE50BA5E}"/>
    <cellStyle name="Comma 4 2 3 6 2 3 2" xfId="24847" xr:uid="{EFB8306B-E313-4925-AF2B-F7C5F3315C3B}"/>
    <cellStyle name="Comma 4 2 3 6 2 4" xfId="20636" xr:uid="{9A49AB99-B6BB-4C53-AA6A-8FF1E9327B8A}"/>
    <cellStyle name="Comma 4 2 3 6 3" xfId="5851" xr:uid="{00000000-0005-0000-0000-0000AC080000}"/>
    <cellStyle name="Comma 4 2 3 6 3 2" xfId="14280" xr:uid="{B0E51053-DD2C-4223-8A44-269813786228}"/>
    <cellStyle name="Comma 4 2 3 6 3 3" xfId="26913" xr:uid="{F44815D2-2C86-4857-AA80-B0D4FF476764}"/>
    <cellStyle name="Comma 4 2 3 6 4" xfId="10062" xr:uid="{4E50E493-245B-4CDE-A945-BD3033EB6058}"/>
    <cellStyle name="Comma 4 2 3 6 4 2" xfId="22702" xr:uid="{ABB65869-4929-4DD2-B4F4-E17BFB59C6D8}"/>
    <cellStyle name="Comma 4 2 3 6 5" xfId="18491" xr:uid="{118FA028-4E43-40FF-8110-448D0D80CBCF}"/>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A4C1BEA4-0E3F-43E4-B9C8-3EF5F27DB866}"/>
    <cellStyle name="Comma 4 2 3 7 2 2 3" xfId="29471" xr:uid="{2273F365-D834-42E4-86E6-E7A694D340BF}"/>
    <cellStyle name="Comma 4 2 3 7 2 3" xfId="12620" xr:uid="{930E56A1-6C02-473C-B6B2-302086F80258}"/>
    <cellStyle name="Comma 4 2 3 7 2 3 2" xfId="25260" xr:uid="{6E9CB799-2097-49DC-8CEB-336F27CAA089}"/>
    <cellStyle name="Comma 4 2 3 7 2 4" xfId="21049" xr:uid="{ADB62EE9-D3EB-48A3-9B29-534B75EED7A3}"/>
    <cellStyle name="Comma 4 2 3 7 3" xfId="6264" xr:uid="{00000000-0005-0000-0000-0000B0080000}"/>
    <cellStyle name="Comma 4 2 3 7 3 2" xfId="14693" xr:uid="{10DB1987-31B0-4FA1-82A7-8219A6C32E37}"/>
    <cellStyle name="Comma 4 2 3 7 3 3" xfId="27326" xr:uid="{0A3CB379-9F9F-4F96-B170-99C95D955816}"/>
    <cellStyle name="Comma 4 2 3 7 4" xfId="10475" xr:uid="{523402EB-1470-4E7A-A51F-A63500A5AC7B}"/>
    <cellStyle name="Comma 4 2 3 7 4 2" xfId="23115" xr:uid="{C731AC96-F886-4662-A829-AA21484EEEEB}"/>
    <cellStyle name="Comma 4 2 3 7 5" xfId="18904" xr:uid="{A479A40A-8ACA-483E-81E3-423884EAB506}"/>
    <cellStyle name="Comma 4 2 3 8" xfId="2391" xr:uid="{00000000-0005-0000-0000-0000B1080000}"/>
    <cellStyle name="Comma 4 2 3 8 2" xfId="6677" xr:uid="{00000000-0005-0000-0000-0000B2080000}"/>
    <cellStyle name="Comma 4 2 3 8 2 2" xfId="15106" xr:uid="{29258101-AC1B-48AE-8DE2-8BA4993F12B1}"/>
    <cellStyle name="Comma 4 2 3 8 2 3" xfId="27739" xr:uid="{E00476A2-CC6D-4542-945B-47C040B3897A}"/>
    <cellStyle name="Comma 4 2 3 8 3" xfId="10888" xr:uid="{862CEDE8-4858-4248-BC45-C13BAEAA53F7}"/>
    <cellStyle name="Comma 4 2 3 8 3 2" xfId="23528" xr:uid="{CFE2F9E1-336B-4672-841D-06411286DDAB}"/>
    <cellStyle name="Comma 4 2 3 8 4" xfId="19317" xr:uid="{66AA0502-9A20-4C52-BDA8-E0FEC2F321C6}"/>
    <cellStyle name="Comma 4 2 3 9" xfId="2374" xr:uid="{00000000-0005-0000-0000-0000B3080000}"/>
    <cellStyle name="Comma 4 2 4" xfId="140" xr:uid="{00000000-0005-0000-0000-0000B4080000}"/>
    <cellStyle name="Comma 4 2 4 10" xfId="4615" xr:uid="{00000000-0005-0000-0000-0000B5080000}"/>
    <cellStyle name="Comma 4 2 4 10 2" xfId="13044" xr:uid="{A48A715E-79D4-4311-9170-6A306763DE28}"/>
    <cellStyle name="Comma 4 2 4 10 3" xfId="25677" xr:uid="{1326195B-33CD-4B1D-9355-477C054DE1F4}"/>
    <cellStyle name="Comma 4 2 4 11" xfId="8826" xr:uid="{1C92D7BF-977D-4F36-9895-D2C5FDCA8342}"/>
    <cellStyle name="Comma 4 2 4 11 2" xfId="21466" xr:uid="{D8E32A7E-0E20-4378-8777-C72AEFAE0435}"/>
    <cellStyle name="Comma 4 2 4 12" xfId="17255" xr:uid="{B5735059-547C-4B8A-941B-7D5AACEE4B63}"/>
    <cellStyle name="Comma 4 2 4 2" xfId="141" xr:uid="{00000000-0005-0000-0000-0000B6080000}"/>
    <cellStyle name="Comma 4 2 4 2 10" xfId="8827" xr:uid="{883DAD77-C56E-4CB4-A066-CE7A71AB3D83}"/>
    <cellStyle name="Comma 4 2 4 2 10 2" xfId="21467" xr:uid="{F1AA46A9-91C0-4997-B163-2E1C75DF81A0}"/>
    <cellStyle name="Comma 4 2 4 2 11" xfId="17256" xr:uid="{2D5AE03E-8910-461D-BE67-2E19AE79430E}"/>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3EA2D510-EEDC-4772-89DF-2D8CC55103E1}"/>
    <cellStyle name="Comma 4 2 4 2 2 2 2 3" xfId="28237" xr:uid="{C2266084-89A3-444C-AD34-E5A1287D1FB7}"/>
    <cellStyle name="Comma 4 2 4 2 2 2 3" xfId="11386" xr:uid="{79B913ED-A096-455C-84A9-9EBB5CFC2F38}"/>
    <cellStyle name="Comma 4 2 4 2 2 2 3 2" xfId="24026" xr:uid="{E1A62302-BDD1-499B-8D8F-7642B5299E08}"/>
    <cellStyle name="Comma 4 2 4 2 2 2 4" xfId="19815" xr:uid="{0FD04B72-78C4-4FB0-AF46-6A26485AF73E}"/>
    <cellStyle name="Comma 4 2 4 2 2 3" xfId="5030" xr:uid="{00000000-0005-0000-0000-0000BA080000}"/>
    <cellStyle name="Comma 4 2 4 2 2 3 2" xfId="13459" xr:uid="{E141671A-2368-4DBE-9B77-B34A403D77C7}"/>
    <cellStyle name="Comma 4 2 4 2 2 3 3" xfId="26092" xr:uid="{0EB73753-C7CF-41FD-8E06-C28DC70A9090}"/>
    <cellStyle name="Comma 4 2 4 2 2 4" xfId="9241" xr:uid="{4F37C061-7C68-4575-9412-2B50A17F0451}"/>
    <cellStyle name="Comma 4 2 4 2 2 4 2" xfId="21881" xr:uid="{24045AD2-BDB0-47E2-97E3-8886E1695961}"/>
    <cellStyle name="Comma 4 2 4 2 2 5" xfId="17670" xr:uid="{D75C72BD-3B05-45B1-8914-A8F758F7C1AF}"/>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448BF45D-6F04-4B2A-A111-5932D587D38F}"/>
    <cellStyle name="Comma 4 2 4 2 3 2 2 3" xfId="28650" xr:uid="{22083B53-559A-4FBE-9FA7-B445C50623E0}"/>
    <cellStyle name="Comma 4 2 4 2 3 2 3" xfId="11799" xr:uid="{F4610C80-1C79-4BA8-914A-3331CE2FBB8C}"/>
    <cellStyle name="Comma 4 2 4 2 3 2 3 2" xfId="24439" xr:uid="{A63BF4FB-0F3E-4427-ABE4-7C66AECFE795}"/>
    <cellStyle name="Comma 4 2 4 2 3 2 4" xfId="20228" xr:uid="{F0047A1F-55D0-48D7-9AEC-AD2504B12A2A}"/>
    <cellStyle name="Comma 4 2 4 2 3 3" xfId="5443" xr:uid="{00000000-0005-0000-0000-0000BE080000}"/>
    <cellStyle name="Comma 4 2 4 2 3 3 2" xfId="13872" xr:uid="{4EE22630-9F38-4DDF-ACE5-335070450C82}"/>
    <cellStyle name="Comma 4 2 4 2 3 3 3" xfId="26505" xr:uid="{64903E0E-820B-4C5E-820A-E0C2533017AE}"/>
    <cellStyle name="Comma 4 2 4 2 3 4" xfId="9654" xr:uid="{E5E173A6-E5B2-42BC-A7E9-5C772D725AA7}"/>
    <cellStyle name="Comma 4 2 4 2 3 4 2" xfId="22294" xr:uid="{16EFC4F9-78D3-4D94-A73B-E299BDF7DA52}"/>
    <cellStyle name="Comma 4 2 4 2 3 5" xfId="18083" xr:uid="{793F4086-4CA5-4738-8ED5-57A785629ACB}"/>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6E84E285-629C-4300-BE4F-AD47F6EF4600}"/>
    <cellStyle name="Comma 4 2 4 2 4 2 2 3" xfId="29063" xr:uid="{E4BB12B9-4A65-45C6-9ED2-C0C461C93E9D}"/>
    <cellStyle name="Comma 4 2 4 2 4 2 3" xfId="12212" xr:uid="{E22DF8C7-BEF4-4FFD-87BD-A5E60A5FFF2F}"/>
    <cellStyle name="Comma 4 2 4 2 4 2 3 2" xfId="24852" xr:uid="{69268934-B9FB-430D-AAE8-498CA3AD6CE2}"/>
    <cellStyle name="Comma 4 2 4 2 4 2 4" xfId="20641" xr:uid="{9FEBF57B-5D3F-40EF-948E-24DADEC83B40}"/>
    <cellStyle name="Comma 4 2 4 2 4 3" xfId="5856" xr:uid="{00000000-0005-0000-0000-0000C2080000}"/>
    <cellStyle name="Comma 4 2 4 2 4 3 2" xfId="14285" xr:uid="{1A6ED897-7761-4D67-AE56-408739215325}"/>
    <cellStyle name="Comma 4 2 4 2 4 3 3" xfId="26918" xr:uid="{D8EA004A-F96D-42EC-B0BD-8234BE7304A5}"/>
    <cellStyle name="Comma 4 2 4 2 4 4" xfId="10067" xr:uid="{FB5DDA0B-4E59-4E13-827E-6ABFD3D4FD86}"/>
    <cellStyle name="Comma 4 2 4 2 4 4 2" xfId="22707" xr:uid="{93B1F839-75B2-4198-B90B-0B5E8B657C09}"/>
    <cellStyle name="Comma 4 2 4 2 4 5" xfId="18496" xr:uid="{ED08FF4E-8741-4D65-B87E-C8D724D19FCD}"/>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E1CD9669-8B2A-4D20-B691-01986EA3A0C9}"/>
    <cellStyle name="Comma 4 2 4 2 5 2 2 3" xfId="29476" xr:uid="{D7B964EE-662D-49E0-9678-1023E47F0AA6}"/>
    <cellStyle name="Comma 4 2 4 2 5 2 3" xfId="12625" xr:uid="{618E94C5-623E-48DB-963C-1E5C3FCA4877}"/>
    <cellStyle name="Comma 4 2 4 2 5 2 3 2" xfId="25265" xr:uid="{7E35F7D9-D6AB-49BD-B290-2E3D0BE0D92C}"/>
    <cellStyle name="Comma 4 2 4 2 5 2 4" xfId="21054" xr:uid="{4D624173-D9AC-46D0-8B3C-9BB8CF1D7218}"/>
    <cellStyle name="Comma 4 2 4 2 5 3" xfId="6269" xr:uid="{00000000-0005-0000-0000-0000C6080000}"/>
    <cellStyle name="Comma 4 2 4 2 5 3 2" xfId="14698" xr:uid="{E12CB8E8-2F21-457D-94A5-8F163141A6AB}"/>
    <cellStyle name="Comma 4 2 4 2 5 3 3" xfId="27331" xr:uid="{9FE9B1A2-5007-4C05-B2EB-38619A2D57DC}"/>
    <cellStyle name="Comma 4 2 4 2 5 4" xfId="10480" xr:uid="{45D4F19A-9F8F-44CF-AC48-EA5C3495CD43}"/>
    <cellStyle name="Comma 4 2 4 2 5 4 2" xfId="23120" xr:uid="{F6C9A75F-F432-465D-96C0-E464849720FD}"/>
    <cellStyle name="Comma 4 2 4 2 5 5" xfId="18909" xr:uid="{CF44FA7B-0E7B-487D-8876-2E46A89088FA}"/>
    <cellStyle name="Comma 4 2 4 2 6" xfId="2396" xr:uid="{00000000-0005-0000-0000-0000C7080000}"/>
    <cellStyle name="Comma 4 2 4 2 6 2" xfId="6682" xr:uid="{00000000-0005-0000-0000-0000C8080000}"/>
    <cellStyle name="Comma 4 2 4 2 6 2 2" xfId="15111" xr:uid="{9F3783F4-681B-416C-B704-4B9913135047}"/>
    <cellStyle name="Comma 4 2 4 2 6 2 3" xfId="27744" xr:uid="{4EA83B31-8634-4ADB-8917-0BFDC7AF2063}"/>
    <cellStyle name="Comma 4 2 4 2 6 3" xfId="10893" xr:uid="{83E6AA3E-AD57-4CB9-A531-0E9544ABD3E5}"/>
    <cellStyle name="Comma 4 2 4 2 6 3 2" xfId="23533" xr:uid="{821CA4CA-DCC8-45B0-A2B4-0E2C227947C6}"/>
    <cellStyle name="Comma 4 2 4 2 6 4" xfId="19322" xr:uid="{C25BDBD1-19C1-41D7-B7B6-82E64C8FE17C}"/>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2F0CD6FF-3662-473C-8F9A-62FB3EA3515D}"/>
    <cellStyle name="Comma 4 2 4 2 8 2 3" xfId="28061" xr:uid="{F27917C2-D774-49AE-A8C9-566300320864}"/>
    <cellStyle name="Comma 4 2 4 2 8 3" xfId="11210" xr:uid="{1753C798-BE69-4CE6-BBDE-567C91A63D95}"/>
    <cellStyle name="Comma 4 2 4 2 8 3 2" xfId="23850" xr:uid="{C0D0D66B-8EC8-4E53-ABE0-1F56C3E21DBA}"/>
    <cellStyle name="Comma 4 2 4 2 8 4" xfId="19639" xr:uid="{3C234ACD-EE76-4EF4-8C4F-63AC37204C70}"/>
    <cellStyle name="Comma 4 2 4 2 9" xfId="4616" xr:uid="{00000000-0005-0000-0000-0000CC080000}"/>
    <cellStyle name="Comma 4 2 4 2 9 2" xfId="13045" xr:uid="{026172A2-D3B5-440D-9776-8F96B241D57F}"/>
    <cellStyle name="Comma 4 2 4 2 9 3" xfId="25678" xr:uid="{2CE37C02-33F4-4388-BDC2-FA0E1862525F}"/>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C03E4764-A305-4DB6-B8E2-2F9342DE84F0}"/>
    <cellStyle name="Comma 4 2 4 3 2 2 3" xfId="28236" xr:uid="{510568CD-FB94-4E61-A1C3-7318FEC9C645}"/>
    <cellStyle name="Comma 4 2 4 3 2 3" xfId="11385" xr:uid="{3184F5C4-D709-4FA7-A549-796411B8F64A}"/>
    <cellStyle name="Comma 4 2 4 3 2 3 2" xfId="24025" xr:uid="{8A332F83-4FE0-4846-A811-76E37F94C696}"/>
    <cellStyle name="Comma 4 2 4 3 2 4" xfId="19814" xr:uid="{B8213D73-971D-4C72-944D-94B7AAEA538E}"/>
    <cellStyle name="Comma 4 2 4 3 3" xfId="5029" xr:uid="{00000000-0005-0000-0000-0000D0080000}"/>
    <cellStyle name="Comma 4 2 4 3 3 2" xfId="13458" xr:uid="{34EC93D0-BFA1-4BE3-965B-1DC29CDB09EA}"/>
    <cellStyle name="Comma 4 2 4 3 3 3" xfId="26091" xr:uid="{514E362A-DE8A-48AF-A2E5-C0A4E9936B2F}"/>
    <cellStyle name="Comma 4 2 4 3 4" xfId="9240" xr:uid="{1ADC630E-8C63-47AF-AC88-7BADB2C08F03}"/>
    <cellStyle name="Comma 4 2 4 3 4 2" xfId="21880" xr:uid="{0D5E7884-9497-42B6-952A-EC68C3AE6A00}"/>
    <cellStyle name="Comma 4 2 4 3 5" xfId="17669" xr:uid="{03BD05DE-F482-43D8-AC0A-0B0F548802A1}"/>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C7CBEB10-A258-4574-846F-0811647E743D}"/>
    <cellStyle name="Comma 4 2 4 4 2 2 3" xfId="28649" xr:uid="{EC3D40C9-B748-4339-BCE3-0A5B6E705604}"/>
    <cellStyle name="Comma 4 2 4 4 2 3" xfId="11798" xr:uid="{9FA92532-1537-4894-9383-636BC3425184}"/>
    <cellStyle name="Comma 4 2 4 4 2 3 2" xfId="24438" xr:uid="{6FB1960D-A9AF-4A43-B205-6BB9FD0B8642}"/>
    <cellStyle name="Comma 4 2 4 4 2 4" xfId="20227" xr:uid="{D50923AA-9E8C-4216-86AE-3D5D932F01A9}"/>
    <cellStyle name="Comma 4 2 4 4 3" xfId="5442" xr:uid="{00000000-0005-0000-0000-0000D4080000}"/>
    <cellStyle name="Comma 4 2 4 4 3 2" xfId="13871" xr:uid="{0E8BAEC4-FE48-4EBA-84F5-C6094AB0B86F}"/>
    <cellStyle name="Comma 4 2 4 4 3 3" xfId="26504" xr:uid="{F5B8EEC4-E8AC-48B4-B660-84DF6B177997}"/>
    <cellStyle name="Comma 4 2 4 4 4" xfId="9653" xr:uid="{998805E3-219A-47F2-A28B-DF7CC1F176A2}"/>
    <cellStyle name="Comma 4 2 4 4 4 2" xfId="22293" xr:uid="{8C45572C-471D-4094-9181-AF84EA4FE91F}"/>
    <cellStyle name="Comma 4 2 4 4 5" xfId="18082" xr:uid="{1A4407FC-7142-45F6-A8A1-8DE84C40EFC3}"/>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1621B0DB-8A41-4187-B720-970B03C0636B}"/>
    <cellStyle name="Comma 4 2 4 5 2 2 3" xfId="29062" xr:uid="{04032B33-54E3-412F-BE7F-3D5D7D9D8CB7}"/>
    <cellStyle name="Comma 4 2 4 5 2 3" xfId="12211" xr:uid="{60DDBF6E-5E3D-4C44-8834-2B57F9194B05}"/>
    <cellStyle name="Comma 4 2 4 5 2 3 2" xfId="24851" xr:uid="{1DB14CA3-A77E-4D85-83CB-91071140A569}"/>
    <cellStyle name="Comma 4 2 4 5 2 4" xfId="20640" xr:uid="{7ED02886-D324-447E-903C-C69BA78B5087}"/>
    <cellStyle name="Comma 4 2 4 5 3" xfId="5855" xr:uid="{00000000-0005-0000-0000-0000D8080000}"/>
    <cellStyle name="Comma 4 2 4 5 3 2" xfId="14284" xr:uid="{6B6C4889-24F7-4721-B6E4-7493FC82856A}"/>
    <cellStyle name="Comma 4 2 4 5 3 3" xfId="26917" xr:uid="{8BF84C60-9A38-40F7-9EBD-7D3DC5F226E0}"/>
    <cellStyle name="Comma 4 2 4 5 4" xfId="10066" xr:uid="{EC6DE5B1-8677-4B1C-B6D5-3374CD650B4C}"/>
    <cellStyle name="Comma 4 2 4 5 4 2" xfId="22706" xr:uid="{AC9571D4-B601-4543-8056-47CAE6622CA7}"/>
    <cellStyle name="Comma 4 2 4 5 5" xfId="18495" xr:uid="{183E7BA8-9C21-4759-9B29-52DE5143FC07}"/>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15712345-5FA1-4FD3-94DD-00CBF991892A}"/>
    <cellStyle name="Comma 4 2 4 6 2 2 3" xfId="29475" xr:uid="{A50E14F3-DF1F-45D2-89A2-EA0B92B39E3B}"/>
    <cellStyle name="Comma 4 2 4 6 2 3" xfId="12624" xr:uid="{F1C03A06-8797-4C5F-9D76-0E5022F6A8FA}"/>
    <cellStyle name="Comma 4 2 4 6 2 3 2" xfId="25264" xr:uid="{5213F3C0-F979-40BC-91FE-895699D01CE8}"/>
    <cellStyle name="Comma 4 2 4 6 2 4" xfId="21053" xr:uid="{3D37134D-B2AA-441F-9FCA-9A7993B4532F}"/>
    <cellStyle name="Comma 4 2 4 6 3" xfId="6268" xr:uid="{00000000-0005-0000-0000-0000DC080000}"/>
    <cellStyle name="Comma 4 2 4 6 3 2" xfId="14697" xr:uid="{E8F35B6D-37DF-40A5-AC7A-C35E789B2F41}"/>
    <cellStyle name="Comma 4 2 4 6 3 3" xfId="27330" xr:uid="{B069E203-E6CD-43AB-8D71-C5BB79EC173F}"/>
    <cellStyle name="Comma 4 2 4 6 4" xfId="10479" xr:uid="{26937D71-6923-4D00-B9A9-65698DF375AA}"/>
    <cellStyle name="Comma 4 2 4 6 4 2" xfId="23119" xr:uid="{E243BB03-2D8D-47F3-B31E-5F68CCCDF2CB}"/>
    <cellStyle name="Comma 4 2 4 6 5" xfId="18908" xr:uid="{3EAD325D-E4B0-4FF8-B3B1-3BA4901E28BD}"/>
    <cellStyle name="Comma 4 2 4 7" xfId="2395" xr:uid="{00000000-0005-0000-0000-0000DD080000}"/>
    <cellStyle name="Comma 4 2 4 7 2" xfId="6681" xr:uid="{00000000-0005-0000-0000-0000DE080000}"/>
    <cellStyle name="Comma 4 2 4 7 2 2" xfId="15110" xr:uid="{64835881-66AA-4CEA-8C6B-513332F4C95A}"/>
    <cellStyle name="Comma 4 2 4 7 2 3" xfId="27743" xr:uid="{5232407F-6073-45D1-90E8-B3B014BA619A}"/>
    <cellStyle name="Comma 4 2 4 7 3" xfId="10892" xr:uid="{C087FDBB-E810-4106-99B6-5835350199D0}"/>
    <cellStyle name="Comma 4 2 4 7 3 2" xfId="23532" xr:uid="{56FB27ED-FAFF-453B-BAED-9438E5A790B6}"/>
    <cellStyle name="Comma 4 2 4 7 4" xfId="19321" xr:uid="{88A3DFEF-6647-4534-A039-DB767D838A9C}"/>
    <cellStyle name="Comma 4 2 4 8" xfId="2370" xr:uid="{00000000-0005-0000-0000-0000DF080000}"/>
    <cellStyle name="Comma 4 2 4 9" xfId="2773" xr:uid="{00000000-0005-0000-0000-0000E0080000}"/>
    <cellStyle name="Comma 4 2 4 9 2" xfId="6998" xr:uid="{00000000-0005-0000-0000-0000E1080000}"/>
    <cellStyle name="Comma 4 2 4 9 2 2" xfId="15427" xr:uid="{76FDA223-941D-48E2-B868-AA4B7CC3628A}"/>
    <cellStyle name="Comma 4 2 4 9 2 3" xfId="28060" xr:uid="{A95CDAB3-6251-4A4A-8B83-C508B4FF42F7}"/>
    <cellStyle name="Comma 4 2 4 9 3" xfId="11209" xr:uid="{4E5534B0-041B-4C24-B097-809D6366A2EE}"/>
    <cellStyle name="Comma 4 2 4 9 3 2" xfId="23849" xr:uid="{928E63AA-7DF8-477B-8136-6408AC1A4A0A}"/>
    <cellStyle name="Comma 4 2 4 9 4" xfId="19638" xr:uid="{61A90CE4-E97E-4417-B574-C4EE10FAD9FB}"/>
    <cellStyle name="Comma 4 2 5" xfId="142" xr:uid="{00000000-0005-0000-0000-0000E2080000}"/>
    <cellStyle name="Comma 4 2 5 10" xfId="8828" xr:uid="{5D6B45CB-2E4A-459D-B498-FB04102B90FF}"/>
    <cellStyle name="Comma 4 2 5 10 2" xfId="21468" xr:uid="{6CD2BFF3-4BA3-4C8E-A9FF-C95422F5EFA4}"/>
    <cellStyle name="Comma 4 2 5 11" xfId="17257" xr:uid="{6C609928-BD42-48B7-A86E-D55B29AEA3A5}"/>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AAF7C95C-4F3D-4984-8895-200B7916C697}"/>
    <cellStyle name="Comma 4 2 5 2 2 2 3" xfId="28238" xr:uid="{8447E877-F3F4-4E1D-9BCA-2A351F512BF4}"/>
    <cellStyle name="Comma 4 2 5 2 2 3" xfId="11387" xr:uid="{90D1F07E-7922-4738-9C7F-D7AA15D1F67D}"/>
    <cellStyle name="Comma 4 2 5 2 2 3 2" xfId="24027" xr:uid="{598179F9-5D59-4CA2-A059-A3E625CEF63E}"/>
    <cellStyle name="Comma 4 2 5 2 2 4" xfId="19816" xr:uid="{233B6423-54A9-426E-93BC-DAEBBBFDAC6F}"/>
    <cellStyle name="Comma 4 2 5 2 3" xfId="5031" xr:uid="{00000000-0005-0000-0000-0000E6080000}"/>
    <cellStyle name="Comma 4 2 5 2 3 2" xfId="13460" xr:uid="{01034147-BFB1-4539-8A3F-596823F4CF0A}"/>
    <cellStyle name="Comma 4 2 5 2 3 3" xfId="26093" xr:uid="{3D75EAE4-D682-44EE-AB25-C77D3358F842}"/>
    <cellStyle name="Comma 4 2 5 2 4" xfId="9242" xr:uid="{B6D7D68B-F925-401E-8239-3D6E473BE88D}"/>
    <cellStyle name="Comma 4 2 5 2 4 2" xfId="21882" xr:uid="{6517E3C2-8D2C-4A27-BCB7-3F6FEE22D072}"/>
    <cellStyle name="Comma 4 2 5 2 5" xfId="17671" xr:uid="{31365AE5-5184-4D28-8681-BB355170544D}"/>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4E5F5BF4-15C8-4EC7-B904-F02BD6F73E9E}"/>
    <cellStyle name="Comma 4 2 5 3 2 2 3" xfId="28651" xr:uid="{4CFBD57E-0791-4E67-9724-8085F2BB38D5}"/>
    <cellStyle name="Comma 4 2 5 3 2 3" xfId="11800" xr:uid="{B085B863-FA28-456F-91F5-27F9DAC43076}"/>
    <cellStyle name="Comma 4 2 5 3 2 3 2" xfId="24440" xr:uid="{1D75909F-4291-4C4B-96D8-405DBFE95030}"/>
    <cellStyle name="Comma 4 2 5 3 2 4" xfId="20229" xr:uid="{F88C35A8-55C4-4250-B27B-F0EE8E25B005}"/>
    <cellStyle name="Comma 4 2 5 3 3" xfId="5444" xr:uid="{00000000-0005-0000-0000-0000EA080000}"/>
    <cellStyle name="Comma 4 2 5 3 3 2" xfId="13873" xr:uid="{A1577E9C-7AF3-4486-AC4B-7D06DFE65134}"/>
    <cellStyle name="Comma 4 2 5 3 3 3" xfId="26506" xr:uid="{770DC930-F06E-4510-B2AD-E75F3331CB02}"/>
    <cellStyle name="Comma 4 2 5 3 4" xfId="9655" xr:uid="{7CD3FD77-078A-49A7-9B01-C18D96FB7073}"/>
    <cellStyle name="Comma 4 2 5 3 4 2" xfId="22295" xr:uid="{6AFB83E1-8973-4B66-A8C5-325C442997B9}"/>
    <cellStyle name="Comma 4 2 5 3 5" xfId="18084" xr:uid="{179015C7-BC64-4599-892B-0E10B82EA41A}"/>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A5F01782-E564-409B-8731-52B3121068E4}"/>
    <cellStyle name="Comma 4 2 5 4 2 2 3" xfId="29064" xr:uid="{A9CF6760-27C8-4D01-A605-BA6C58E649AD}"/>
    <cellStyle name="Comma 4 2 5 4 2 3" xfId="12213" xr:uid="{BDC9E077-76D9-45F8-ACA1-BC9FBEBBFEDB}"/>
    <cellStyle name="Comma 4 2 5 4 2 3 2" xfId="24853" xr:uid="{C1E7D80D-775B-4C6C-88F7-B262A49C4C8A}"/>
    <cellStyle name="Comma 4 2 5 4 2 4" xfId="20642" xr:uid="{1412DFD9-0829-43A2-A06D-9F571F6EC0E8}"/>
    <cellStyle name="Comma 4 2 5 4 3" xfId="5857" xr:uid="{00000000-0005-0000-0000-0000EE080000}"/>
    <cellStyle name="Comma 4 2 5 4 3 2" xfId="14286" xr:uid="{7C2D620F-16BA-43CA-9CCA-3562AFFDACEA}"/>
    <cellStyle name="Comma 4 2 5 4 3 3" xfId="26919" xr:uid="{3387D5E2-5733-402F-B8B6-C0A33C04DD50}"/>
    <cellStyle name="Comma 4 2 5 4 4" xfId="10068" xr:uid="{FCFD4923-ACC5-43AE-8B23-BE9306CA0233}"/>
    <cellStyle name="Comma 4 2 5 4 4 2" xfId="22708" xr:uid="{D81F1B26-5A72-4A33-8147-D68847817C2D}"/>
    <cellStyle name="Comma 4 2 5 4 5" xfId="18497" xr:uid="{DAFF501A-3153-4745-99FA-19F9343EDCF6}"/>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12BAD78A-843F-4E82-85B9-8C5A6FFF8275}"/>
    <cellStyle name="Comma 4 2 5 5 2 2 3" xfId="29477" xr:uid="{E4DAAEC7-AAAF-4B83-867C-6D198E9C5781}"/>
    <cellStyle name="Comma 4 2 5 5 2 3" xfId="12626" xr:uid="{6F9014DD-22A7-4092-9086-3270DDDA7665}"/>
    <cellStyle name="Comma 4 2 5 5 2 3 2" xfId="25266" xr:uid="{0A509150-106F-47C0-B050-1AEB40FDC914}"/>
    <cellStyle name="Comma 4 2 5 5 2 4" xfId="21055" xr:uid="{6EA09F43-169C-4082-8248-BE77A811B784}"/>
    <cellStyle name="Comma 4 2 5 5 3" xfId="6270" xr:uid="{00000000-0005-0000-0000-0000F2080000}"/>
    <cellStyle name="Comma 4 2 5 5 3 2" xfId="14699" xr:uid="{7422054A-D51F-4A24-BD64-2B35C184C7CB}"/>
    <cellStyle name="Comma 4 2 5 5 3 3" xfId="27332" xr:uid="{1824B5BA-224C-4023-A96F-6A40807D6BFD}"/>
    <cellStyle name="Comma 4 2 5 5 4" xfId="10481" xr:uid="{B67178CB-08F3-43DC-B62F-09F63544B5AD}"/>
    <cellStyle name="Comma 4 2 5 5 4 2" xfId="23121" xr:uid="{0431D327-FE54-4248-91B3-88BC96748A9A}"/>
    <cellStyle name="Comma 4 2 5 5 5" xfId="18910" xr:uid="{A87D915A-9AC5-4C09-A490-7D58ED58237F}"/>
    <cellStyle name="Comma 4 2 5 6" xfId="2397" xr:uid="{00000000-0005-0000-0000-0000F3080000}"/>
    <cellStyle name="Comma 4 2 5 6 2" xfId="6683" xr:uid="{00000000-0005-0000-0000-0000F4080000}"/>
    <cellStyle name="Comma 4 2 5 6 2 2" xfId="15112" xr:uid="{760510FC-9D7E-402A-BE79-3DF9500B8070}"/>
    <cellStyle name="Comma 4 2 5 6 2 3" xfId="27745" xr:uid="{C9D20919-83C7-4021-97A6-D828C06D186F}"/>
    <cellStyle name="Comma 4 2 5 6 3" xfId="10894" xr:uid="{78ECED4A-4E8E-4118-92C8-7EE3C33C7737}"/>
    <cellStyle name="Comma 4 2 5 6 3 2" xfId="23534" xr:uid="{E3CDF2AC-9193-4F42-BF97-2CDAAA5FBB13}"/>
    <cellStyle name="Comma 4 2 5 6 4" xfId="19323" xr:uid="{65C8F53F-3085-4696-BB6F-5D65FD2C1B63}"/>
    <cellStyle name="Comma 4 2 5 7" xfId="2368" xr:uid="{00000000-0005-0000-0000-0000F5080000}"/>
    <cellStyle name="Comma 4 2 5 8" xfId="2775" xr:uid="{00000000-0005-0000-0000-0000F6080000}"/>
    <cellStyle name="Comma 4 2 5 8 2" xfId="7000" xr:uid="{00000000-0005-0000-0000-0000F7080000}"/>
    <cellStyle name="Comma 4 2 5 8 2 2" xfId="15429" xr:uid="{49C52196-C1A8-48C3-8DA6-69E1806DE62E}"/>
    <cellStyle name="Comma 4 2 5 8 2 3" xfId="28062" xr:uid="{5DF4F776-F38A-4F69-A042-9F6CE7886CC2}"/>
    <cellStyle name="Comma 4 2 5 8 3" xfId="11211" xr:uid="{42910E67-1B1E-4CCB-A202-1A65A30619A5}"/>
    <cellStyle name="Comma 4 2 5 8 3 2" xfId="23851" xr:uid="{365068D2-E3E0-4A3C-B4C9-C2C9EA7D7C6C}"/>
    <cellStyle name="Comma 4 2 5 8 4" xfId="19640" xr:uid="{E0EEFFCE-DD69-48D8-B181-EB5EF2D12970}"/>
    <cellStyle name="Comma 4 2 5 9" xfId="4617" xr:uid="{00000000-0005-0000-0000-0000F8080000}"/>
    <cellStyle name="Comma 4 2 5 9 2" xfId="13046" xr:uid="{D8BE5B0A-2B26-4E0D-9BFB-3F5B085E9440}"/>
    <cellStyle name="Comma 4 2 5 9 3" xfId="25679" xr:uid="{DAC766A0-FEBB-495B-A320-B1D148962B61}"/>
    <cellStyle name="Comma 4 2 6" xfId="143" xr:uid="{00000000-0005-0000-0000-0000F9080000}"/>
    <cellStyle name="Comma 4 2 6 10" xfId="8829" xr:uid="{42F5F440-0C0E-4B92-9B48-15C75EDD9E75}"/>
    <cellStyle name="Comma 4 2 6 10 2" xfId="21469" xr:uid="{A27C95CC-97AB-48A9-BA9E-619EEA744B91}"/>
    <cellStyle name="Comma 4 2 6 11" xfId="17258" xr:uid="{51631E7D-524F-4262-B79D-21CD4D74263B}"/>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A6C4ADFA-1507-4923-B82C-40F94C835CE7}"/>
    <cellStyle name="Comma 4 2 6 2 2 2 3" xfId="28239" xr:uid="{9D2E5D80-7E27-4784-9A3B-D3C587C656D6}"/>
    <cellStyle name="Comma 4 2 6 2 2 3" xfId="11388" xr:uid="{886347F4-6F1D-47CC-B446-20042847A35A}"/>
    <cellStyle name="Comma 4 2 6 2 2 3 2" xfId="24028" xr:uid="{BFDBA6A3-CC61-4D8C-A5C8-37AB8F8F1508}"/>
    <cellStyle name="Comma 4 2 6 2 2 4" xfId="19817" xr:uid="{67A9A660-70BD-4DEF-B405-50CB96A9FFDC}"/>
    <cellStyle name="Comma 4 2 6 2 3" xfId="5032" xr:uid="{00000000-0005-0000-0000-0000FD080000}"/>
    <cellStyle name="Comma 4 2 6 2 3 2" xfId="13461" xr:uid="{6832CA34-C566-4BFF-8350-AD21137A6CA9}"/>
    <cellStyle name="Comma 4 2 6 2 3 3" xfId="26094" xr:uid="{F45A7F73-66A2-4E0F-9A54-56FB67A6EAF8}"/>
    <cellStyle name="Comma 4 2 6 2 4" xfId="9243" xr:uid="{4B51AEAF-574A-4F25-BF7C-5353F8E68EC8}"/>
    <cellStyle name="Comma 4 2 6 2 4 2" xfId="21883" xr:uid="{6424C0BA-9501-48EE-8BC5-95BECC95C283}"/>
    <cellStyle name="Comma 4 2 6 2 5" xfId="17672" xr:uid="{5B8191CC-9D54-4D5C-96B0-4C80A65BE132}"/>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5737751E-AEAA-46E7-BB51-76768B409E21}"/>
    <cellStyle name="Comma 4 2 6 3 2 2 3" xfId="28652" xr:uid="{FC930540-A368-4FCB-9EF3-8E4E9CF2CB63}"/>
    <cellStyle name="Comma 4 2 6 3 2 3" xfId="11801" xr:uid="{2343AF8A-9AF6-477E-A417-9CA11791AFF6}"/>
    <cellStyle name="Comma 4 2 6 3 2 3 2" xfId="24441" xr:uid="{5E7D5F4A-8BB0-44B9-AD29-040F96A801EE}"/>
    <cellStyle name="Comma 4 2 6 3 2 4" xfId="20230" xr:uid="{C4C3EF2F-6A58-46CA-AEDA-EEC779DDB161}"/>
    <cellStyle name="Comma 4 2 6 3 3" xfId="5445" xr:uid="{00000000-0005-0000-0000-000001090000}"/>
    <cellStyle name="Comma 4 2 6 3 3 2" xfId="13874" xr:uid="{8958E391-F8B7-41FC-A6B0-56AD77CC8161}"/>
    <cellStyle name="Comma 4 2 6 3 3 3" xfId="26507" xr:uid="{BAB9CDA1-79C9-40DD-A255-F4E13E0ABD06}"/>
    <cellStyle name="Comma 4 2 6 3 4" xfId="9656" xr:uid="{3AE4FF6D-D90F-4B96-A7F3-6E3A3779AB5F}"/>
    <cellStyle name="Comma 4 2 6 3 4 2" xfId="22296" xr:uid="{A1AEF23D-5F12-477C-82B0-D3AA61F4B0E3}"/>
    <cellStyle name="Comma 4 2 6 3 5" xfId="18085" xr:uid="{16FBED70-0B87-4CBB-8EE8-191118542A3C}"/>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6CD5590B-577B-44BE-B89D-8EAD0DC51A5D}"/>
    <cellStyle name="Comma 4 2 6 4 2 2 3" xfId="29065" xr:uid="{85B8434D-64F5-420D-8D6F-7378C373AC40}"/>
    <cellStyle name="Comma 4 2 6 4 2 3" xfId="12214" xr:uid="{3F603550-6134-4CEC-8E90-1F153B842454}"/>
    <cellStyle name="Comma 4 2 6 4 2 3 2" xfId="24854" xr:uid="{2E6C16FE-930B-48A6-AF68-33B9A0BE1D3A}"/>
    <cellStyle name="Comma 4 2 6 4 2 4" xfId="20643" xr:uid="{879A9171-A132-446E-8E69-A31833EBB133}"/>
    <cellStyle name="Comma 4 2 6 4 3" xfId="5858" xr:uid="{00000000-0005-0000-0000-000005090000}"/>
    <cellStyle name="Comma 4 2 6 4 3 2" xfId="14287" xr:uid="{A4237EFF-7D2F-4A67-AB21-9C8313805050}"/>
    <cellStyle name="Comma 4 2 6 4 3 3" xfId="26920" xr:uid="{E36AC4BF-F091-4BC9-9C95-29EBF7452B1F}"/>
    <cellStyle name="Comma 4 2 6 4 4" xfId="10069" xr:uid="{DA08009C-475B-43FE-8028-A6DDFDBB6A0F}"/>
    <cellStyle name="Comma 4 2 6 4 4 2" xfId="22709" xr:uid="{605A0219-E66E-4C85-B917-53E3AD47AC38}"/>
    <cellStyle name="Comma 4 2 6 4 5" xfId="18498" xr:uid="{6C151180-8133-44E9-AD47-DA3671C752F8}"/>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91E7B1E6-529A-4D3A-B3E8-F0E94A7FF12C}"/>
    <cellStyle name="Comma 4 2 6 5 2 2 3" xfId="29478" xr:uid="{44B05BD5-13FE-4F8B-B0CA-16C80CF34980}"/>
    <cellStyle name="Comma 4 2 6 5 2 3" xfId="12627" xr:uid="{67D85173-80EC-4934-A780-BAFE37F3D9F0}"/>
    <cellStyle name="Comma 4 2 6 5 2 3 2" xfId="25267" xr:uid="{57C02AA3-7C93-4043-BF53-FB5B8A0049AF}"/>
    <cellStyle name="Comma 4 2 6 5 2 4" xfId="21056" xr:uid="{9FBD225D-F17D-4629-8113-7934C346D2B2}"/>
    <cellStyle name="Comma 4 2 6 5 3" xfId="6271" xr:uid="{00000000-0005-0000-0000-000009090000}"/>
    <cellStyle name="Comma 4 2 6 5 3 2" xfId="14700" xr:uid="{E346D026-16B7-4616-94AF-FEFCA47B2429}"/>
    <cellStyle name="Comma 4 2 6 5 3 3" xfId="27333" xr:uid="{E5A6E181-946B-4851-9D3A-78DE330AFDF2}"/>
    <cellStyle name="Comma 4 2 6 5 4" xfId="10482" xr:uid="{3BC7ADB6-73AA-4C3F-A814-399529279DEE}"/>
    <cellStyle name="Comma 4 2 6 5 4 2" xfId="23122" xr:uid="{2EBE0142-BE4F-4D17-B69F-37F62F820E45}"/>
    <cellStyle name="Comma 4 2 6 5 5" xfId="18911" xr:uid="{9EF87A79-FBB5-4381-BB80-733E14030155}"/>
    <cellStyle name="Comma 4 2 6 6" xfId="2398" xr:uid="{00000000-0005-0000-0000-00000A090000}"/>
    <cellStyle name="Comma 4 2 6 6 2" xfId="6684" xr:uid="{00000000-0005-0000-0000-00000B090000}"/>
    <cellStyle name="Comma 4 2 6 6 2 2" xfId="15113" xr:uid="{CE4AFB1E-5E33-47AA-8BDD-A27C267DC33D}"/>
    <cellStyle name="Comma 4 2 6 6 2 3" xfId="27746" xr:uid="{297215D4-103E-4D46-A2A3-0DD2D90EA1A1}"/>
    <cellStyle name="Comma 4 2 6 6 3" xfId="10895" xr:uid="{C001E7EB-4C47-4EAA-9BAB-DEADB10EFD87}"/>
    <cellStyle name="Comma 4 2 6 6 3 2" xfId="23535" xr:uid="{CDB76348-B3FD-4B36-B6A7-86A3A37B4F19}"/>
    <cellStyle name="Comma 4 2 6 6 4" xfId="19324" xr:uid="{6F15E63B-39FE-4FA6-A902-3AB039FC5B61}"/>
    <cellStyle name="Comma 4 2 6 7" xfId="2367" xr:uid="{00000000-0005-0000-0000-00000C090000}"/>
    <cellStyle name="Comma 4 2 6 8" xfId="2776" xr:uid="{00000000-0005-0000-0000-00000D090000}"/>
    <cellStyle name="Comma 4 2 6 8 2" xfId="7001" xr:uid="{00000000-0005-0000-0000-00000E090000}"/>
    <cellStyle name="Comma 4 2 6 8 2 2" xfId="15430" xr:uid="{EE58887A-E32E-48F7-BDB2-88369D83A6BB}"/>
    <cellStyle name="Comma 4 2 6 8 2 3" xfId="28063" xr:uid="{2AC851B0-D400-47C5-B2D0-86B8FC611D6A}"/>
    <cellStyle name="Comma 4 2 6 8 3" xfId="11212" xr:uid="{A4D3648B-0194-4279-9C54-FF639D7F6A86}"/>
    <cellStyle name="Comma 4 2 6 8 3 2" xfId="23852" xr:uid="{8B688AF1-313B-4411-85EA-39AEF19966D7}"/>
    <cellStyle name="Comma 4 2 6 8 4" xfId="19641" xr:uid="{FD0E6E6A-24C7-4024-9786-37829549C0A0}"/>
    <cellStyle name="Comma 4 2 6 9" xfId="4618" xr:uid="{00000000-0005-0000-0000-00000F090000}"/>
    <cellStyle name="Comma 4 2 6 9 2" xfId="13047" xr:uid="{17758AEF-0BC1-4302-A6F7-639D70A7B5AC}"/>
    <cellStyle name="Comma 4 2 6 9 3" xfId="25680" xr:uid="{BD8A53B8-8D2A-41EE-92FD-5BEC8FAA1014}"/>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8F17641D-490E-40CA-BDD8-8C2C051B0B98}"/>
    <cellStyle name="Comma 4 3 2 10 2 3" xfId="28064" xr:uid="{17A87167-9144-4A0F-BF15-6F708B7E7C8E}"/>
    <cellStyle name="Comma 4 3 2 10 3" xfId="11213" xr:uid="{1C3751FA-50EA-4A4D-B4A6-CE111BEEF6F5}"/>
    <cellStyle name="Comma 4 3 2 10 3 2" xfId="23853" xr:uid="{4B1EB9FA-72D1-45EA-BDF3-12411A4A57F3}"/>
    <cellStyle name="Comma 4 3 2 10 4" xfId="19642" xr:uid="{6594129A-CC66-4855-90E7-0A8D8B0F9671}"/>
    <cellStyle name="Comma 4 3 2 11" xfId="4619" xr:uid="{00000000-0005-0000-0000-000014090000}"/>
    <cellStyle name="Comma 4 3 2 11 2" xfId="13048" xr:uid="{F2CA5238-8756-4A09-85F4-FA41458DF98E}"/>
    <cellStyle name="Comma 4 3 2 11 3" xfId="25681" xr:uid="{33A8E8A6-5636-4A0E-9B2E-1C52B5744C89}"/>
    <cellStyle name="Comma 4 3 2 12" xfId="8830" xr:uid="{45AB9595-FF72-4CA6-A010-F091D98A539C}"/>
    <cellStyle name="Comma 4 3 2 12 2" xfId="21470" xr:uid="{9DFFEC46-426C-4B2F-8C97-7DB0540C90C4}"/>
    <cellStyle name="Comma 4 3 2 13" xfId="17259" xr:uid="{83707CEF-4205-4574-AA88-D8C25780B84B}"/>
    <cellStyle name="Comma 4 3 2 2" xfId="146" xr:uid="{00000000-0005-0000-0000-000015090000}"/>
    <cellStyle name="Comma 4 3 2 2 10" xfId="4620" xr:uid="{00000000-0005-0000-0000-000016090000}"/>
    <cellStyle name="Comma 4 3 2 2 10 2" xfId="13049" xr:uid="{87742390-9F5E-4A2F-8FBD-34143BCBB82F}"/>
    <cellStyle name="Comma 4 3 2 2 10 3" xfId="25682" xr:uid="{B6250C1B-F8B3-47FE-8CD7-705B9413ED69}"/>
    <cellStyle name="Comma 4 3 2 2 11" xfId="8831" xr:uid="{386F7378-4404-47C4-A6CF-5908498AEC8F}"/>
    <cellStyle name="Comma 4 3 2 2 11 2" xfId="21471" xr:uid="{C427F359-A666-48CF-BE52-D765FE07B3DA}"/>
    <cellStyle name="Comma 4 3 2 2 12" xfId="17260" xr:uid="{4FD2DA1D-B308-4EBC-8297-C25461680BDE}"/>
    <cellStyle name="Comma 4 3 2 2 2" xfId="147" xr:uid="{00000000-0005-0000-0000-000017090000}"/>
    <cellStyle name="Comma 4 3 2 2 2 10" xfId="8832" xr:uid="{E3DF8A83-EFDF-4527-BC7F-0117F465385E}"/>
    <cellStyle name="Comma 4 3 2 2 2 10 2" xfId="21472" xr:uid="{2FD56776-8315-438C-AB91-D9ABC880A693}"/>
    <cellStyle name="Comma 4 3 2 2 2 11" xfId="17261" xr:uid="{2A87B5F6-5D97-4FC0-9C13-5E6402F69C0F}"/>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D34E5475-3614-4BF1-9A2A-7D809C0E544C}"/>
    <cellStyle name="Comma 4 3 2 2 2 2 2 2 3" xfId="28242" xr:uid="{C0B39739-B295-4812-97C8-DB999C3236B5}"/>
    <cellStyle name="Comma 4 3 2 2 2 2 2 3" xfId="11391" xr:uid="{E112D934-1953-4111-8A24-8B5761AB5401}"/>
    <cellStyle name="Comma 4 3 2 2 2 2 2 3 2" xfId="24031" xr:uid="{FF9B8A1A-0EFE-4B05-8971-A5FCAE743F6B}"/>
    <cellStyle name="Comma 4 3 2 2 2 2 2 4" xfId="19820" xr:uid="{E67C43AA-7495-4AD1-945B-F0B51CE6B9A6}"/>
    <cellStyle name="Comma 4 3 2 2 2 2 3" xfId="5035" xr:uid="{00000000-0005-0000-0000-00001B090000}"/>
    <cellStyle name="Comma 4 3 2 2 2 2 3 2" xfId="13464" xr:uid="{A958EE2F-FC0F-4665-BE2E-C6162FEDD2E8}"/>
    <cellStyle name="Comma 4 3 2 2 2 2 3 3" xfId="26097" xr:uid="{4A3B9319-883D-4CB7-951A-43A4872509EF}"/>
    <cellStyle name="Comma 4 3 2 2 2 2 4" xfId="9246" xr:uid="{43A2969C-07A7-43FF-B322-67D5201EE32A}"/>
    <cellStyle name="Comma 4 3 2 2 2 2 4 2" xfId="21886" xr:uid="{A3FC92AB-29D5-4891-B62F-2E27F87F2F8E}"/>
    <cellStyle name="Comma 4 3 2 2 2 2 5" xfId="17675" xr:uid="{7F45484F-C8D7-4359-A110-89BE726FDC09}"/>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BAB35976-5949-4D00-8375-52BB9E9976AD}"/>
    <cellStyle name="Comma 4 3 2 2 2 3 2 2 3" xfId="28655" xr:uid="{968BCD43-4832-4DC5-A8C6-01D993A129C5}"/>
    <cellStyle name="Comma 4 3 2 2 2 3 2 3" xfId="11804" xr:uid="{378FBFE8-8CFF-4B2D-AB4E-33F2287B2F3E}"/>
    <cellStyle name="Comma 4 3 2 2 2 3 2 3 2" xfId="24444" xr:uid="{0C9E1B23-87A8-4411-B395-E7FCFF3D47C2}"/>
    <cellStyle name="Comma 4 3 2 2 2 3 2 4" xfId="20233" xr:uid="{B3154B59-01DC-46C6-9807-C6D035682442}"/>
    <cellStyle name="Comma 4 3 2 2 2 3 3" xfId="5448" xr:uid="{00000000-0005-0000-0000-00001F090000}"/>
    <cellStyle name="Comma 4 3 2 2 2 3 3 2" xfId="13877" xr:uid="{0DE964AF-0083-42E8-A152-4AE9656E3EFD}"/>
    <cellStyle name="Comma 4 3 2 2 2 3 3 3" xfId="26510" xr:uid="{BBEB7C0A-4E3D-4277-B591-B777C6067FB5}"/>
    <cellStyle name="Comma 4 3 2 2 2 3 4" xfId="9659" xr:uid="{BC615A74-B961-4936-B3B4-13FEBDBE931F}"/>
    <cellStyle name="Comma 4 3 2 2 2 3 4 2" xfId="22299" xr:uid="{FBCC1917-A29D-4EA8-928C-F05FC7E922FC}"/>
    <cellStyle name="Comma 4 3 2 2 2 3 5" xfId="18088" xr:uid="{2F97CD21-DDBA-44EC-B998-56A08DDE0953}"/>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F3367E69-EC47-40EB-9A81-66CC9BBA302C}"/>
    <cellStyle name="Comma 4 3 2 2 2 4 2 2 3" xfId="29068" xr:uid="{A51907CE-C4F3-4932-B2B8-C26BA3ABA89E}"/>
    <cellStyle name="Comma 4 3 2 2 2 4 2 3" xfId="12217" xr:uid="{A2A99692-CAA7-4916-912F-E42E64E1D57E}"/>
    <cellStyle name="Comma 4 3 2 2 2 4 2 3 2" xfId="24857" xr:uid="{C918250C-FB9A-4C61-9D27-381F78326A3F}"/>
    <cellStyle name="Comma 4 3 2 2 2 4 2 4" xfId="20646" xr:uid="{A43E5604-31E1-4E8E-B094-10722A122971}"/>
    <cellStyle name="Comma 4 3 2 2 2 4 3" xfId="5861" xr:uid="{00000000-0005-0000-0000-000023090000}"/>
    <cellStyle name="Comma 4 3 2 2 2 4 3 2" xfId="14290" xr:uid="{05D6A54D-AECE-4055-87D8-E0081EB20E44}"/>
    <cellStyle name="Comma 4 3 2 2 2 4 3 3" xfId="26923" xr:uid="{BEDA000F-7911-40EE-B6EA-96EA59FF995A}"/>
    <cellStyle name="Comma 4 3 2 2 2 4 4" xfId="10072" xr:uid="{A9B792A0-C735-4E5C-BA61-587654DB5F6D}"/>
    <cellStyle name="Comma 4 3 2 2 2 4 4 2" xfId="22712" xr:uid="{9297B0F5-84E5-42DB-BFE1-35281B8D168F}"/>
    <cellStyle name="Comma 4 3 2 2 2 4 5" xfId="18501" xr:uid="{614649E0-3C02-4465-A292-BF3C7FA494B8}"/>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C6B62458-B197-48D7-83C2-0B79E3DFF8CD}"/>
    <cellStyle name="Comma 4 3 2 2 2 5 2 2 3" xfId="29481" xr:uid="{5560D817-6E11-4FB7-BFDB-68E12488F68C}"/>
    <cellStyle name="Comma 4 3 2 2 2 5 2 3" xfId="12630" xr:uid="{3AABB4EA-F90C-4BEB-93AC-B13E02F1F7A9}"/>
    <cellStyle name="Comma 4 3 2 2 2 5 2 3 2" xfId="25270" xr:uid="{D2E8A674-D75E-4E8B-A7C3-7E4031FB0E83}"/>
    <cellStyle name="Comma 4 3 2 2 2 5 2 4" xfId="21059" xr:uid="{17BBFDC1-21FF-4098-A653-BD158D884DBE}"/>
    <cellStyle name="Comma 4 3 2 2 2 5 3" xfId="6274" xr:uid="{00000000-0005-0000-0000-000027090000}"/>
    <cellStyle name="Comma 4 3 2 2 2 5 3 2" xfId="14703" xr:uid="{90803DCE-FECC-40F3-A1FA-A480BC746267}"/>
    <cellStyle name="Comma 4 3 2 2 2 5 3 3" xfId="27336" xr:uid="{606534B2-99AD-4FA4-9A8F-9F1B393C53B6}"/>
    <cellStyle name="Comma 4 3 2 2 2 5 4" xfId="10485" xr:uid="{F51BE37A-65FE-4A50-BFA8-1B5642EEEC93}"/>
    <cellStyle name="Comma 4 3 2 2 2 5 4 2" xfId="23125" xr:uid="{86846775-D24F-440F-BAFB-694204CD2CEC}"/>
    <cellStyle name="Comma 4 3 2 2 2 5 5" xfId="18914" xr:uid="{880B4177-C9B0-4D30-A96D-097064E63C48}"/>
    <cellStyle name="Comma 4 3 2 2 2 6" xfId="2401" xr:uid="{00000000-0005-0000-0000-000028090000}"/>
    <cellStyle name="Comma 4 3 2 2 2 6 2" xfId="6687" xr:uid="{00000000-0005-0000-0000-000029090000}"/>
    <cellStyle name="Comma 4 3 2 2 2 6 2 2" xfId="15116" xr:uid="{AA1B5492-A762-437E-92C5-DE92E8817A87}"/>
    <cellStyle name="Comma 4 3 2 2 2 6 2 3" xfId="27749" xr:uid="{2DF9E081-3839-4E06-B1CD-955B65FFF6A4}"/>
    <cellStyle name="Comma 4 3 2 2 2 6 3" xfId="10898" xr:uid="{6E2E3D0A-AE47-499E-9FFE-BE1EBF401C58}"/>
    <cellStyle name="Comma 4 3 2 2 2 6 3 2" xfId="23538" xr:uid="{70F80405-95FB-49C4-988D-23ACC5BB74D8}"/>
    <cellStyle name="Comma 4 3 2 2 2 6 4" xfId="19327" xr:uid="{9E1ABEE7-EBF2-42EA-A149-2EB52E478AD4}"/>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7620E883-2AE4-49A3-BC98-3ED262BC1783}"/>
    <cellStyle name="Comma 4 3 2 2 2 8 2 3" xfId="28066" xr:uid="{DCA4D635-F7CA-48D0-B275-1D838129AA83}"/>
    <cellStyle name="Comma 4 3 2 2 2 8 3" xfId="11215" xr:uid="{85680B86-FF5E-4C4A-98D0-C1448179778A}"/>
    <cellStyle name="Comma 4 3 2 2 2 8 3 2" xfId="23855" xr:uid="{FEFE6F23-EDD6-4864-93F4-E299BEEFBB84}"/>
    <cellStyle name="Comma 4 3 2 2 2 8 4" xfId="19644" xr:uid="{ED652939-A32A-4B61-A88C-0B1818AFA398}"/>
    <cellStyle name="Comma 4 3 2 2 2 9" xfId="4621" xr:uid="{00000000-0005-0000-0000-00002D090000}"/>
    <cellStyle name="Comma 4 3 2 2 2 9 2" xfId="13050" xr:uid="{954B1E22-213A-46E8-BC6A-7A8243DE0945}"/>
    <cellStyle name="Comma 4 3 2 2 2 9 3" xfId="25683" xr:uid="{E6F6E0B5-1601-4636-8E27-D0CA0F392719}"/>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CAA96D42-6871-4BC7-843F-24B1C3DE3F53}"/>
    <cellStyle name="Comma 4 3 2 2 3 2 2 3" xfId="28241" xr:uid="{C102FAA2-7F86-459A-A98F-709D7497E6E3}"/>
    <cellStyle name="Comma 4 3 2 2 3 2 3" xfId="11390" xr:uid="{E1DD6255-8D34-4631-AB96-9F5E202500C0}"/>
    <cellStyle name="Comma 4 3 2 2 3 2 3 2" xfId="24030" xr:uid="{AF5FECF6-EFB9-4CA9-849D-A44C46FA198B}"/>
    <cellStyle name="Comma 4 3 2 2 3 2 4" xfId="19819" xr:uid="{DAFDC930-3E14-41D2-8493-8E11EE2DB170}"/>
    <cellStyle name="Comma 4 3 2 2 3 3" xfId="5034" xr:uid="{00000000-0005-0000-0000-000031090000}"/>
    <cellStyle name="Comma 4 3 2 2 3 3 2" xfId="13463" xr:uid="{4B7E770D-6F45-439B-8D65-26B2E23137B9}"/>
    <cellStyle name="Comma 4 3 2 2 3 3 3" xfId="26096" xr:uid="{3783F87D-289A-4FFE-83A4-ED5C3E22E16B}"/>
    <cellStyle name="Comma 4 3 2 2 3 4" xfId="9245" xr:uid="{06EB7AE7-BEC4-427C-BCEE-EDDB5C8135A2}"/>
    <cellStyle name="Comma 4 3 2 2 3 4 2" xfId="21885" xr:uid="{03B3C81F-238D-4BBC-9EC6-842912B8E78F}"/>
    <cellStyle name="Comma 4 3 2 2 3 5" xfId="17674" xr:uid="{98C5BAA3-A982-4C09-BF34-68A036F75671}"/>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DFFFD6DA-520C-4989-BE44-9E312A4F3DC7}"/>
    <cellStyle name="Comma 4 3 2 2 4 2 2 3" xfId="28654" xr:uid="{FC5D60EA-73D8-4F77-B918-596C4F991C78}"/>
    <cellStyle name="Comma 4 3 2 2 4 2 3" xfId="11803" xr:uid="{6DDF1F77-4EAF-42A9-9915-2D88DBDBCDB8}"/>
    <cellStyle name="Comma 4 3 2 2 4 2 3 2" xfId="24443" xr:uid="{149B6360-EFE5-4983-BEA5-AE1552428FD8}"/>
    <cellStyle name="Comma 4 3 2 2 4 2 4" xfId="20232" xr:uid="{8AE50636-F10E-46A6-9413-066CE9CB4247}"/>
    <cellStyle name="Comma 4 3 2 2 4 3" xfId="5447" xr:uid="{00000000-0005-0000-0000-000035090000}"/>
    <cellStyle name="Comma 4 3 2 2 4 3 2" xfId="13876" xr:uid="{30B713FF-C8C5-49F3-A0A5-D086C55CADEE}"/>
    <cellStyle name="Comma 4 3 2 2 4 3 3" xfId="26509" xr:uid="{7A0C0D47-17C6-4FA0-9D98-216E7CCF6A8A}"/>
    <cellStyle name="Comma 4 3 2 2 4 4" xfId="9658" xr:uid="{B145C4A7-8600-470D-A642-7FA1389CE8DA}"/>
    <cellStyle name="Comma 4 3 2 2 4 4 2" xfId="22298" xr:uid="{B8F493A5-3103-40C8-81D6-21B70FCA256F}"/>
    <cellStyle name="Comma 4 3 2 2 4 5" xfId="18087" xr:uid="{3819D05C-9A10-422D-A845-A45ADC34853E}"/>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640668AA-E0FF-46C2-AD9A-6AC3FE7D3850}"/>
    <cellStyle name="Comma 4 3 2 2 5 2 2 3" xfId="29067" xr:uid="{E7DE62F5-D9FC-4BC0-AC04-182F7135851D}"/>
    <cellStyle name="Comma 4 3 2 2 5 2 3" xfId="12216" xr:uid="{0640C1EE-66DE-479A-8A66-F651F3B258E8}"/>
    <cellStyle name="Comma 4 3 2 2 5 2 3 2" xfId="24856" xr:uid="{2A56E365-F1AE-4813-8289-332EF922676C}"/>
    <cellStyle name="Comma 4 3 2 2 5 2 4" xfId="20645" xr:uid="{007571AB-3BAB-4807-89AF-A652873CCC74}"/>
    <cellStyle name="Comma 4 3 2 2 5 3" xfId="5860" xr:uid="{00000000-0005-0000-0000-000039090000}"/>
    <cellStyle name="Comma 4 3 2 2 5 3 2" xfId="14289" xr:uid="{522E8876-8D95-438E-A331-D865449D52E8}"/>
    <cellStyle name="Comma 4 3 2 2 5 3 3" xfId="26922" xr:uid="{F76A2338-E038-41E8-983C-6DA91A5045EA}"/>
    <cellStyle name="Comma 4 3 2 2 5 4" xfId="10071" xr:uid="{D7B4784C-057A-4696-A499-AF33E7C76E51}"/>
    <cellStyle name="Comma 4 3 2 2 5 4 2" xfId="22711" xr:uid="{C4A51763-850E-4DEE-982F-24C392B539EB}"/>
    <cellStyle name="Comma 4 3 2 2 5 5" xfId="18500" xr:uid="{744F0322-C6FD-46FD-A6AA-292E20241B16}"/>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9B0328CF-477C-4A93-8282-A6638D47E710}"/>
    <cellStyle name="Comma 4 3 2 2 6 2 2 3" xfId="29480" xr:uid="{8343AF69-2A06-4B1F-8B28-4F313816E440}"/>
    <cellStyle name="Comma 4 3 2 2 6 2 3" xfId="12629" xr:uid="{91BBC0B6-CAC0-4E0D-AC94-08A89246F39F}"/>
    <cellStyle name="Comma 4 3 2 2 6 2 3 2" xfId="25269" xr:uid="{F9F9FB79-939C-4C10-AD95-72FDD3F1EA71}"/>
    <cellStyle name="Comma 4 3 2 2 6 2 4" xfId="21058" xr:uid="{29BBD3D2-561E-4CEC-9ACF-49780016533D}"/>
    <cellStyle name="Comma 4 3 2 2 6 3" xfId="6273" xr:uid="{00000000-0005-0000-0000-00003D090000}"/>
    <cellStyle name="Comma 4 3 2 2 6 3 2" xfId="14702" xr:uid="{059E3CE8-A5F4-49B7-B16A-42C52980798B}"/>
    <cellStyle name="Comma 4 3 2 2 6 3 3" xfId="27335" xr:uid="{41DDC622-447B-4EF2-ADB8-9D9B43C83E8D}"/>
    <cellStyle name="Comma 4 3 2 2 6 4" xfId="10484" xr:uid="{64C54D39-B98F-4CE1-9397-1F031A06FB4A}"/>
    <cellStyle name="Comma 4 3 2 2 6 4 2" xfId="23124" xr:uid="{645383A1-CBE2-4A91-9A71-30D6FEFA1A3C}"/>
    <cellStyle name="Comma 4 3 2 2 6 5" xfId="18913" xr:uid="{1688BDC4-D507-4AE0-8899-F238F701EDC7}"/>
    <cellStyle name="Comma 4 3 2 2 7" xfId="2400" xr:uid="{00000000-0005-0000-0000-00003E090000}"/>
    <cellStyle name="Comma 4 3 2 2 7 2" xfId="6686" xr:uid="{00000000-0005-0000-0000-00003F090000}"/>
    <cellStyle name="Comma 4 3 2 2 7 2 2" xfId="15115" xr:uid="{7729EC8F-DE98-46FC-8FA1-C5E67ACA6735}"/>
    <cellStyle name="Comma 4 3 2 2 7 2 3" xfId="27748" xr:uid="{DE14ABAF-56F2-44D7-966A-7954055EA9BF}"/>
    <cellStyle name="Comma 4 3 2 2 7 3" xfId="10897" xr:uid="{C909FFD7-3135-4AC8-9C5B-7D5CE9CC20A9}"/>
    <cellStyle name="Comma 4 3 2 2 7 3 2" xfId="23537" xr:uid="{5E5DBF8E-8F98-4292-88A5-43CA4484B4AA}"/>
    <cellStyle name="Comma 4 3 2 2 7 4" xfId="19326" xr:uid="{80AD2DB5-7FC1-4AA8-BA39-7A66432FBA67}"/>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812D4D9C-329E-45A5-9C06-236FC0D5E632}"/>
    <cellStyle name="Comma 4 3 2 2 9 2 3" xfId="28065" xr:uid="{76705105-5B29-49EF-8D52-C3AB77697297}"/>
    <cellStyle name="Comma 4 3 2 2 9 3" xfId="11214" xr:uid="{3ACC64A2-B192-4720-B4FD-64989ECA4517}"/>
    <cellStyle name="Comma 4 3 2 2 9 3 2" xfId="23854" xr:uid="{E7D1B25D-3BA7-4374-AA2F-D349B2D4D7BC}"/>
    <cellStyle name="Comma 4 3 2 2 9 4" xfId="19643" xr:uid="{E9A9A41D-0EB5-41E1-A0EC-AC436BB9E947}"/>
    <cellStyle name="Comma 4 3 2 3" xfId="148" xr:uid="{00000000-0005-0000-0000-000043090000}"/>
    <cellStyle name="Comma 4 3 2 3 10" xfId="8833" xr:uid="{1ECEEDF7-D968-4E4D-9189-5DEC8FEA141F}"/>
    <cellStyle name="Comma 4 3 2 3 10 2" xfId="21473" xr:uid="{ADC4B055-6DDC-4664-B1C8-80E2C77F99B4}"/>
    <cellStyle name="Comma 4 3 2 3 11" xfId="17262" xr:uid="{70ED10B0-B60C-459A-899E-76EC5B010A79}"/>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5402F63A-90FD-4D62-ACFF-7DAA126AB167}"/>
    <cellStyle name="Comma 4 3 2 3 2 2 2 3" xfId="28243" xr:uid="{B32F37CE-7F67-466A-A7A6-7457226602EF}"/>
    <cellStyle name="Comma 4 3 2 3 2 2 3" xfId="11392" xr:uid="{4DDD0891-61D3-4531-86BD-0E26B4E30475}"/>
    <cellStyle name="Comma 4 3 2 3 2 2 3 2" xfId="24032" xr:uid="{B9C76828-4A1F-4259-9A3C-5A4CB3D288FA}"/>
    <cellStyle name="Comma 4 3 2 3 2 2 4" xfId="19821" xr:uid="{89B27481-CDB5-4787-AD7D-27198DEF7A62}"/>
    <cellStyle name="Comma 4 3 2 3 2 3" xfId="5036" xr:uid="{00000000-0005-0000-0000-000047090000}"/>
    <cellStyle name="Comma 4 3 2 3 2 3 2" xfId="13465" xr:uid="{E8719A38-D511-44D8-A438-102B43673306}"/>
    <cellStyle name="Comma 4 3 2 3 2 3 3" xfId="26098" xr:uid="{63A7EDC7-03B7-4139-B771-6DB70FDEFC0D}"/>
    <cellStyle name="Comma 4 3 2 3 2 4" xfId="9247" xr:uid="{DC04D4FD-53A9-4D7D-8816-8DB853A5999B}"/>
    <cellStyle name="Comma 4 3 2 3 2 4 2" xfId="21887" xr:uid="{7D61C4A1-84A2-4423-A843-048D8A4B6432}"/>
    <cellStyle name="Comma 4 3 2 3 2 5" xfId="17676" xr:uid="{C77DAA6B-0DFA-4208-BC44-42DBF86FE397}"/>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348B449E-2F98-4F47-9DE3-4301FB344156}"/>
    <cellStyle name="Comma 4 3 2 3 3 2 2 3" xfId="28656" xr:uid="{78ED6E49-9E24-4AA9-80D8-FF6DF265C61C}"/>
    <cellStyle name="Comma 4 3 2 3 3 2 3" xfId="11805" xr:uid="{03D22CA1-9F1D-42CD-A4D7-F9A4C83D9482}"/>
    <cellStyle name="Comma 4 3 2 3 3 2 3 2" xfId="24445" xr:uid="{06CAA2DC-2723-48A1-9A89-50E6B1BEEB48}"/>
    <cellStyle name="Comma 4 3 2 3 3 2 4" xfId="20234" xr:uid="{7B8D5179-2DA7-4F44-86CF-D30FA8450C54}"/>
    <cellStyle name="Comma 4 3 2 3 3 3" xfId="5449" xr:uid="{00000000-0005-0000-0000-00004B090000}"/>
    <cellStyle name="Comma 4 3 2 3 3 3 2" xfId="13878" xr:uid="{5AB879CB-6CDD-4CEC-99CB-A9ED795D8B37}"/>
    <cellStyle name="Comma 4 3 2 3 3 3 3" xfId="26511" xr:uid="{4F603E3F-CC48-480D-B820-F203A5B44311}"/>
    <cellStyle name="Comma 4 3 2 3 3 4" xfId="9660" xr:uid="{1D1C8614-2E6F-4A79-9422-487B4308FC48}"/>
    <cellStyle name="Comma 4 3 2 3 3 4 2" xfId="22300" xr:uid="{A515E33E-261B-4D69-AC56-9BB2C82AFF38}"/>
    <cellStyle name="Comma 4 3 2 3 3 5" xfId="18089" xr:uid="{95D9F008-E1EE-48AD-81F2-073A9D250FBD}"/>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B3FE7772-7AAE-45E7-A460-CC3C6033A1D3}"/>
    <cellStyle name="Comma 4 3 2 3 4 2 2 3" xfId="29069" xr:uid="{DA1EFA63-FD99-42BA-AED7-5D44810A7A2A}"/>
    <cellStyle name="Comma 4 3 2 3 4 2 3" xfId="12218" xr:uid="{A5134BF5-703A-4B42-A9D2-D4A4777C1689}"/>
    <cellStyle name="Comma 4 3 2 3 4 2 3 2" xfId="24858" xr:uid="{0178ABEB-79F3-4EFB-9E36-145046FC91D1}"/>
    <cellStyle name="Comma 4 3 2 3 4 2 4" xfId="20647" xr:uid="{01634847-388A-48DA-918D-A00AC0D54549}"/>
    <cellStyle name="Comma 4 3 2 3 4 3" xfId="5862" xr:uid="{00000000-0005-0000-0000-00004F090000}"/>
    <cellStyle name="Comma 4 3 2 3 4 3 2" xfId="14291" xr:uid="{05B19B2B-347F-4122-93E7-EDD62A1C8B10}"/>
    <cellStyle name="Comma 4 3 2 3 4 3 3" xfId="26924" xr:uid="{3123A028-C722-4FCE-B3F2-AD7BB17E526A}"/>
    <cellStyle name="Comma 4 3 2 3 4 4" xfId="10073" xr:uid="{B1774B36-9FF4-4F5E-BC0D-13F41D42099D}"/>
    <cellStyle name="Comma 4 3 2 3 4 4 2" xfId="22713" xr:uid="{323FD8CE-CD47-4AD7-8E9C-B889BF09533B}"/>
    <cellStyle name="Comma 4 3 2 3 4 5" xfId="18502" xr:uid="{0052C972-6CFB-4ECA-9D49-A1AB161532D1}"/>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75DF4636-479E-49EB-A55A-067BC941863A}"/>
    <cellStyle name="Comma 4 3 2 3 5 2 2 3" xfId="29482" xr:uid="{97F05A1B-E96D-4A69-A84B-DD2FB42DC899}"/>
    <cellStyle name="Comma 4 3 2 3 5 2 3" xfId="12631" xr:uid="{733DC207-B1F9-4F6E-9962-87D95C6DCA33}"/>
    <cellStyle name="Comma 4 3 2 3 5 2 3 2" xfId="25271" xr:uid="{113EBA03-C4E4-4E5E-B3C9-E002F5402D09}"/>
    <cellStyle name="Comma 4 3 2 3 5 2 4" xfId="21060" xr:uid="{1AD7431C-188D-4ABC-B8B9-A918DA2F27C4}"/>
    <cellStyle name="Comma 4 3 2 3 5 3" xfId="6275" xr:uid="{00000000-0005-0000-0000-000053090000}"/>
    <cellStyle name="Comma 4 3 2 3 5 3 2" xfId="14704" xr:uid="{5D583242-110F-4901-8E64-94044AE0D895}"/>
    <cellStyle name="Comma 4 3 2 3 5 3 3" xfId="27337" xr:uid="{2788067C-199E-44EE-8FE3-244EF0B52168}"/>
    <cellStyle name="Comma 4 3 2 3 5 4" xfId="10486" xr:uid="{B945E4E1-84FE-4DF8-9B55-56FB6F6040A1}"/>
    <cellStyle name="Comma 4 3 2 3 5 4 2" xfId="23126" xr:uid="{96301C91-CAAF-4B6C-83B6-717239F924C7}"/>
    <cellStyle name="Comma 4 3 2 3 5 5" xfId="18915" xr:uid="{292A9376-28A5-4016-A742-C2AC1C7BF243}"/>
    <cellStyle name="Comma 4 3 2 3 6" xfId="2402" xr:uid="{00000000-0005-0000-0000-000054090000}"/>
    <cellStyle name="Comma 4 3 2 3 6 2" xfId="6688" xr:uid="{00000000-0005-0000-0000-000055090000}"/>
    <cellStyle name="Comma 4 3 2 3 6 2 2" xfId="15117" xr:uid="{A3D10215-51E2-4820-B0F2-745F70AC1F75}"/>
    <cellStyle name="Comma 4 3 2 3 6 2 3" xfId="27750" xr:uid="{25F5F1D2-74B8-45B7-BD98-919C5274C404}"/>
    <cellStyle name="Comma 4 3 2 3 6 3" xfId="10899" xr:uid="{32E5538D-65B9-4F96-8A8D-7D853F08798F}"/>
    <cellStyle name="Comma 4 3 2 3 6 3 2" xfId="23539" xr:uid="{7CE70FEF-A767-4E50-9547-DF5E1F6927C3}"/>
    <cellStyle name="Comma 4 3 2 3 6 4" xfId="19328" xr:uid="{B6B7AABC-F030-4D50-8FED-3195DBF70B48}"/>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964E6EFA-C48C-4DC1-AE36-2854A7DB4C41}"/>
    <cellStyle name="Comma 4 3 2 3 8 2 3" xfId="28067" xr:uid="{B3C8E0C1-6673-4244-9DE0-2BB1D9393287}"/>
    <cellStyle name="Comma 4 3 2 3 8 3" xfId="11216" xr:uid="{22E8D3CB-CC86-4FC3-A00D-E2AC849A0564}"/>
    <cellStyle name="Comma 4 3 2 3 8 3 2" xfId="23856" xr:uid="{F0B23BE3-6EAC-4435-9158-0BDEDEF7A0F7}"/>
    <cellStyle name="Comma 4 3 2 3 8 4" xfId="19645" xr:uid="{37B270A4-617D-41B5-B438-038C17035154}"/>
    <cellStyle name="Comma 4 3 2 3 9" xfId="4622" xr:uid="{00000000-0005-0000-0000-000059090000}"/>
    <cellStyle name="Comma 4 3 2 3 9 2" xfId="13051" xr:uid="{C553051B-F375-47BE-99AF-C50B2C08F044}"/>
    <cellStyle name="Comma 4 3 2 3 9 3" xfId="25684" xr:uid="{F86B120D-DB34-4BF6-9F34-14E3225C3D20}"/>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15B9D7BF-484D-41DA-A14A-36C3E7C9C4AF}"/>
    <cellStyle name="Comma 4 3 2 4 2 2 3" xfId="28240" xr:uid="{6282B77B-1D67-4EEF-BF2C-E813F1DAD156}"/>
    <cellStyle name="Comma 4 3 2 4 2 3" xfId="11389" xr:uid="{6BC06E8F-9929-48A1-9CF2-1DD7CF435093}"/>
    <cellStyle name="Comma 4 3 2 4 2 3 2" xfId="24029" xr:uid="{1E357D41-3701-46DE-AE4B-9C2320B96A45}"/>
    <cellStyle name="Comma 4 3 2 4 2 4" xfId="19818" xr:uid="{8A8DCAC7-5FA3-4A77-AFA0-B425CFB9968A}"/>
    <cellStyle name="Comma 4 3 2 4 3" xfId="5033" xr:uid="{00000000-0005-0000-0000-00005D090000}"/>
    <cellStyle name="Comma 4 3 2 4 3 2" xfId="13462" xr:uid="{1A01A8C6-5FEA-4973-9CBC-3E8829DAA15D}"/>
    <cellStyle name="Comma 4 3 2 4 3 3" xfId="26095" xr:uid="{ADB5D598-EA05-402B-ADD4-FDD0EA88E4DA}"/>
    <cellStyle name="Comma 4 3 2 4 4" xfId="9244" xr:uid="{217CCBD9-7EB8-4E6A-A5BA-A47231827689}"/>
    <cellStyle name="Comma 4 3 2 4 4 2" xfId="21884" xr:uid="{5676CF22-E81E-4594-9F72-F91AC5C90FB5}"/>
    <cellStyle name="Comma 4 3 2 4 5" xfId="17673" xr:uid="{16F9CD81-396F-4EF7-B787-9CEE2AE264E8}"/>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FCB4FE69-048F-4BCD-8724-C69BF671058C}"/>
    <cellStyle name="Comma 4 3 2 5 2 2 3" xfId="28653" xr:uid="{539FE6A5-3C15-475A-898C-28E8E902BDAB}"/>
    <cellStyle name="Comma 4 3 2 5 2 3" xfId="11802" xr:uid="{41374895-4B07-4004-BD8E-D0F7327CA402}"/>
    <cellStyle name="Comma 4 3 2 5 2 3 2" xfId="24442" xr:uid="{2E2C7874-8392-408F-A0E2-D210ED98790A}"/>
    <cellStyle name="Comma 4 3 2 5 2 4" xfId="20231" xr:uid="{632C696E-01F7-4779-A18C-B4BBDB1E3E49}"/>
    <cellStyle name="Comma 4 3 2 5 3" xfId="5446" xr:uid="{00000000-0005-0000-0000-000061090000}"/>
    <cellStyle name="Comma 4 3 2 5 3 2" xfId="13875" xr:uid="{8809624A-72C3-40B2-BCC8-4F880289EBB3}"/>
    <cellStyle name="Comma 4 3 2 5 3 3" xfId="26508" xr:uid="{0DBD207F-BFF0-44DA-9BC2-66BF8567C979}"/>
    <cellStyle name="Comma 4 3 2 5 4" xfId="9657" xr:uid="{E434D78B-E47F-4468-93FA-C9F7D1D09CAA}"/>
    <cellStyle name="Comma 4 3 2 5 4 2" xfId="22297" xr:uid="{BFCEECBC-CAF6-4330-AF26-5BDB0F11EA91}"/>
    <cellStyle name="Comma 4 3 2 5 5" xfId="18086" xr:uid="{28A4C16E-8DEE-4AA5-B4F1-6014703D3441}"/>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75B8EE24-FCF8-402C-8918-6416FBAC94C3}"/>
    <cellStyle name="Comma 4 3 2 6 2 2 3" xfId="29066" xr:uid="{DCC9891D-BF3F-43A9-813A-15AD1CEBE01B}"/>
    <cellStyle name="Comma 4 3 2 6 2 3" xfId="12215" xr:uid="{92A0013A-FCA2-492B-BD8F-7837B204F268}"/>
    <cellStyle name="Comma 4 3 2 6 2 3 2" xfId="24855" xr:uid="{8D51772E-6AA5-410A-8E48-7C8776B8A20D}"/>
    <cellStyle name="Comma 4 3 2 6 2 4" xfId="20644" xr:uid="{1C774791-B32F-47E2-B7CC-701C6A82B40F}"/>
    <cellStyle name="Comma 4 3 2 6 3" xfId="5859" xr:uid="{00000000-0005-0000-0000-000065090000}"/>
    <cellStyle name="Comma 4 3 2 6 3 2" xfId="14288" xr:uid="{18E7EB09-D9E3-4A59-910F-C5E96CB115B2}"/>
    <cellStyle name="Comma 4 3 2 6 3 3" xfId="26921" xr:uid="{80F4FD77-2CAC-40C0-8CF1-9D335CE95731}"/>
    <cellStyle name="Comma 4 3 2 6 4" xfId="10070" xr:uid="{6F5F4D54-7746-4D0D-AE6E-0C8255FB5799}"/>
    <cellStyle name="Comma 4 3 2 6 4 2" xfId="22710" xr:uid="{49C9BCAE-7AC8-40EE-9EC4-999F767BBBD3}"/>
    <cellStyle name="Comma 4 3 2 6 5" xfId="18499" xr:uid="{57B9182F-F353-4994-8BFE-1DF321D1A026}"/>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DE8E9387-7DB5-4389-A9EA-0210C2CE72CD}"/>
    <cellStyle name="Comma 4 3 2 7 2 2 3" xfId="29479" xr:uid="{D2968450-F64E-4E79-B3CB-C265B8917D8B}"/>
    <cellStyle name="Comma 4 3 2 7 2 3" xfId="12628" xr:uid="{7A1DF1AC-BDC1-4EB0-A3A0-600DA178512E}"/>
    <cellStyle name="Comma 4 3 2 7 2 3 2" xfId="25268" xr:uid="{522E801B-251F-4022-9E39-36002897C659}"/>
    <cellStyle name="Comma 4 3 2 7 2 4" xfId="21057" xr:uid="{435E8BFE-C4CF-42DD-AC95-0935ABDC4AAA}"/>
    <cellStyle name="Comma 4 3 2 7 3" xfId="6272" xr:uid="{00000000-0005-0000-0000-000069090000}"/>
    <cellStyle name="Comma 4 3 2 7 3 2" xfId="14701" xr:uid="{1DEEF903-4048-495F-B362-3DE7F3EDBD6F}"/>
    <cellStyle name="Comma 4 3 2 7 3 3" xfId="27334" xr:uid="{B7FB324F-352C-426C-84FD-7D0FBF763F36}"/>
    <cellStyle name="Comma 4 3 2 7 4" xfId="10483" xr:uid="{B2DED455-29D0-4A38-9DF4-B31027D054A0}"/>
    <cellStyle name="Comma 4 3 2 7 4 2" xfId="23123" xr:uid="{D9000683-17CF-4ECB-AD6C-484E8E0D83ED}"/>
    <cellStyle name="Comma 4 3 2 7 5" xfId="18912" xr:uid="{223A75C3-79D6-4D99-812C-5E931C26C863}"/>
    <cellStyle name="Comma 4 3 2 8" xfId="2399" xr:uid="{00000000-0005-0000-0000-00006A090000}"/>
    <cellStyle name="Comma 4 3 2 8 2" xfId="6685" xr:uid="{00000000-0005-0000-0000-00006B090000}"/>
    <cellStyle name="Comma 4 3 2 8 2 2" xfId="15114" xr:uid="{5432C349-9C93-483A-9586-A6EA30D3BC85}"/>
    <cellStyle name="Comma 4 3 2 8 2 3" xfId="27747" xr:uid="{CA54AB9E-35C3-43F4-868F-CBA6C24D4697}"/>
    <cellStyle name="Comma 4 3 2 8 3" xfId="10896" xr:uid="{12ECD0B2-75FA-4E88-8576-EEB8E5944700}"/>
    <cellStyle name="Comma 4 3 2 8 3 2" xfId="23536" xr:uid="{C92FD003-DFA8-4607-A1D2-5A0EB05266BF}"/>
    <cellStyle name="Comma 4 3 2 8 4" xfId="19325" xr:uid="{D6FBC1EF-B344-4282-B9C1-67A169A27504}"/>
    <cellStyle name="Comma 4 3 2 9" xfId="2366" xr:uid="{00000000-0005-0000-0000-00006C090000}"/>
    <cellStyle name="Comma 4 3 3" xfId="149" xr:uid="{00000000-0005-0000-0000-00006D090000}"/>
    <cellStyle name="Comma 4 3 3 10" xfId="4623" xr:uid="{00000000-0005-0000-0000-00006E090000}"/>
    <cellStyle name="Comma 4 3 3 10 2" xfId="13052" xr:uid="{879377EC-ADD4-4F69-9989-E38E961D8754}"/>
    <cellStyle name="Comma 4 3 3 10 3" xfId="25685" xr:uid="{17E8E66C-2688-411B-B06E-8C9185C9E663}"/>
    <cellStyle name="Comma 4 3 3 11" xfId="8834" xr:uid="{AA2D2D46-E851-4677-A8C5-40782353DB68}"/>
    <cellStyle name="Comma 4 3 3 11 2" xfId="21474" xr:uid="{79809CBA-6A6F-4139-AE67-74BEF1CA2B47}"/>
    <cellStyle name="Comma 4 3 3 12" xfId="17263" xr:uid="{CFBEEAE3-A286-4190-822B-CDDE6D10191A}"/>
    <cellStyle name="Comma 4 3 3 2" xfId="150" xr:uid="{00000000-0005-0000-0000-00006F090000}"/>
    <cellStyle name="Comma 4 3 3 2 10" xfId="8835" xr:uid="{EF1549F6-0796-4FF2-A14B-ABAB9B45EBA7}"/>
    <cellStyle name="Comma 4 3 3 2 10 2" xfId="21475" xr:uid="{50F53EE8-4850-4389-85F4-89C50A2B8573}"/>
    <cellStyle name="Comma 4 3 3 2 11" xfId="17264" xr:uid="{CF2B5217-224B-40C7-B909-3F0A8A8E95D1}"/>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BDD6D444-D496-4024-B476-81AA032B6508}"/>
    <cellStyle name="Comma 4 3 3 2 2 2 2 3" xfId="28245" xr:uid="{82BEF170-74C9-4AE1-BAF5-3803FF7FC2A8}"/>
    <cellStyle name="Comma 4 3 3 2 2 2 3" xfId="11394" xr:uid="{4906A313-E74D-4773-8039-95F2EA3375EF}"/>
    <cellStyle name="Comma 4 3 3 2 2 2 3 2" xfId="24034" xr:uid="{FEFBFABC-5282-4AC6-A251-46B41C0A1216}"/>
    <cellStyle name="Comma 4 3 3 2 2 2 4" xfId="19823" xr:uid="{6B3FF4B8-1E5A-4D8C-9C3B-F2477C03DBA0}"/>
    <cellStyle name="Comma 4 3 3 2 2 3" xfId="5038" xr:uid="{00000000-0005-0000-0000-000073090000}"/>
    <cellStyle name="Comma 4 3 3 2 2 3 2" xfId="13467" xr:uid="{DD1F6B28-14A2-4342-AACB-CE5681A8D2EF}"/>
    <cellStyle name="Comma 4 3 3 2 2 3 3" xfId="26100" xr:uid="{E89DB0A3-6052-4EFD-BCA9-970C4D4C7C18}"/>
    <cellStyle name="Comma 4 3 3 2 2 4" xfId="9249" xr:uid="{13F0CBD2-0695-4A14-A0EC-44333BDA0C54}"/>
    <cellStyle name="Comma 4 3 3 2 2 4 2" xfId="21889" xr:uid="{988B91A4-4E7E-4531-9824-530D480A203C}"/>
    <cellStyle name="Comma 4 3 3 2 2 5" xfId="17678" xr:uid="{3C790629-2B40-4FD7-8CB4-16E95D7DEA1C}"/>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E69CC67B-15CA-4691-82CE-3B78F2D06F1F}"/>
    <cellStyle name="Comma 4 3 3 2 3 2 2 3" xfId="28658" xr:uid="{32595E3E-0390-404E-BC20-2AC5C5D2FC4E}"/>
    <cellStyle name="Comma 4 3 3 2 3 2 3" xfId="11807" xr:uid="{FEA24AC9-7260-42F1-A5BE-AD754BD249F8}"/>
    <cellStyle name="Comma 4 3 3 2 3 2 3 2" xfId="24447" xr:uid="{988E7D1C-0C98-476B-A59B-DC5D4105EDA2}"/>
    <cellStyle name="Comma 4 3 3 2 3 2 4" xfId="20236" xr:uid="{7A47F220-BA29-499B-A299-CCF0A38A583E}"/>
    <cellStyle name="Comma 4 3 3 2 3 3" xfId="5451" xr:uid="{00000000-0005-0000-0000-000077090000}"/>
    <cellStyle name="Comma 4 3 3 2 3 3 2" xfId="13880" xr:uid="{DD44F26F-9C93-4FA1-A693-DD80C1AD454D}"/>
    <cellStyle name="Comma 4 3 3 2 3 3 3" xfId="26513" xr:uid="{FC21608C-E5C6-43FA-B906-BC9F37B3EB52}"/>
    <cellStyle name="Comma 4 3 3 2 3 4" xfId="9662" xr:uid="{BC316ACE-DBDE-4DB3-8B91-9CE96BA0846C}"/>
    <cellStyle name="Comma 4 3 3 2 3 4 2" xfId="22302" xr:uid="{1E9564B3-85E2-4947-BA16-4E35AA96E8A4}"/>
    <cellStyle name="Comma 4 3 3 2 3 5" xfId="18091" xr:uid="{D0C31F75-E62A-4127-AB89-FD6DDF511E97}"/>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66857058-3B41-491E-AED1-C7B4CAF91FF5}"/>
    <cellStyle name="Comma 4 3 3 2 4 2 2 3" xfId="29071" xr:uid="{88BA54FE-A2F9-46E6-A912-4703DCEE7F72}"/>
    <cellStyle name="Comma 4 3 3 2 4 2 3" xfId="12220" xr:uid="{5715BA0E-A8F9-43D8-8D8B-64F0090597B2}"/>
    <cellStyle name="Comma 4 3 3 2 4 2 3 2" xfId="24860" xr:uid="{719D115C-C25A-4DB8-8651-9B3298568D8D}"/>
    <cellStyle name="Comma 4 3 3 2 4 2 4" xfId="20649" xr:uid="{092F5832-E424-42D2-8B62-0F420EB9F8AE}"/>
    <cellStyle name="Comma 4 3 3 2 4 3" xfId="5864" xr:uid="{00000000-0005-0000-0000-00007B090000}"/>
    <cellStyle name="Comma 4 3 3 2 4 3 2" xfId="14293" xr:uid="{F10BDD1F-8E60-4EBE-81D2-1F137CBD17ED}"/>
    <cellStyle name="Comma 4 3 3 2 4 3 3" xfId="26926" xr:uid="{5FB3D521-F9EE-449D-AEE8-2CB6C3BA7FEC}"/>
    <cellStyle name="Comma 4 3 3 2 4 4" xfId="10075" xr:uid="{FF49DF10-7436-403A-88E1-469533FA4418}"/>
    <cellStyle name="Comma 4 3 3 2 4 4 2" xfId="22715" xr:uid="{2B0A0AD9-4A4E-418F-86EC-F877EA6B90C1}"/>
    <cellStyle name="Comma 4 3 3 2 4 5" xfId="18504" xr:uid="{BE603FC0-CD35-40ED-B24B-432798A98A4A}"/>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8F4727DD-50BA-4729-AEBF-94ABD7F39B70}"/>
    <cellStyle name="Comma 4 3 3 2 5 2 2 3" xfId="29484" xr:uid="{F2CDF5BE-47BE-4443-981C-BADADC21D473}"/>
    <cellStyle name="Comma 4 3 3 2 5 2 3" xfId="12633" xr:uid="{F69A0E0A-D20A-43C3-91F6-D58A878F2D35}"/>
    <cellStyle name="Comma 4 3 3 2 5 2 3 2" xfId="25273" xr:uid="{C0865894-564F-4BE7-931E-79ACE3CD7082}"/>
    <cellStyle name="Comma 4 3 3 2 5 2 4" xfId="21062" xr:uid="{C03E299A-4508-4873-BE9E-8C69DF3D372B}"/>
    <cellStyle name="Comma 4 3 3 2 5 3" xfId="6277" xr:uid="{00000000-0005-0000-0000-00007F090000}"/>
    <cellStyle name="Comma 4 3 3 2 5 3 2" xfId="14706" xr:uid="{DB28E784-54F4-465E-97BF-4F90A47CB6F4}"/>
    <cellStyle name="Comma 4 3 3 2 5 3 3" xfId="27339" xr:uid="{2B9D8185-3A39-4944-93FE-6AEBD9B8CE42}"/>
    <cellStyle name="Comma 4 3 3 2 5 4" xfId="10488" xr:uid="{CEA1B3A2-9845-4626-929A-A1B59BAE842B}"/>
    <cellStyle name="Comma 4 3 3 2 5 4 2" xfId="23128" xr:uid="{1054C829-C81B-42A0-9B11-0EC9D6645F16}"/>
    <cellStyle name="Comma 4 3 3 2 5 5" xfId="18917" xr:uid="{E66C541A-90E2-4979-97E9-E1048C89E9F3}"/>
    <cellStyle name="Comma 4 3 3 2 6" xfId="2404" xr:uid="{00000000-0005-0000-0000-000080090000}"/>
    <cellStyle name="Comma 4 3 3 2 6 2" xfId="6690" xr:uid="{00000000-0005-0000-0000-000081090000}"/>
    <cellStyle name="Comma 4 3 3 2 6 2 2" xfId="15119" xr:uid="{8FCE109F-052E-4514-AEEE-A6C43F6CA738}"/>
    <cellStyle name="Comma 4 3 3 2 6 2 3" xfId="27752" xr:uid="{D23CB78D-AECD-426A-B37D-FC76C871C7A6}"/>
    <cellStyle name="Comma 4 3 3 2 6 3" xfId="10901" xr:uid="{A2750C00-F5FF-43DD-A79B-1EA84C231680}"/>
    <cellStyle name="Comma 4 3 3 2 6 3 2" xfId="23541" xr:uid="{69A97B28-C384-4D92-B558-7AB333167D87}"/>
    <cellStyle name="Comma 4 3 3 2 6 4" xfId="19330" xr:uid="{B62BB0C0-1F58-4DD2-8C5A-8FFB91985CFE}"/>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633AB4BB-A7D4-498C-9D51-A9C4953A4841}"/>
    <cellStyle name="Comma 4 3 3 2 8 2 3" xfId="28069" xr:uid="{424E74C0-9FCF-47F6-8C86-CBD3D040692F}"/>
    <cellStyle name="Comma 4 3 3 2 8 3" xfId="11218" xr:uid="{99232D6F-E006-4694-9D7E-184A448027FC}"/>
    <cellStyle name="Comma 4 3 3 2 8 3 2" xfId="23858" xr:uid="{50B6C9A1-BEE2-4784-ABC8-C16DE526A35F}"/>
    <cellStyle name="Comma 4 3 3 2 8 4" xfId="19647" xr:uid="{8BFA635B-C312-4DF8-92A3-380C1E65B00C}"/>
    <cellStyle name="Comma 4 3 3 2 9" xfId="4624" xr:uid="{00000000-0005-0000-0000-000085090000}"/>
    <cellStyle name="Comma 4 3 3 2 9 2" xfId="13053" xr:uid="{3674424A-B20B-4922-A7AA-ACBEE3454FE9}"/>
    <cellStyle name="Comma 4 3 3 2 9 3" xfId="25686" xr:uid="{22743569-6E19-4D3E-9A04-E2EE623C732C}"/>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CE3C1974-154D-4F12-A29E-CFFDB126C727}"/>
    <cellStyle name="Comma 4 3 3 3 2 2 3" xfId="28244" xr:uid="{9B503994-8F76-4EA2-8DED-B4828BDC6DFA}"/>
    <cellStyle name="Comma 4 3 3 3 2 3" xfId="11393" xr:uid="{6F20C90B-5115-4F1B-9AF9-782E197EF4D8}"/>
    <cellStyle name="Comma 4 3 3 3 2 3 2" xfId="24033" xr:uid="{83E7925B-1202-4D26-A3F0-10EDB7DE2653}"/>
    <cellStyle name="Comma 4 3 3 3 2 4" xfId="19822" xr:uid="{6861AF1E-A1DB-4347-AEB3-1A07D47C1C8E}"/>
    <cellStyle name="Comma 4 3 3 3 3" xfId="5037" xr:uid="{00000000-0005-0000-0000-000089090000}"/>
    <cellStyle name="Comma 4 3 3 3 3 2" xfId="13466" xr:uid="{925AB584-29B8-4AFC-8D23-8BF0EC05A00B}"/>
    <cellStyle name="Comma 4 3 3 3 3 3" xfId="26099" xr:uid="{BBB86081-3B9C-4079-B401-FFC2B4EB8318}"/>
    <cellStyle name="Comma 4 3 3 3 4" xfId="9248" xr:uid="{D3095A48-868A-4F61-BACF-ADAECB0E1548}"/>
    <cellStyle name="Comma 4 3 3 3 4 2" xfId="21888" xr:uid="{48F84DB2-F643-444B-A162-F7511FAAFCBC}"/>
    <cellStyle name="Comma 4 3 3 3 5" xfId="17677" xr:uid="{80E21169-5C6C-4397-A7EF-2AAD9A0ED73E}"/>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91927B04-161F-4C98-B43F-0043CB5A0615}"/>
    <cellStyle name="Comma 4 3 3 4 2 2 3" xfId="28657" xr:uid="{F68DEC8E-E75C-4494-BA4A-23D11E69C087}"/>
    <cellStyle name="Comma 4 3 3 4 2 3" xfId="11806" xr:uid="{A62FCFA6-F642-4068-BCE7-51F1AEB4741C}"/>
    <cellStyle name="Comma 4 3 3 4 2 3 2" xfId="24446" xr:uid="{40C3C978-CBAA-47DA-BE32-13C62577EBBF}"/>
    <cellStyle name="Comma 4 3 3 4 2 4" xfId="20235" xr:uid="{54D5D48D-8FDD-4519-8A5D-A2166D35802E}"/>
    <cellStyle name="Comma 4 3 3 4 3" xfId="5450" xr:uid="{00000000-0005-0000-0000-00008D090000}"/>
    <cellStyle name="Comma 4 3 3 4 3 2" xfId="13879" xr:uid="{2EC003C8-A096-4814-889A-BA270140B120}"/>
    <cellStyle name="Comma 4 3 3 4 3 3" xfId="26512" xr:uid="{722FB74D-746E-45FF-AC63-A6D759E8BAA7}"/>
    <cellStyle name="Comma 4 3 3 4 4" xfId="9661" xr:uid="{EFAD32E2-7A02-4FEF-99E3-EEB2EDFDFCB0}"/>
    <cellStyle name="Comma 4 3 3 4 4 2" xfId="22301" xr:uid="{878D6EC1-99FC-4552-8057-A59FB196B35D}"/>
    <cellStyle name="Comma 4 3 3 4 5" xfId="18090" xr:uid="{703CB8B0-D984-48FA-BA46-673291104B07}"/>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8BB14062-2272-48C6-9054-151124587040}"/>
    <cellStyle name="Comma 4 3 3 5 2 2 3" xfId="29070" xr:uid="{BE8CE008-8B63-456F-8DEA-3C983D7517DC}"/>
    <cellStyle name="Comma 4 3 3 5 2 3" xfId="12219" xr:uid="{FE3F8D0B-04F4-49B5-8B9A-A03E00905417}"/>
    <cellStyle name="Comma 4 3 3 5 2 3 2" xfId="24859" xr:uid="{CC6CE219-75FC-4011-A6B5-CB30B0098A94}"/>
    <cellStyle name="Comma 4 3 3 5 2 4" xfId="20648" xr:uid="{8BEA0D77-1709-4708-9BE5-A04B8E60BE7F}"/>
    <cellStyle name="Comma 4 3 3 5 3" xfId="5863" xr:uid="{00000000-0005-0000-0000-000091090000}"/>
    <cellStyle name="Comma 4 3 3 5 3 2" xfId="14292" xr:uid="{74BA663E-8CB0-4AC4-A830-83CF46BBFEE7}"/>
    <cellStyle name="Comma 4 3 3 5 3 3" xfId="26925" xr:uid="{530BB1DA-5375-4599-BCC4-8F36050429C5}"/>
    <cellStyle name="Comma 4 3 3 5 4" xfId="10074" xr:uid="{8B87FA7E-5C37-48EE-9952-F5B2F4FC7280}"/>
    <cellStyle name="Comma 4 3 3 5 4 2" xfId="22714" xr:uid="{B73E4DDB-A310-4917-B489-92982122C48F}"/>
    <cellStyle name="Comma 4 3 3 5 5" xfId="18503" xr:uid="{B43716AF-1D33-4219-BCDE-3A7BB08187D8}"/>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81794690-BA7D-40DA-B4A4-59AEBD059D44}"/>
    <cellStyle name="Comma 4 3 3 6 2 2 3" xfId="29483" xr:uid="{740E71BD-EA6F-4D90-881E-2E3359D83410}"/>
    <cellStyle name="Comma 4 3 3 6 2 3" xfId="12632" xr:uid="{04673319-DF3A-404B-B4F8-1C69FD8C59B6}"/>
    <cellStyle name="Comma 4 3 3 6 2 3 2" xfId="25272" xr:uid="{24838A40-DBE5-4D39-AA06-777D4DBC32DB}"/>
    <cellStyle name="Comma 4 3 3 6 2 4" xfId="21061" xr:uid="{26654033-ECBB-406F-8E16-444516C490B6}"/>
    <cellStyle name="Comma 4 3 3 6 3" xfId="6276" xr:uid="{00000000-0005-0000-0000-000095090000}"/>
    <cellStyle name="Comma 4 3 3 6 3 2" xfId="14705" xr:uid="{BD962638-B493-4655-8704-D8A9A9B48610}"/>
    <cellStyle name="Comma 4 3 3 6 3 3" xfId="27338" xr:uid="{F7BCC57E-C3F6-4C54-AC3A-E32A1CC9431F}"/>
    <cellStyle name="Comma 4 3 3 6 4" xfId="10487" xr:uid="{6CF16C17-65A0-4E66-B885-BE5B27860C60}"/>
    <cellStyle name="Comma 4 3 3 6 4 2" xfId="23127" xr:uid="{A5E988D3-66A2-47B0-BF63-14D4129C1A44}"/>
    <cellStyle name="Comma 4 3 3 6 5" xfId="18916" xr:uid="{C144D4B2-6731-402A-A4E2-9D36E09CE97D}"/>
    <cellStyle name="Comma 4 3 3 7" xfId="2403" xr:uid="{00000000-0005-0000-0000-000096090000}"/>
    <cellStyle name="Comma 4 3 3 7 2" xfId="6689" xr:uid="{00000000-0005-0000-0000-000097090000}"/>
    <cellStyle name="Comma 4 3 3 7 2 2" xfId="15118" xr:uid="{3B51D584-6CCE-4BE5-BC68-731B0AA7B3B7}"/>
    <cellStyle name="Comma 4 3 3 7 2 3" xfId="27751" xr:uid="{BD6ABBBC-FF45-42E1-9778-571961206D34}"/>
    <cellStyle name="Comma 4 3 3 7 3" xfId="10900" xr:uid="{10C7A4F1-7443-4656-A74F-DC34B20093E3}"/>
    <cellStyle name="Comma 4 3 3 7 3 2" xfId="23540" xr:uid="{3E4C5D9B-2949-4899-A721-4887CCF807BE}"/>
    <cellStyle name="Comma 4 3 3 7 4" xfId="19329" xr:uid="{7EE971CC-085B-4448-A3D6-1281B0CAA21B}"/>
    <cellStyle name="Comma 4 3 3 8" xfId="2362" xr:uid="{00000000-0005-0000-0000-000098090000}"/>
    <cellStyle name="Comma 4 3 3 9" xfId="2781" xr:uid="{00000000-0005-0000-0000-000099090000}"/>
    <cellStyle name="Comma 4 3 3 9 2" xfId="7006" xr:uid="{00000000-0005-0000-0000-00009A090000}"/>
    <cellStyle name="Comma 4 3 3 9 2 2" xfId="15435" xr:uid="{53324DA0-9161-4888-8037-6B570D971ADC}"/>
    <cellStyle name="Comma 4 3 3 9 2 3" xfId="28068" xr:uid="{06EC9247-FFFF-469F-A3C0-EC0CD7FD8A98}"/>
    <cellStyle name="Comma 4 3 3 9 3" xfId="11217" xr:uid="{E46B6BB6-F165-4FBD-BF5E-D40017D10EB4}"/>
    <cellStyle name="Comma 4 3 3 9 3 2" xfId="23857" xr:uid="{6B0B1F57-F6C1-4FF6-BFF2-335ACEC56502}"/>
    <cellStyle name="Comma 4 3 3 9 4" xfId="19646" xr:uid="{03FA060C-266A-4E51-9A7F-F39D243F1057}"/>
    <cellStyle name="Comma 4 3 4" xfId="151" xr:uid="{00000000-0005-0000-0000-00009B090000}"/>
    <cellStyle name="Comma 4 3 4 10" xfId="8836" xr:uid="{F1E0B957-C55B-478A-9696-5E3B2E544F40}"/>
    <cellStyle name="Comma 4 3 4 10 2" xfId="21476" xr:uid="{EDAFCAAB-DB36-4829-AD11-7923B6D78D10}"/>
    <cellStyle name="Comma 4 3 4 11" xfId="17265" xr:uid="{D71D05A9-7BEA-4825-8F4F-822A130920F6}"/>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B0C333E2-91E7-47CB-B3C7-7857139B0BD9}"/>
    <cellStyle name="Comma 4 3 4 2 2 2 3" xfId="28246" xr:uid="{66A7C292-F268-4E82-B1DA-853160675995}"/>
    <cellStyle name="Comma 4 3 4 2 2 3" xfId="11395" xr:uid="{83BC2E8D-A19A-4B35-8FB8-41C3F082FBEB}"/>
    <cellStyle name="Comma 4 3 4 2 2 3 2" xfId="24035" xr:uid="{236538D8-9EC3-4841-9FE4-EE4465DFE808}"/>
    <cellStyle name="Comma 4 3 4 2 2 4" xfId="19824" xr:uid="{68D593D8-081C-4019-8782-90682BD37DA8}"/>
    <cellStyle name="Comma 4 3 4 2 3" xfId="5039" xr:uid="{00000000-0005-0000-0000-00009F090000}"/>
    <cellStyle name="Comma 4 3 4 2 3 2" xfId="13468" xr:uid="{DD1923E3-A31B-4D35-98F5-FDADD8AE6BC7}"/>
    <cellStyle name="Comma 4 3 4 2 3 3" xfId="26101" xr:uid="{94C37F30-7884-4DE6-8433-A5CA26A90323}"/>
    <cellStyle name="Comma 4 3 4 2 4" xfId="9250" xr:uid="{356696FD-E84E-4591-8EEF-E398B59A7679}"/>
    <cellStyle name="Comma 4 3 4 2 4 2" xfId="21890" xr:uid="{B86E092E-3B31-4AEA-8D06-74477743014F}"/>
    <cellStyle name="Comma 4 3 4 2 5" xfId="17679" xr:uid="{A6EB1FE5-4255-43D3-A42B-654CD8E0FCCF}"/>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4A957003-C7A9-46B6-9056-F83C90F9EC82}"/>
    <cellStyle name="Comma 4 3 4 3 2 2 3" xfId="28659" xr:uid="{E7331142-CCDF-42B5-B451-41D00F91835E}"/>
    <cellStyle name="Comma 4 3 4 3 2 3" xfId="11808" xr:uid="{DD8E8F54-A7E8-40CB-861B-0FE162F0036B}"/>
    <cellStyle name="Comma 4 3 4 3 2 3 2" xfId="24448" xr:uid="{9D91DF8B-F34B-4390-A930-00A40E4986A2}"/>
    <cellStyle name="Comma 4 3 4 3 2 4" xfId="20237" xr:uid="{A44BC66C-1D1A-4022-A16D-D0A7F9AFD779}"/>
    <cellStyle name="Comma 4 3 4 3 3" xfId="5452" xr:uid="{00000000-0005-0000-0000-0000A3090000}"/>
    <cellStyle name="Comma 4 3 4 3 3 2" xfId="13881" xr:uid="{FF24B02D-15BA-485B-A074-6333BA6ACF56}"/>
    <cellStyle name="Comma 4 3 4 3 3 3" xfId="26514" xr:uid="{9627EB52-7D0A-4B06-A21C-850B543E2863}"/>
    <cellStyle name="Comma 4 3 4 3 4" xfId="9663" xr:uid="{5094DE87-6F65-4AC1-B1C5-46943DB09C02}"/>
    <cellStyle name="Comma 4 3 4 3 4 2" xfId="22303" xr:uid="{F1A7766C-0027-4094-A766-C13CA0CE6B12}"/>
    <cellStyle name="Comma 4 3 4 3 5" xfId="18092" xr:uid="{6D2603F9-C74F-4C88-BFD3-C4F32E27C4FC}"/>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A5F81CCC-2AAE-4A86-90B5-24A6ECA476A3}"/>
    <cellStyle name="Comma 4 3 4 4 2 2 3" xfId="29072" xr:uid="{6C6A288E-4B9B-42DE-BCD5-5C564561CD9D}"/>
    <cellStyle name="Comma 4 3 4 4 2 3" xfId="12221" xr:uid="{C98F25C1-0CD0-4910-8188-582833374E98}"/>
    <cellStyle name="Comma 4 3 4 4 2 3 2" xfId="24861" xr:uid="{14D4ABE3-0D1E-42E0-946C-F48895E1AC2D}"/>
    <cellStyle name="Comma 4 3 4 4 2 4" xfId="20650" xr:uid="{0468B0F3-2428-4EC1-8913-71921789DB8D}"/>
    <cellStyle name="Comma 4 3 4 4 3" xfId="5865" xr:uid="{00000000-0005-0000-0000-0000A7090000}"/>
    <cellStyle name="Comma 4 3 4 4 3 2" xfId="14294" xr:uid="{AA71C4C0-5440-4792-9514-AAC5E011394F}"/>
    <cellStyle name="Comma 4 3 4 4 3 3" xfId="26927" xr:uid="{70D665F7-4874-43CE-8FB1-C1A793E8D940}"/>
    <cellStyle name="Comma 4 3 4 4 4" xfId="10076" xr:uid="{3EEAEF91-D43C-4F20-A680-8BA8ABF499B8}"/>
    <cellStyle name="Comma 4 3 4 4 4 2" xfId="22716" xr:uid="{7EE4DC0E-12F1-491D-B445-9F4F84A0806A}"/>
    <cellStyle name="Comma 4 3 4 4 5" xfId="18505" xr:uid="{86EA70C9-66B7-4BC5-B9A5-99937E69D399}"/>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ABAE1393-ECA5-49B1-9CE8-B38E7562845E}"/>
    <cellStyle name="Comma 4 3 4 5 2 2 3" xfId="29485" xr:uid="{769BEEB4-D368-49FB-86EA-24AEF09E00D6}"/>
    <cellStyle name="Comma 4 3 4 5 2 3" xfId="12634" xr:uid="{3620AAD7-35AE-4023-B047-0067767311A9}"/>
    <cellStyle name="Comma 4 3 4 5 2 3 2" xfId="25274" xr:uid="{6F66AEB3-5B2C-4628-B7AB-EAA2DE52B9B1}"/>
    <cellStyle name="Comma 4 3 4 5 2 4" xfId="21063" xr:uid="{CEAE952A-20CD-4F6A-9CAD-0668947CB693}"/>
    <cellStyle name="Comma 4 3 4 5 3" xfId="6278" xr:uid="{00000000-0005-0000-0000-0000AB090000}"/>
    <cellStyle name="Comma 4 3 4 5 3 2" xfId="14707" xr:uid="{97D0DB45-2D75-4621-9F4C-4B18A0760113}"/>
    <cellStyle name="Comma 4 3 4 5 3 3" xfId="27340" xr:uid="{54C5DC68-A5CF-44CE-B52E-9D870D638513}"/>
    <cellStyle name="Comma 4 3 4 5 4" xfId="10489" xr:uid="{1A085EBC-D921-4F8B-8F67-3D004ADA7F39}"/>
    <cellStyle name="Comma 4 3 4 5 4 2" xfId="23129" xr:uid="{9C04F43B-8E89-46E8-82C6-1DECC850EF0A}"/>
    <cellStyle name="Comma 4 3 4 5 5" xfId="18918" xr:uid="{0DE1A300-8570-41F9-894F-229CD7FA2AA2}"/>
    <cellStyle name="Comma 4 3 4 6" xfId="2405" xr:uid="{00000000-0005-0000-0000-0000AC090000}"/>
    <cellStyle name="Comma 4 3 4 6 2" xfId="6691" xr:uid="{00000000-0005-0000-0000-0000AD090000}"/>
    <cellStyle name="Comma 4 3 4 6 2 2" xfId="15120" xr:uid="{B08EEE25-8706-4F80-8F84-F0C079E3B3CC}"/>
    <cellStyle name="Comma 4 3 4 6 2 3" xfId="27753" xr:uid="{1BC21202-3122-437E-B74C-B69BDD8FAA48}"/>
    <cellStyle name="Comma 4 3 4 6 3" xfId="10902" xr:uid="{48CDE84C-C38F-47E0-BACE-980117BAA033}"/>
    <cellStyle name="Comma 4 3 4 6 3 2" xfId="23542" xr:uid="{FE025C4C-C1CB-4801-A08A-F2CB87EEA9EB}"/>
    <cellStyle name="Comma 4 3 4 6 4" xfId="19331" xr:uid="{62BA172F-F86A-4429-8EAC-DF16BA07D0BF}"/>
    <cellStyle name="Comma 4 3 4 7" xfId="2701" xr:uid="{00000000-0005-0000-0000-0000AE090000}"/>
    <cellStyle name="Comma 4 3 4 8" xfId="2783" xr:uid="{00000000-0005-0000-0000-0000AF090000}"/>
    <cellStyle name="Comma 4 3 4 8 2" xfId="7008" xr:uid="{00000000-0005-0000-0000-0000B0090000}"/>
    <cellStyle name="Comma 4 3 4 8 2 2" xfId="15437" xr:uid="{6F017E72-DC4D-4B10-AEBC-AC83ADC999A2}"/>
    <cellStyle name="Comma 4 3 4 8 2 3" xfId="28070" xr:uid="{F83DE287-221C-4E77-9375-8624BE8E53E6}"/>
    <cellStyle name="Comma 4 3 4 8 3" xfId="11219" xr:uid="{77720E4A-32E4-45FE-B6EB-CB8639297C02}"/>
    <cellStyle name="Comma 4 3 4 8 3 2" xfId="23859" xr:uid="{57DB8D1A-6455-4648-8E2B-5A4D6BE059B3}"/>
    <cellStyle name="Comma 4 3 4 8 4" xfId="19648" xr:uid="{44F60547-C3B2-43A8-9FBA-3C9216C1E9F9}"/>
    <cellStyle name="Comma 4 3 4 9" xfId="4625" xr:uid="{00000000-0005-0000-0000-0000B1090000}"/>
    <cellStyle name="Comma 4 3 4 9 2" xfId="13054" xr:uid="{ED6B4784-5498-4A39-9D00-ABA59D48CBB4}"/>
    <cellStyle name="Comma 4 3 4 9 3" xfId="25687" xr:uid="{854D61D9-427C-4EB0-948A-B1D648F45DFB}"/>
    <cellStyle name="Comma 4 3 5" xfId="152" xr:uid="{00000000-0005-0000-0000-0000B2090000}"/>
    <cellStyle name="Comma 4 3 5 10" xfId="8837" xr:uid="{1F8B6694-17F9-47B7-9672-5AECC076F4B0}"/>
    <cellStyle name="Comma 4 3 5 10 2" xfId="21477" xr:uid="{2743F7D3-3072-4233-A521-F98C7347D656}"/>
    <cellStyle name="Comma 4 3 5 11" xfId="17266" xr:uid="{57A6718C-6A40-4B24-93E6-62864CF57974}"/>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1AFF2526-5DE9-494E-A646-A8FB4F615CA5}"/>
    <cellStyle name="Comma 4 3 5 2 2 2 3" xfId="28247" xr:uid="{DFBF7EB6-DF0F-4754-A9E4-EF75A195DE4F}"/>
    <cellStyle name="Comma 4 3 5 2 2 3" xfId="11396" xr:uid="{AADC0F8A-FF28-4255-B844-05DD2C643927}"/>
    <cellStyle name="Comma 4 3 5 2 2 3 2" xfId="24036" xr:uid="{D2B114CC-30B2-414B-BE86-F794F81D4D85}"/>
    <cellStyle name="Comma 4 3 5 2 2 4" xfId="19825" xr:uid="{8699ABFC-0B6E-4D5E-9717-8A6BE05B4CFB}"/>
    <cellStyle name="Comma 4 3 5 2 3" xfId="5040" xr:uid="{00000000-0005-0000-0000-0000B6090000}"/>
    <cellStyle name="Comma 4 3 5 2 3 2" xfId="13469" xr:uid="{4F88E2BB-C6B5-483F-9B50-3FBBCC7204EF}"/>
    <cellStyle name="Comma 4 3 5 2 3 3" xfId="26102" xr:uid="{ACA41776-C18B-4932-ADDB-FD2A48AE7C7A}"/>
    <cellStyle name="Comma 4 3 5 2 4" xfId="9251" xr:uid="{69AB4C90-1076-4CAB-A529-54A73CD2BE1D}"/>
    <cellStyle name="Comma 4 3 5 2 4 2" xfId="21891" xr:uid="{0EF09E57-E81B-4233-8270-EBBBAB7DFB69}"/>
    <cellStyle name="Comma 4 3 5 2 5" xfId="17680" xr:uid="{92BE8E6D-672A-49B9-BA42-EEEEED7EE208}"/>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EA3D299E-0D29-4D04-87EE-D7412D92AD28}"/>
    <cellStyle name="Comma 4 3 5 3 2 2 3" xfId="28660" xr:uid="{D409A37E-352E-4C57-993C-DB7B5E007630}"/>
    <cellStyle name="Comma 4 3 5 3 2 3" xfId="11809" xr:uid="{CCE660B6-728F-49B8-981D-53666AD50002}"/>
    <cellStyle name="Comma 4 3 5 3 2 3 2" xfId="24449" xr:uid="{9F07F7EB-A6F5-48BB-94F2-0C369E066421}"/>
    <cellStyle name="Comma 4 3 5 3 2 4" xfId="20238" xr:uid="{FD730404-77C5-4E4E-893A-F2BBE68E270E}"/>
    <cellStyle name="Comma 4 3 5 3 3" xfId="5453" xr:uid="{00000000-0005-0000-0000-0000BA090000}"/>
    <cellStyle name="Comma 4 3 5 3 3 2" xfId="13882" xr:uid="{1FDC07EA-B072-4FCA-90E5-1460FB6D2FD2}"/>
    <cellStyle name="Comma 4 3 5 3 3 3" xfId="26515" xr:uid="{A7C356B8-7676-4292-83C7-E3D18BDB0982}"/>
    <cellStyle name="Comma 4 3 5 3 4" xfId="9664" xr:uid="{84AB3F60-747F-4538-A652-42FF28A1BD74}"/>
    <cellStyle name="Comma 4 3 5 3 4 2" xfId="22304" xr:uid="{9D5F0B43-D7BA-4474-8482-8C0429ABD219}"/>
    <cellStyle name="Comma 4 3 5 3 5" xfId="18093" xr:uid="{EAF15F21-9A5E-4D9F-9B3F-9A4CB05B91B6}"/>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9ECF8BE2-F945-4A9F-B196-29FBF079A46D}"/>
    <cellStyle name="Comma 4 3 5 4 2 2 3" xfId="29073" xr:uid="{8196D339-65CB-47F7-9227-81F14F63077B}"/>
    <cellStyle name="Comma 4 3 5 4 2 3" xfId="12222" xr:uid="{3B5CA71B-158F-4649-95B8-76F308D2E470}"/>
    <cellStyle name="Comma 4 3 5 4 2 3 2" xfId="24862" xr:uid="{8CF665C3-0A33-490C-B4D3-A21F6901F9B2}"/>
    <cellStyle name="Comma 4 3 5 4 2 4" xfId="20651" xr:uid="{E4A15BBA-2EF7-43E9-845D-C77AA29AF6FC}"/>
    <cellStyle name="Comma 4 3 5 4 3" xfId="5866" xr:uid="{00000000-0005-0000-0000-0000BE090000}"/>
    <cellStyle name="Comma 4 3 5 4 3 2" xfId="14295" xr:uid="{141E5DA3-9EAD-4F62-8D38-0F1FDB1EC5B1}"/>
    <cellStyle name="Comma 4 3 5 4 3 3" xfId="26928" xr:uid="{48CD55D2-9E3A-4463-8976-EDEAE9B593EA}"/>
    <cellStyle name="Comma 4 3 5 4 4" xfId="10077" xr:uid="{650D455A-A91B-41D7-B1A6-CD198C3B973B}"/>
    <cellStyle name="Comma 4 3 5 4 4 2" xfId="22717" xr:uid="{1F1D01CB-A1B1-4297-AEAD-893A70A53874}"/>
    <cellStyle name="Comma 4 3 5 4 5" xfId="18506" xr:uid="{91E0AE63-D202-44BD-9227-2624CA63C370}"/>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F9D2199B-0352-4103-B4CC-63602E811BFD}"/>
    <cellStyle name="Comma 4 3 5 5 2 2 3" xfId="29486" xr:uid="{3D152E0E-C3EE-41E3-8DD3-14301DED7842}"/>
    <cellStyle name="Comma 4 3 5 5 2 3" xfId="12635" xr:uid="{CE6AB403-F65F-4DC6-ACAD-FBF06C11F1CD}"/>
    <cellStyle name="Comma 4 3 5 5 2 3 2" xfId="25275" xr:uid="{23C5EB49-F8E2-4EEB-BF3B-9E11775BB71F}"/>
    <cellStyle name="Comma 4 3 5 5 2 4" xfId="21064" xr:uid="{2967F18A-FE9D-41DC-A16E-F5F5C6C4A2D0}"/>
    <cellStyle name="Comma 4 3 5 5 3" xfId="6279" xr:uid="{00000000-0005-0000-0000-0000C2090000}"/>
    <cellStyle name="Comma 4 3 5 5 3 2" xfId="14708" xr:uid="{32C2ABC4-DDB3-40D0-8515-4295F1C118A7}"/>
    <cellStyle name="Comma 4 3 5 5 3 3" xfId="27341" xr:uid="{EEBCB55D-1341-47AC-B65E-E81D5D80B1F9}"/>
    <cellStyle name="Comma 4 3 5 5 4" xfId="10490" xr:uid="{AC1BCD2E-3D4A-47A1-AC59-B99513604ACC}"/>
    <cellStyle name="Comma 4 3 5 5 4 2" xfId="23130" xr:uid="{D49457C2-3207-4499-9B52-825C942EFA58}"/>
    <cellStyle name="Comma 4 3 5 5 5" xfId="18919" xr:uid="{7ADA59DA-3EB9-47E0-BA0B-D346B93CB186}"/>
    <cellStyle name="Comma 4 3 5 6" xfId="2406" xr:uid="{00000000-0005-0000-0000-0000C3090000}"/>
    <cellStyle name="Comma 4 3 5 6 2" xfId="6692" xr:uid="{00000000-0005-0000-0000-0000C4090000}"/>
    <cellStyle name="Comma 4 3 5 6 2 2" xfId="15121" xr:uid="{CBB8F7F5-72A1-40B7-AE0B-44DD045DE0C7}"/>
    <cellStyle name="Comma 4 3 5 6 2 3" xfId="27754" xr:uid="{9726812C-23C7-47D3-9B74-15CD25BDB2B9}"/>
    <cellStyle name="Comma 4 3 5 6 3" xfId="10903" xr:uid="{F1DFF2CD-C78D-4F00-B38E-144BAC97ED23}"/>
    <cellStyle name="Comma 4 3 5 6 3 2" xfId="23543" xr:uid="{1BA5D95B-10AC-4138-912C-A70FF462070D}"/>
    <cellStyle name="Comma 4 3 5 6 4" xfId="19332" xr:uid="{2E2C2C29-C73E-46F0-894D-9F74B27D299B}"/>
    <cellStyle name="Comma 4 3 5 7" xfId="2702" xr:uid="{00000000-0005-0000-0000-0000C5090000}"/>
    <cellStyle name="Comma 4 3 5 8" xfId="2784" xr:uid="{00000000-0005-0000-0000-0000C6090000}"/>
    <cellStyle name="Comma 4 3 5 8 2" xfId="7009" xr:uid="{00000000-0005-0000-0000-0000C7090000}"/>
    <cellStyle name="Comma 4 3 5 8 2 2" xfId="15438" xr:uid="{6B7A967C-EDF4-4EC4-84FF-2C9E89185F63}"/>
    <cellStyle name="Comma 4 3 5 8 2 3" xfId="28071" xr:uid="{66E55CFA-BFB9-4BF2-A4BE-30989D2BC092}"/>
    <cellStyle name="Comma 4 3 5 8 3" xfId="11220" xr:uid="{E108CAED-9902-4842-A1F8-20267D6522F6}"/>
    <cellStyle name="Comma 4 3 5 8 3 2" xfId="23860" xr:uid="{1306CD1A-27E6-4398-B3FB-76AED0828C3C}"/>
    <cellStyle name="Comma 4 3 5 8 4" xfId="19649" xr:uid="{DFE26DAB-1190-489E-B60C-E1863827FB24}"/>
    <cellStyle name="Comma 4 3 5 9" xfId="4626" xr:uid="{00000000-0005-0000-0000-0000C8090000}"/>
    <cellStyle name="Comma 4 3 5 9 2" xfId="13055" xr:uid="{8C5D1102-EA69-405E-A41B-CB075C8D25F5}"/>
    <cellStyle name="Comma 4 3 5 9 3" xfId="25688" xr:uid="{5B443C7B-2A12-40E5-8B2F-37FD9C55CF5A}"/>
    <cellStyle name="Comma 4 4" xfId="153" xr:uid="{00000000-0005-0000-0000-0000C9090000}"/>
    <cellStyle name="Comma 4 4 10" xfId="2785" xr:uid="{00000000-0005-0000-0000-0000CA090000}"/>
    <cellStyle name="Comma 4 4 10 2" xfId="7010" xr:uid="{00000000-0005-0000-0000-0000CB090000}"/>
    <cellStyle name="Comma 4 4 10 2 2" xfId="15439" xr:uid="{E9A93F85-61A1-4B32-B529-F34061BC756F}"/>
    <cellStyle name="Comma 4 4 10 2 3" xfId="28072" xr:uid="{0F231F08-B1FC-4A18-8A01-CFA493A7CE28}"/>
    <cellStyle name="Comma 4 4 10 3" xfId="11221" xr:uid="{8DBD18BC-63FB-4A7B-8396-96A406C96AA6}"/>
    <cellStyle name="Comma 4 4 10 3 2" xfId="23861" xr:uid="{F5C921E2-3C50-401B-AA79-CD66946E81D0}"/>
    <cellStyle name="Comma 4 4 10 4" xfId="19650" xr:uid="{76D39986-8139-4FB5-80B9-F0ED89820DF8}"/>
    <cellStyle name="Comma 4 4 11" xfId="4627" xr:uid="{00000000-0005-0000-0000-0000CC090000}"/>
    <cellStyle name="Comma 4 4 11 2" xfId="13056" xr:uid="{B03DED11-A52E-4C3E-94BB-F258A379E748}"/>
    <cellStyle name="Comma 4 4 11 3" xfId="25689" xr:uid="{2E3B12BA-7A53-438E-B55C-38F6D09C63DD}"/>
    <cellStyle name="Comma 4 4 12" xfId="8838" xr:uid="{96D3E505-2019-41AB-A6E9-30F3F1C7279F}"/>
    <cellStyle name="Comma 4 4 12 2" xfId="21478" xr:uid="{911A19C8-A0ED-412A-9840-952487883D1A}"/>
    <cellStyle name="Comma 4 4 13" xfId="17267" xr:uid="{C8D01469-4FD2-4126-921F-9ECAC458B5B5}"/>
    <cellStyle name="Comma 4 4 2" xfId="154" xr:uid="{00000000-0005-0000-0000-0000CD090000}"/>
    <cellStyle name="Comma 4 4 2 10" xfId="4628" xr:uid="{00000000-0005-0000-0000-0000CE090000}"/>
    <cellStyle name="Comma 4 4 2 10 2" xfId="13057" xr:uid="{F5719FBE-AE75-4DC9-A4DC-A4A3455FC448}"/>
    <cellStyle name="Comma 4 4 2 10 3" xfId="25690" xr:uid="{EA24C881-2524-439C-AECB-BBDC5D86006E}"/>
    <cellStyle name="Comma 4 4 2 11" xfId="8839" xr:uid="{36DE3519-7D99-4817-AD66-AA54D896874E}"/>
    <cellStyle name="Comma 4 4 2 11 2" xfId="21479" xr:uid="{FD49EE05-77E3-4309-8D37-A75573378851}"/>
    <cellStyle name="Comma 4 4 2 12" xfId="17268" xr:uid="{75AD6D0B-1FEA-4A7F-A701-ACDE5157ABE8}"/>
    <cellStyle name="Comma 4 4 2 2" xfId="155" xr:uid="{00000000-0005-0000-0000-0000CF090000}"/>
    <cellStyle name="Comma 4 4 2 2 10" xfId="8840" xr:uid="{1E12A8B4-2DCF-4465-BA48-C829A2B0A1D0}"/>
    <cellStyle name="Comma 4 4 2 2 10 2" xfId="21480" xr:uid="{EB045EE9-62E7-4D51-A728-45F8D625BF64}"/>
    <cellStyle name="Comma 4 4 2 2 11" xfId="17269" xr:uid="{72B828CF-6A52-47C8-8648-6162B5D4120B}"/>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4DAA3136-3219-4366-8752-11FB8192783D}"/>
    <cellStyle name="Comma 4 4 2 2 2 2 2 3" xfId="28250" xr:uid="{5FA4E8FD-4103-4B63-9C62-462AA56E9042}"/>
    <cellStyle name="Comma 4 4 2 2 2 2 3" xfId="11399" xr:uid="{ABBE56CF-21DB-4022-88FF-E6DAC352230A}"/>
    <cellStyle name="Comma 4 4 2 2 2 2 3 2" xfId="24039" xr:uid="{BD4CAA79-795E-4169-BD1C-1CE43C1B7673}"/>
    <cellStyle name="Comma 4 4 2 2 2 2 4" xfId="19828" xr:uid="{718BA965-C157-49A5-B847-72EE45FF1EFE}"/>
    <cellStyle name="Comma 4 4 2 2 2 3" xfId="5043" xr:uid="{00000000-0005-0000-0000-0000D3090000}"/>
    <cellStyle name="Comma 4 4 2 2 2 3 2" xfId="13472" xr:uid="{5326ECAC-A74A-4389-9E78-4C21144C8948}"/>
    <cellStyle name="Comma 4 4 2 2 2 3 3" xfId="26105" xr:uid="{1EB6F713-5012-4512-9CAB-43B08DB1D871}"/>
    <cellStyle name="Comma 4 4 2 2 2 4" xfId="9254" xr:uid="{C4A9CBBC-7FA7-468A-B63C-555CED9BC87F}"/>
    <cellStyle name="Comma 4 4 2 2 2 4 2" xfId="21894" xr:uid="{ECE83756-876C-4879-BA84-0B6526ED1CF3}"/>
    <cellStyle name="Comma 4 4 2 2 2 5" xfId="17683" xr:uid="{DBED71AE-4BBA-45ED-9A7C-8834126B57AA}"/>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0EB15610-08DD-49D0-AE30-78C81A6A9F58}"/>
    <cellStyle name="Comma 4 4 2 2 3 2 2 3" xfId="28663" xr:uid="{2113583D-6DE9-495C-8D74-51E3B6262D85}"/>
    <cellStyle name="Comma 4 4 2 2 3 2 3" xfId="11812" xr:uid="{621761CE-BAA6-46C0-AEBC-11D9EE242108}"/>
    <cellStyle name="Comma 4 4 2 2 3 2 3 2" xfId="24452" xr:uid="{EC2C29C9-3FC9-47D8-9784-6F63FEE4E9AD}"/>
    <cellStyle name="Comma 4 4 2 2 3 2 4" xfId="20241" xr:uid="{B8F9DE04-9506-4A7C-8EFB-980D2D66A10C}"/>
    <cellStyle name="Comma 4 4 2 2 3 3" xfId="5456" xr:uid="{00000000-0005-0000-0000-0000D7090000}"/>
    <cellStyle name="Comma 4 4 2 2 3 3 2" xfId="13885" xr:uid="{F330B8C6-B28C-46DC-84B3-DBD6E9402E0A}"/>
    <cellStyle name="Comma 4 4 2 2 3 3 3" xfId="26518" xr:uid="{40D014CD-8F02-4BB4-980B-6E245FF6E4D4}"/>
    <cellStyle name="Comma 4 4 2 2 3 4" xfId="9667" xr:uid="{026FB9B4-8D20-46FA-AF95-DD9BC01ADB04}"/>
    <cellStyle name="Comma 4 4 2 2 3 4 2" xfId="22307" xr:uid="{8C36E26B-EF14-47F2-8641-D73FD4372FB5}"/>
    <cellStyle name="Comma 4 4 2 2 3 5" xfId="18096" xr:uid="{4D8FAB7A-C286-4158-B295-CFA36F58E85D}"/>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7C57938E-EBD5-43DD-A8D4-264A90B46224}"/>
    <cellStyle name="Comma 4 4 2 2 4 2 2 3" xfId="29076" xr:uid="{6CC15C90-73D3-4C46-9047-1CD66D8F7D6D}"/>
    <cellStyle name="Comma 4 4 2 2 4 2 3" xfId="12225" xr:uid="{34FA463B-20BA-4878-BAD7-1E3CDBF87908}"/>
    <cellStyle name="Comma 4 4 2 2 4 2 3 2" xfId="24865" xr:uid="{15BDDD13-EDCB-4100-95CD-A314253E68C1}"/>
    <cellStyle name="Comma 4 4 2 2 4 2 4" xfId="20654" xr:uid="{8D860050-D3F5-40B6-ACE9-9294C84F4CC8}"/>
    <cellStyle name="Comma 4 4 2 2 4 3" xfId="5869" xr:uid="{00000000-0005-0000-0000-0000DB090000}"/>
    <cellStyle name="Comma 4 4 2 2 4 3 2" xfId="14298" xr:uid="{987C0AB5-5708-4C3B-8A54-E08271484659}"/>
    <cellStyle name="Comma 4 4 2 2 4 3 3" xfId="26931" xr:uid="{BE899964-8774-4E56-B048-560181C10F7B}"/>
    <cellStyle name="Comma 4 4 2 2 4 4" xfId="10080" xr:uid="{46076D3B-BAF6-4A5D-A3AE-552C1C7B36F0}"/>
    <cellStyle name="Comma 4 4 2 2 4 4 2" xfId="22720" xr:uid="{BA1C59F1-12A7-4A10-B5E5-1300B85FFD1F}"/>
    <cellStyle name="Comma 4 4 2 2 4 5" xfId="18509" xr:uid="{D45361F4-BE2F-4F9B-BBE6-0872E2FAAEE0}"/>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F755B308-F511-4A95-8C10-FA217EBBC170}"/>
    <cellStyle name="Comma 4 4 2 2 5 2 2 3" xfId="29489" xr:uid="{D55E9C2C-61F1-4A5C-96F2-C12C893A352F}"/>
    <cellStyle name="Comma 4 4 2 2 5 2 3" xfId="12638" xr:uid="{DD0613A8-21E9-4CE8-B2BC-83EF07596893}"/>
    <cellStyle name="Comma 4 4 2 2 5 2 3 2" xfId="25278" xr:uid="{6A9C420B-FB2F-45DF-94AB-8CA101EF6BBA}"/>
    <cellStyle name="Comma 4 4 2 2 5 2 4" xfId="21067" xr:uid="{6405EE5B-A54B-490B-A896-74A461CEC964}"/>
    <cellStyle name="Comma 4 4 2 2 5 3" xfId="6282" xr:uid="{00000000-0005-0000-0000-0000DF090000}"/>
    <cellStyle name="Comma 4 4 2 2 5 3 2" xfId="14711" xr:uid="{80D11E76-A85B-4499-BB4A-53CC3C7727D1}"/>
    <cellStyle name="Comma 4 4 2 2 5 3 3" xfId="27344" xr:uid="{C090FC38-EA5E-46C3-AEBC-CE937CBEFE4C}"/>
    <cellStyle name="Comma 4 4 2 2 5 4" xfId="10493" xr:uid="{67A2EE86-EE3F-44CC-BBF0-319A49571970}"/>
    <cellStyle name="Comma 4 4 2 2 5 4 2" xfId="23133" xr:uid="{D8D276E5-0300-4D9C-8809-87B782123E31}"/>
    <cellStyle name="Comma 4 4 2 2 5 5" xfId="18922" xr:uid="{22403947-8829-4655-8421-7128C515DE97}"/>
    <cellStyle name="Comma 4 4 2 2 6" xfId="2409" xr:uid="{00000000-0005-0000-0000-0000E0090000}"/>
    <cellStyle name="Comma 4 4 2 2 6 2" xfId="6695" xr:uid="{00000000-0005-0000-0000-0000E1090000}"/>
    <cellStyle name="Comma 4 4 2 2 6 2 2" xfId="15124" xr:uid="{801C9DD6-5484-4CA2-8680-54639D2DEA00}"/>
    <cellStyle name="Comma 4 4 2 2 6 2 3" xfId="27757" xr:uid="{EFEE26E2-0B70-43A3-BEBB-42CF7247CC96}"/>
    <cellStyle name="Comma 4 4 2 2 6 3" xfId="10906" xr:uid="{8474D9EF-98BF-41EC-9D61-1B75C5AD3F42}"/>
    <cellStyle name="Comma 4 4 2 2 6 3 2" xfId="23546" xr:uid="{E86D1DBD-DA80-4A0B-8E33-5E08B3933157}"/>
    <cellStyle name="Comma 4 4 2 2 6 4" xfId="19335" xr:uid="{357888D9-631A-40E8-AD23-9A4A3D73DA6F}"/>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FBE4DB51-4AC4-4518-BD2C-9C939CE145F5}"/>
    <cellStyle name="Comma 4 4 2 2 8 2 3" xfId="28074" xr:uid="{F0EE8868-1478-4062-A04E-760860C9D004}"/>
    <cellStyle name="Comma 4 4 2 2 8 3" xfId="11223" xr:uid="{6D94CCA3-D336-4014-8B46-A6147B1FCCB6}"/>
    <cellStyle name="Comma 4 4 2 2 8 3 2" xfId="23863" xr:uid="{3F8CB297-75F0-4080-80FB-B65A9615C247}"/>
    <cellStyle name="Comma 4 4 2 2 8 4" xfId="19652" xr:uid="{4A0A70AB-035F-4B3C-B9DE-C87AA4809839}"/>
    <cellStyle name="Comma 4 4 2 2 9" xfId="4629" xr:uid="{00000000-0005-0000-0000-0000E5090000}"/>
    <cellStyle name="Comma 4 4 2 2 9 2" xfId="13058" xr:uid="{EF8BD590-D4FA-4045-9F77-EF4EE7CC653A}"/>
    <cellStyle name="Comma 4 4 2 2 9 3" xfId="25691" xr:uid="{829227F5-4BBE-45C2-BC6C-57BF886C75C3}"/>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B59E477A-D3C5-4180-AF6F-7B66E2C1A089}"/>
    <cellStyle name="Comma 4 4 2 3 2 2 3" xfId="28249" xr:uid="{03EBFE34-01DF-47A9-967F-1FB63F9D3CA3}"/>
    <cellStyle name="Comma 4 4 2 3 2 3" xfId="11398" xr:uid="{4A6069B9-8F18-4884-BAC9-761E284AB0B2}"/>
    <cellStyle name="Comma 4 4 2 3 2 3 2" xfId="24038" xr:uid="{345D31D9-4E6A-42F9-A9C4-20EB5226D5A5}"/>
    <cellStyle name="Comma 4 4 2 3 2 4" xfId="19827" xr:uid="{065B177B-A1AA-45D2-8C08-AC2852B9156A}"/>
    <cellStyle name="Comma 4 4 2 3 3" xfId="5042" xr:uid="{00000000-0005-0000-0000-0000E9090000}"/>
    <cellStyle name="Comma 4 4 2 3 3 2" xfId="13471" xr:uid="{4BF0F57B-0389-4062-9FCA-E898E6AF1392}"/>
    <cellStyle name="Comma 4 4 2 3 3 3" xfId="26104" xr:uid="{5E212129-0A83-43AF-864A-2D2BCDD9A6B3}"/>
    <cellStyle name="Comma 4 4 2 3 4" xfId="9253" xr:uid="{12960CEE-542A-4AA4-9014-D77BD4E9668F}"/>
    <cellStyle name="Comma 4 4 2 3 4 2" xfId="21893" xr:uid="{E2E0B1F7-AC75-41BF-8EDD-D2315A40066E}"/>
    <cellStyle name="Comma 4 4 2 3 5" xfId="17682" xr:uid="{16C3DFCE-180A-41C7-AAD0-4794F86A1123}"/>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6F2BECB2-B671-41DF-9007-D20CCA02C766}"/>
    <cellStyle name="Comma 4 4 2 4 2 2 3" xfId="28662" xr:uid="{B2A4DE64-BD12-4595-944F-6C23A10EB681}"/>
    <cellStyle name="Comma 4 4 2 4 2 3" xfId="11811" xr:uid="{BB900CD1-DBE8-4799-9CA4-B809FB2E4AB4}"/>
    <cellStyle name="Comma 4 4 2 4 2 3 2" xfId="24451" xr:uid="{0549397C-4B78-4E06-A229-CA13267DF17F}"/>
    <cellStyle name="Comma 4 4 2 4 2 4" xfId="20240" xr:uid="{890229CC-C832-4D0E-9379-A6E21627BAE4}"/>
    <cellStyle name="Comma 4 4 2 4 3" xfId="5455" xr:uid="{00000000-0005-0000-0000-0000ED090000}"/>
    <cellStyle name="Comma 4 4 2 4 3 2" xfId="13884" xr:uid="{F7559B64-07AA-4CC0-ACE1-19879DA83B1F}"/>
    <cellStyle name="Comma 4 4 2 4 3 3" xfId="26517" xr:uid="{E168314B-8F76-4A87-8B37-D9D808E73760}"/>
    <cellStyle name="Comma 4 4 2 4 4" xfId="9666" xr:uid="{9B5245F7-8B72-4F91-A451-9E31B5BCDABA}"/>
    <cellStyle name="Comma 4 4 2 4 4 2" xfId="22306" xr:uid="{729B7E94-57E7-4902-A437-C87BA3BC9F3E}"/>
    <cellStyle name="Comma 4 4 2 4 5" xfId="18095" xr:uid="{674E9292-21A9-42B5-8976-51CCF22E38F2}"/>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8837A6F7-47EE-4C4D-8717-25C4741F940E}"/>
    <cellStyle name="Comma 4 4 2 5 2 2 3" xfId="29075" xr:uid="{BCC7AFF4-E32F-45D9-8196-1E51D69A847B}"/>
    <cellStyle name="Comma 4 4 2 5 2 3" xfId="12224" xr:uid="{7CED2D57-0904-49A8-AB64-6D0A032A4D07}"/>
    <cellStyle name="Comma 4 4 2 5 2 3 2" xfId="24864" xr:uid="{21DF47E0-8768-469C-8651-6942A28ADE81}"/>
    <cellStyle name="Comma 4 4 2 5 2 4" xfId="20653" xr:uid="{836F809C-7FEF-449E-9B96-A8763D9A6A29}"/>
    <cellStyle name="Comma 4 4 2 5 3" xfId="5868" xr:uid="{00000000-0005-0000-0000-0000F1090000}"/>
    <cellStyle name="Comma 4 4 2 5 3 2" xfId="14297" xr:uid="{76602EB0-9A8A-48D6-B0C9-6BD9366A8EC1}"/>
    <cellStyle name="Comma 4 4 2 5 3 3" xfId="26930" xr:uid="{DAACF53E-769A-4646-B917-EAF9ED51CC4D}"/>
    <cellStyle name="Comma 4 4 2 5 4" xfId="10079" xr:uid="{C8F0DB7C-DB17-494D-8CEC-FA4A8D799A01}"/>
    <cellStyle name="Comma 4 4 2 5 4 2" xfId="22719" xr:uid="{6EDC845B-B57A-4290-A416-715937EDBB8A}"/>
    <cellStyle name="Comma 4 4 2 5 5" xfId="18508" xr:uid="{0C7A3590-D86A-4FC1-9208-2701B63BD6C9}"/>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758CD1F0-18A5-47BE-8103-EC8F3CA89B46}"/>
    <cellStyle name="Comma 4 4 2 6 2 2 3" xfId="29488" xr:uid="{D9E331F1-D3BE-4F17-A3B1-6A118B81878E}"/>
    <cellStyle name="Comma 4 4 2 6 2 3" xfId="12637" xr:uid="{09F9DF3E-6E84-4E16-B2AE-56A567A9AA7A}"/>
    <cellStyle name="Comma 4 4 2 6 2 3 2" xfId="25277" xr:uid="{41D660BD-D938-442E-A3D2-31984E45C6F6}"/>
    <cellStyle name="Comma 4 4 2 6 2 4" xfId="21066" xr:uid="{483120A8-AAF5-45AB-A976-0C18147702B5}"/>
    <cellStyle name="Comma 4 4 2 6 3" xfId="6281" xr:uid="{00000000-0005-0000-0000-0000F5090000}"/>
    <cellStyle name="Comma 4 4 2 6 3 2" xfId="14710" xr:uid="{484D820E-A53B-4626-A653-98AF786841FD}"/>
    <cellStyle name="Comma 4 4 2 6 3 3" xfId="27343" xr:uid="{A74F46E9-851C-4669-B69E-AA2F305C9A69}"/>
    <cellStyle name="Comma 4 4 2 6 4" xfId="10492" xr:uid="{A646A7BC-EB85-45A2-86F4-0BFE044B5A9F}"/>
    <cellStyle name="Comma 4 4 2 6 4 2" xfId="23132" xr:uid="{B0ECBB68-ECDA-4BE6-9968-B226C58ECCC8}"/>
    <cellStyle name="Comma 4 4 2 6 5" xfId="18921" xr:uid="{56A8B6BF-717A-45E7-B8FF-EFB39ABCFC88}"/>
    <cellStyle name="Comma 4 4 2 7" xfId="2408" xr:uid="{00000000-0005-0000-0000-0000F6090000}"/>
    <cellStyle name="Comma 4 4 2 7 2" xfId="6694" xr:uid="{00000000-0005-0000-0000-0000F7090000}"/>
    <cellStyle name="Comma 4 4 2 7 2 2" xfId="15123" xr:uid="{93CDE9DA-D919-4F9B-9339-080731B67131}"/>
    <cellStyle name="Comma 4 4 2 7 2 3" xfId="27756" xr:uid="{9AA16791-E7E0-4D63-84C2-0D1037225852}"/>
    <cellStyle name="Comma 4 4 2 7 3" xfId="10905" xr:uid="{A283160A-8F4D-4FEE-9A3B-8F81B0534B35}"/>
    <cellStyle name="Comma 4 4 2 7 3 2" xfId="23545" xr:uid="{E38ABF27-2657-4F77-BEFB-4C089A12A561}"/>
    <cellStyle name="Comma 4 4 2 7 4" xfId="19334" xr:uid="{22B9CEB3-B772-47BD-A562-CC1237E5353A}"/>
    <cellStyle name="Comma 4 4 2 8" xfId="2704" xr:uid="{00000000-0005-0000-0000-0000F8090000}"/>
    <cellStyle name="Comma 4 4 2 9" xfId="2786" xr:uid="{00000000-0005-0000-0000-0000F9090000}"/>
    <cellStyle name="Comma 4 4 2 9 2" xfId="7011" xr:uid="{00000000-0005-0000-0000-0000FA090000}"/>
    <cellStyle name="Comma 4 4 2 9 2 2" xfId="15440" xr:uid="{1003C499-37EE-4077-8F76-73B25BB75661}"/>
    <cellStyle name="Comma 4 4 2 9 2 3" xfId="28073" xr:uid="{46802DBD-0E65-466A-B1AB-3E29D1A7F7A2}"/>
    <cellStyle name="Comma 4 4 2 9 3" xfId="11222" xr:uid="{EB056A77-4018-4623-AEA1-E92345BC9673}"/>
    <cellStyle name="Comma 4 4 2 9 3 2" xfId="23862" xr:uid="{2FB8B3D8-8841-4031-BA94-F3B23C7CC8D9}"/>
    <cellStyle name="Comma 4 4 2 9 4" xfId="19651" xr:uid="{42C1F220-CB34-4197-95AE-2CA50661A39B}"/>
    <cellStyle name="Comma 4 4 3" xfId="156" xr:uid="{00000000-0005-0000-0000-0000FB090000}"/>
    <cellStyle name="Comma 4 4 3 10" xfId="8841" xr:uid="{8D40335D-79B4-4D1F-BB2A-33BCC1E29887}"/>
    <cellStyle name="Comma 4 4 3 10 2" xfId="21481" xr:uid="{A88F9EF8-BB82-43D5-9038-49A6006BB814}"/>
    <cellStyle name="Comma 4 4 3 11" xfId="17270" xr:uid="{CC9DFBD4-73E4-4A16-AB47-4BB7BFE3F832}"/>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4E4F5A50-253B-4CCB-A24F-8D5D101BF96F}"/>
    <cellStyle name="Comma 4 4 3 2 2 2 3" xfId="28251" xr:uid="{08CB30B8-9734-45C2-9F7E-37CA6CA15DF3}"/>
    <cellStyle name="Comma 4 4 3 2 2 3" xfId="11400" xr:uid="{47680000-7565-4C57-81BD-678D6B475112}"/>
    <cellStyle name="Comma 4 4 3 2 2 3 2" xfId="24040" xr:uid="{00EA91F9-5A92-4D83-A978-3508E2954720}"/>
    <cellStyle name="Comma 4 4 3 2 2 4" xfId="19829" xr:uid="{81452205-0AED-49FF-9EF1-EB10E549CD48}"/>
    <cellStyle name="Comma 4 4 3 2 3" xfId="5044" xr:uid="{00000000-0005-0000-0000-0000FF090000}"/>
    <cellStyle name="Comma 4 4 3 2 3 2" xfId="13473" xr:uid="{55374FE5-FB72-4A38-AC81-3164A931D8F6}"/>
    <cellStyle name="Comma 4 4 3 2 3 3" xfId="26106" xr:uid="{0B22D31D-FA8B-4BC9-B5AA-0860C433FFA7}"/>
    <cellStyle name="Comma 4 4 3 2 4" xfId="9255" xr:uid="{572A2C47-E1D1-49B7-B2AF-92849A5AF4D2}"/>
    <cellStyle name="Comma 4 4 3 2 4 2" xfId="21895" xr:uid="{4C702876-A2A0-49A8-A0D8-5D3D908C96C0}"/>
    <cellStyle name="Comma 4 4 3 2 5" xfId="17684" xr:uid="{FA21A5D2-865D-4671-8046-A01DBC6DE34B}"/>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94627FC5-68C4-48FE-8767-CE7BB9BE0842}"/>
    <cellStyle name="Comma 4 4 3 3 2 2 3" xfId="28664" xr:uid="{A5F8D5E4-BE93-4685-B6E0-BE5D471C0C3C}"/>
    <cellStyle name="Comma 4 4 3 3 2 3" xfId="11813" xr:uid="{C01FE2C0-EA9A-4507-9F70-D7D49C28C3AB}"/>
    <cellStyle name="Comma 4 4 3 3 2 3 2" xfId="24453" xr:uid="{F21A09F8-8040-4DEA-A9CC-5171D91B39C5}"/>
    <cellStyle name="Comma 4 4 3 3 2 4" xfId="20242" xr:uid="{9729FCA6-92F0-4843-B686-0D7018B8BFDC}"/>
    <cellStyle name="Comma 4 4 3 3 3" xfId="5457" xr:uid="{00000000-0005-0000-0000-0000030A0000}"/>
    <cellStyle name="Comma 4 4 3 3 3 2" xfId="13886" xr:uid="{723A6D33-4BD6-408A-B386-76ABF1D18883}"/>
    <cellStyle name="Comma 4 4 3 3 3 3" xfId="26519" xr:uid="{5ED60421-D2FF-4768-93FD-D4996DEE6565}"/>
    <cellStyle name="Comma 4 4 3 3 4" xfId="9668" xr:uid="{56C43AFA-EB69-4668-9CF1-9E4C992BC2FB}"/>
    <cellStyle name="Comma 4 4 3 3 4 2" xfId="22308" xr:uid="{F80D4739-4348-4F8D-8B81-2E4A808D7F39}"/>
    <cellStyle name="Comma 4 4 3 3 5" xfId="18097" xr:uid="{21CBDCAA-3AC5-4988-A40F-2F81F1FE69A5}"/>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2D70F059-EDBB-433C-A711-E5EC1A0B431A}"/>
    <cellStyle name="Comma 4 4 3 4 2 2 3" xfId="29077" xr:uid="{AF19AEF3-CA61-47A4-89CC-9E74D6822354}"/>
    <cellStyle name="Comma 4 4 3 4 2 3" xfId="12226" xr:uid="{2B7DEE80-CC34-496E-BCCD-57A88DFE085B}"/>
    <cellStyle name="Comma 4 4 3 4 2 3 2" xfId="24866" xr:uid="{3E574D0C-8662-4E5E-9B0F-5168C8CBE78A}"/>
    <cellStyle name="Comma 4 4 3 4 2 4" xfId="20655" xr:uid="{EF4AAE43-B122-44BD-8FCA-FF5B7984696F}"/>
    <cellStyle name="Comma 4 4 3 4 3" xfId="5870" xr:uid="{00000000-0005-0000-0000-0000070A0000}"/>
    <cellStyle name="Comma 4 4 3 4 3 2" xfId="14299" xr:uid="{168779E5-509F-4F2B-8CBB-2CF8F4C40E79}"/>
    <cellStyle name="Comma 4 4 3 4 3 3" xfId="26932" xr:uid="{4DB57C8D-D557-4834-A323-E71A4FBF457E}"/>
    <cellStyle name="Comma 4 4 3 4 4" xfId="10081" xr:uid="{6D13627C-AC0E-4091-B5FA-579B7E07F8FE}"/>
    <cellStyle name="Comma 4 4 3 4 4 2" xfId="22721" xr:uid="{879F8B4D-5B9F-400D-AC51-92D7A96DD912}"/>
    <cellStyle name="Comma 4 4 3 4 5" xfId="18510" xr:uid="{BB6ED62B-BB59-422E-8DB2-BEC2EDE4E937}"/>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44B92667-6213-43F3-A7E3-A020BC199CD5}"/>
    <cellStyle name="Comma 4 4 3 5 2 2 3" xfId="29490" xr:uid="{B6D6E994-1906-4D77-8318-F292E4981093}"/>
    <cellStyle name="Comma 4 4 3 5 2 3" xfId="12639" xr:uid="{5512E71A-A84A-4002-AB45-BA2AC3B67319}"/>
    <cellStyle name="Comma 4 4 3 5 2 3 2" xfId="25279" xr:uid="{BA1C6B68-2D35-4EEE-B07C-4B1707DE79C8}"/>
    <cellStyle name="Comma 4 4 3 5 2 4" xfId="21068" xr:uid="{2D5B994E-2789-45E0-B57A-78E5B4712958}"/>
    <cellStyle name="Comma 4 4 3 5 3" xfId="6283" xr:uid="{00000000-0005-0000-0000-00000B0A0000}"/>
    <cellStyle name="Comma 4 4 3 5 3 2" xfId="14712" xr:uid="{5DC1385E-FF18-42BB-A8D2-70819F1D6533}"/>
    <cellStyle name="Comma 4 4 3 5 3 3" xfId="27345" xr:uid="{99B25A92-7B6B-42F4-A72B-673508992E91}"/>
    <cellStyle name="Comma 4 4 3 5 4" xfId="10494" xr:uid="{42962AF7-05BF-40B5-BC09-4BC0286894CB}"/>
    <cellStyle name="Comma 4 4 3 5 4 2" xfId="23134" xr:uid="{EB0A0A3B-C23B-4347-BC28-FB54BB3F14EC}"/>
    <cellStyle name="Comma 4 4 3 5 5" xfId="18923" xr:uid="{81E4AFFA-36F8-4BD1-B334-A30E30197A4A}"/>
    <cellStyle name="Comma 4 4 3 6" xfId="2410" xr:uid="{00000000-0005-0000-0000-00000C0A0000}"/>
    <cellStyle name="Comma 4 4 3 6 2" xfId="6696" xr:uid="{00000000-0005-0000-0000-00000D0A0000}"/>
    <cellStyle name="Comma 4 4 3 6 2 2" xfId="15125" xr:uid="{6700E7A6-160D-4CDE-9219-69C214A10F45}"/>
    <cellStyle name="Comma 4 4 3 6 2 3" xfId="27758" xr:uid="{31081E2B-08BF-422C-9D63-C486A86F2B1C}"/>
    <cellStyle name="Comma 4 4 3 6 3" xfId="10907" xr:uid="{D5C1677D-C1E8-46D9-B894-3C769AFD7BD3}"/>
    <cellStyle name="Comma 4 4 3 6 3 2" xfId="23547" xr:uid="{DCC6AC93-C017-425F-BF83-47CF48F4D736}"/>
    <cellStyle name="Comma 4 4 3 6 4" xfId="19336" xr:uid="{CC58593D-30FC-45D8-BF98-E2F9D1AE5C37}"/>
    <cellStyle name="Comma 4 4 3 7" xfId="2706" xr:uid="{00000000-0005-0000-0000-00000E0A0000}"/>
    <cellStyle name="Comma 4 4 3 8" xfId="2788" xr:uid="{00000000-0005-0000-0000-00000F0A0000}"/>
    <cellStyle name="Comma 4 4 3 8 2" xfId="7013" xr:uid="{00000000-0005-0000-0000-0000100A0000}"/>
    <cellStyle name="Comma 4 4 3 8 2 2" xfId="15442" xr:uid="{B714A792-9329-46DE-995E-A909297CDF1A}"/>
    <cellStyle name="Comma 4 4 3 8 2 3" xfId="28075" xr:uid="{947758D2-27BD-4E4F-AEA9-558FD83B6BDC}"/>
    <cellStyle name="Comma 4 4 3 8 3" xfId="11224" xr:uid="{7DE4CB70-81D7-45DF-A735-B0E9E703792C}"/>
    <cellStyle name="Comma 4 4 3 8 3 2" xfId="23864" xr:uid="{910A97EF-A23F-4E7C-A001-9EF1576C2B96}"/>
    <cellStyle name="Comma 4 4 3 8 4" xfId="19653" xr:uid="{4AA8453C-6C42-4E9B-86D2-BFA6F30153E0}"/>
    <cellStyle name="Comma 4 4 3 9" xfId="4630" xr:uid="{00000000-0005-0000-0000-0000110A0000}"/>
    <cellStyle name="Comma 4 4 3 9 2" xfId="13059" xr:uid="{65B6CC9D-C886-4738-86E1-F60F18FC524F}"/>
    <cellStyle name="Comma 4 4 3 9 3" xfId="25692" xr:uid="{EDE0AB71-F213-46EE-9D50-73FED874DDC1}"/>
    <cellStyle name="Comma 4 4 4" xfId="691" xr:uid="{00000000-0005-0000-0000-0000120A0000}"/>
    <cellStyle name="Comma 4 4 4 2" xfId="2962" xr:uid="{00000000-0005-0000-0000-0000130A0000}"/>
    <cellStyle name="Comma 4 4 4 2 2" xfId="7186" xr:uid="{00000000-0005-0000-0000-0000140A0000}"/>
    <cellStyle name="Comma 4 4 4 2 2 2" xfId="15615" xr:uid="{1997D2F5-F28E-44FB-A200-17481E09EEBB}"/>
    <cellStyle name="Comma 4 4 4 2 2 3" xfId="28248" xr:uid="{17C7B232-4A66-4D76-8DCA-265978942CFE}"/>
    <cellStyle name="Comma 4 4 4 2 3" xfId="11397" xr:uid="{D2EC6415-EACA-4B7C-B7D8-837606A03175}"/>
    <cellStyle name="Comma 4 4 4 2 3 2" xfId="24037" xr:uid="{8EB41A1B-796C-4818-8D58-888A5975DFA2}"/>
    <cellStyle name="Comma 4 4 4 2 4" xfId="19826" xr:uid="{543C2E8B-2DAB-40E1-B7A1-8A38D231347C}"/>
    <cellStyle name="Comma 4 4 4 3" xfId="5041" xr:uid="{00000000-0005-0000-0000-0000150A0000}"/>
    <cellStyle name="Comma 4 4 4 3 2" xfId="13470" xr:uid="{BD0E6FE5-4EC5-4539-A375-2C46FB7CFB16}"/>
    <cellStyle name="Comma 4 4 4 3 3" xfId="26103" xr:uid="{6321BD00-D461-46C6-8ADD-DBFDF8C22BD1}"/>
    <cellStyle name="Comma 4 4 4 4" xfId="9252" xr:uid="{5C1CE843-4F5E-4F07-AA95-34805798C116}"/>
    <cellStyle name="Comma 4 4 4 4 2" xfId="21892" xr:uid="{E348791B-1BB9-47EA-8C01-385F6418F695}"/>
    <cellStyle name="Comma 4 4 4 5" xfId="17681" xr:uid="{D7A6979C-E228-4C7C-8A47-0B50BF9D7804}"/>
    <cellStyle name="Comma 4 4 5" xfId="1144" xr:uid="{00000000-0005-0000-0000-0000160A0000}"/>
    <cellStyle name="Comma 4 4 5 2" xfId="3375" xr:uid="{00000000-0005-0000-0000-0000170A0000}"/>
    <cellStyle name="Comma 4 4 5 2 2" xfId="7599" xr:uid="{00000000-0005-0000-0000-0000180A0000}"/>
    <cellStyle name="Comma 4 4 5 2 2 2" xfId="16028" xr:uid="{1EE41616-D123-48D3-895F-FBD163A2FE9A}"/>
    <cellStyle name="Comma 4 4 5 2 2 3" xfId="28661" xr:uid="{61C1CD95-BA21-4D04-B2BC-9F1D1BBD71B0}"/>
    <cellStyle name="Comma 4 4 5 2 3" xfId="11810" xr:uid="{CE74BC63-C7AC-49FD-A0BF-618809919FC0}"/>
    <cellStyle name="Comma 4 4 5 2 3 2" xfId="24450" xr:uid="{42F63251-F429-4639-8C40-93C02030C309}"/>
    <cellStyle name="Comma 4 4 5 2 4" xfId="20239" xr:uid="{BB29E076-DD75-458B-8C6A-4373D204EC20}"/>
    <cellStyle name="Comma 4 4 5 3" xfId="5454" xr:uid="{00000000-0005-0000-0000-0000190A0000}"/>
    <cellStyle name="Comma 4 4 5 3 2" xfId="13883" xr:uid="{7AEE1BEE-26EA-440A-8DA5-3656BE52075F}"/>
    <cellStyle name="Comma 4 4 5 3 3" xfId="26516" xr:uid="{524AC488-E7EB-4FEC-863F-D0F4D3CC2EBB}"/>
    <cellStyle name="Comma 4 4 5 4" xfId="9665" xr:uid="{E51F4246-86F3-42FB-BE34-53881DF9D362}"/>
    <cellStyle name="Comma 4 4 5 4 2" xfId="22305" xr:uid="{294A68D9-4C1B-4369-BC1E-F0C358A46E5B}"/>
    <cellStyle name="Comma 4 4 5 5" xfId="18094" xr:uid="{48C2EB6B-FDF7-4567-B9FA-E0C084341034}"/>
    <cellStyle name="Comma 4 4 6" xfId="1558" xr:uid="{00000000-0005-0000-0000-00001A0A0000}"/>
    <cellStyle name="Comma 4 4 6 2" xfId="3788" xr:uid="{00000000-0005-0000-0000-00001B0A0000}"/>
    <cellStyle name="Comma 4 4 6 2 2" xfId="8012" xr:uid="{00000000-0005-0000-0000-00001C0A0000}"/>
    <cellStyle name="Comma 4 4 6 2 2 2" xfId="16441" xr:uid="{69091A56-E040-4E0B-9CE2-3D03BE5629EC}"/>
    <cellStyle name="Comma 4 4 6 2 2 3" xfId="29074" xr:uid="{EAD54382-01FC-4AE8-B855-4223A3319E31}"/>
    <cellStyle name="Comma 4 4 6 2 3" xfId="12223" xr:uid="{D7C322A9-D895-48F4-938F-3EFF27596AD9}"/>
    <cellStyle name="Comma 4 4 6 2 3 2" xfId="24863" xr:uid="{ACCB0C4F-1940-4870-B11C-A8DDDE3D03EB}"/>
    <cellStyle name="Comma 4 4 6 2 4" xfId="20652" xr:uid="{ACFA8198-E10C-4276-A4A7-75480AA1D84F}"/>
    <cellStyle name="Comma 4 4 6 3" xfId="5867" xr:uid="{00000000-0005-0000-0000-00001D0A0000}"/>
    <cellStyle name="Comma 4 4 6 3 2" xfId="14296" xr:uid="{B78D16EF-E04A-4620-817A-77D89CA83925}"/>
    <cellStyle name="Comma 4 4 6 3 3" xfId="26929" xr:uid="{08A2BF4D-11CD-428F-88A4-2C1D2A629D11}"/>
    <cellStyle name="Comma 4 4 6 4" xfId="10078" xr:uid="{37073F18-ECF7-47AB-9565-6FCAA39C358E}"/>
    <cellStyle name="Comma 4 4 6 4 2" xfId="22718" xr:uid="{C8016D57-8AEB-439E-A523-2969EA712227}"/>
    <cellStyle name="Comma 4 4 6 5" xfId="18507" xr:uid="{F749B7F4-540B-4449-850A-E7D8E70716A1}"/>
    <cellStyle name="Comma 4 4 7" xfId="1972" xr:uid="{00000000-0005-0000-0000-00001E0A0000}"/>
    <cellStyle name="Comma 4 4 7 2" xfId="4201" xr:uid="{00000000-0005-0000-0000-00001F0A0000}"/>
    <cellStyle name="Comma 4 4 7 2 2" xfId="8425" xr:uid="{00000000-0005-0000-0000-0000200A0000}"/>
    <cellStyle name="Comma 4 4 7 2 2 2" xfId="16854" xr:uid="{7582563C-6ADE-4D44-9A55-7C1AA3E0DD6A}"/>
    <cellStyle name="Comma 4 4 7 2 2 3" xfId="29487" xr:uid="{85D9DA2C-10B9-4192-8045-A46209FAA636}"/>
    <cellStyle name="Comma 4 4 7 2 3" xfId="12636" xr:uid="{728D1BC7-1421-41EA-81DD-1BDE3BC9C79A}"/>
    <cellStyle name="Comma 4 4 7 2 3 2" xfId="25276" xr:uid="{55D324D2-613E-41C7-AE7C-5D8DF0CBC225}"/>
    <cellStyle name="Comma 4 4 7 2 4" xfId="21065" xr:uid="{845A7768-7705-46FC-95DC-E46521A0C7C5}"/>
    <cellStyle name="Comma 4 4 7 3" xfId="6280" xr:uid="{00000000-0005-0000-0000-0000210A0000}"/>
    <cellStyle name="Comma 4 4 7 3 2" xfId="14709" xr:uid="{59F244FF-BA7E-484A-9626-7D197B3FB1B1}"/>
    <cellStyle name="Comma 4 4 7 3 3" xfId="27342" xr:uid="{D0AFF9CA-11C0-40C8-92C1-A1841369F763}"/>
    <cellStyle name="Comma 4 4 7 4" xfId="10491" xr:uid="{620D1B60-9714-40CF-B4D6-4A5220C180C5}"/>
    <cellStyle name="Comma 4 4 7 4 2" xfId="23131" xr:uid="{126E45A8-E2DD-4435-8A7A-5369CDA79B9A}"/>
    <cellStyle name="Comma 4 4 7 5" xfId="18920" xr:uid="{55A93E71-3824-48F9-9173-2139FCB3A941}"/>
    <cellStyle name="Comma 4 4 8" xfId="2407" xr:uid="{00000000-0005-0000-0000-0000220A0000}"/>
    <cellStyle name="Comma 4 4 8 2" xfId="6693" xr:uid="{00000000-0005-0000-0000-0000230A0000}"/>
    <cellStyle name="Comma 4 4 8 2 2" xfId="15122" xr:uid="{57D7DDEF-BBD8-48FA-A452-F2909957AE9B}"/>
    <cellStyle name="Comma 4 4 8 2 3" xfId="27755" xr:uid="{645952CA-B4A9-4449-8837-B140F7C6262A}"/>
    <cellStyle name="Comma 4 4 8 3" xfId="10904" xr:uid="{5995185C-5E4B-476B-AFEA-543068DDC8D0}"/>
    <cellStyle name="Comma 4 4 8 3 2" xfId="23544" xr:uid="{0FCFF60F-D654-416F-9E05-793CD1CC1441}"/>
    <cellStyle name="Comma 4 4 8 4" xfId="19333" xr:uid="{978337BD-E926-45D0-8EE0-1C6B0D12BDF6}"/>
    <cellStyle name="Comma 4 4 9" xfId="2703" xr:uid="{00000000-0005-0000-0000-0000240A0000}"/>
    <cellStyle name="Comma 4 5" xfId="157" xr:uid="{00000000-0005-0000-0000-0000250A0000}"/>
    <cellStyle name="Comma 4 5 10" xfId="4631" xr:uid="{00000000-0005-0000-0000-0000260A0000}"/>
    <cellStyle name="Comma 4 5 10 2" xfId="13060" xr:uid="{B5C5C9CD-3760-4B47-8CA6-B07CB5721A35}"/>
    <cellStyle name="Comma 4 5 10 3" xfId="25693" xr:uid="{4FE6BA81-CF7D-4BB5-A0BA-5CAB7C6A99DB}"/>
    <cellStyle name="Comma 4 5 11" xfId="8842" xr:uid="{0185D49A-6E7D-442A-A310-DD913C298005}"/>
    <cellStyle name="Comma 4 5 11 2" xfId="21482" xr:uid="{813C9AB1-2FFE-479E-914D-8B7B2150547C}"/>
    <cellStyle name="Comma 4 5 12" xfId="17271" xr:uid="{3CB33D5B-94EC-47A6-9BE7-8516FEB0658F}"/>
    <cellStyle name="Comma 4 5 2" xfId="158" xr:uid="{00000000-0005-0000-0000-0000270A0000}"/>
    <cellStyle name="Comma 4 5 2 10" xfId="8843" xr:uid="{515FF8FE-0E28-4B79-8DE9-4308D1AD9FF7}"/>
    <cellStyle name="Comma 4 5 2 10 2" xfId="21483" xr:uid="{E101BEB9-ECA8-48EA-A57B-6CCD3720C91C}"/>
    <cellStyle name="Comma 4 5 2 11" xfId="17272" xr:uid="{5AA879AF-C3D9-4907-AEF4-9296FF34C3B5}"/>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C74E2BAD-9B02-419A-AA73-2D0CFCA827F6}"/>
    <cellStyle name="Comma 4 5 2 2 2 2 3" xfId="28253" xr:uid="{7EDDFE42-6B56-4A43-A563-FF2FAAC4F4A5}"/>
    <cellStyle name="Comma 4 5 2 2 2 3" xfId="11402" xr:uid="{D3262788-E7AF-47B3-B04D-6B571D230B70}"/>
    <cellStyle name="Comma 4 5 2 2 2 3 2" xfId="24042" xr:uid="{0B30CC59-FC46-4E22-9492-CDEF5F2B3ABF}"/>
    <cellStyle name="Comma 4 5 2 2 2 4" xfId="19831" xr:uid="{10019FE5-7F6C-4F6D-8675-FBDBF6B587EA}"/>
    <cellStyle name="Comma 4 5 2 2 3" xfId="5046" xr:uid="{00000000-0005-0000-0000-00002B0A0000}"/>
    <cellStyle name="Comma 4 5 2 2 3 2" xfId="13475" xr:uid="{1E40971A-3A3F-4432-BB3A-9765B9D077BC}"/>
    <cellStyle name="Comma 4 5 2 2 3 3" xfId="26108" xr:uid="{0BE297C7-A521-4119-B4F7-8DB302F3F5F5}"/>
    <cellStyle name="Comma 4 5 2 2 4" xfId="9257" xr:uid="{D2CB5814-F5F3-4FFF-AA55-B7392FD08F5E}"/>
    <cellStyle name="Comma 4 5 2 2 4 2" xfId="21897" xr:uid="{C18C69C6-464D-45DF-8787-FC30904E0398}"/>
    <cellStyle name="Comma 4 5 2 2 5" xfId="17686" xr:uid="{E09F4BF8-6E1F-46EE-980B-13A105AAD9F9}"/>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9A6D9E5A-69F6-4ADB-8817-B84F3593FDA6}"/>
    <cellStyle name="Comma 4 5 2 3 2 2 3" xfId="28666" xr:uid="{8EA3DB62-FE48-4526-A8F2-D130F4AC3427}"/>
    <cellStyle name="Comma 4 5 2 3 2 3" xfId="11815" xr:uid="{B4627876-E88A-4568-9353-DD7CA32C4F66}"/>
    <cellStyle name="Comma 4 5 2 3 2 3 2" xfId="24455" xr:uid="{B6BD5D15-82DF-4F20-9B74-57BB6D3A9F12}"/>
    <cellStyle name="Comma 4 5 2 3 2 4" xfId="20244" xr:uid="{13B733E0-BA12-4202-BB63-6E2DF72869AB}"/>
    <cellStyle name="Comma 4 5 2 3 3" xfId="5459" xr:uid="{00000000-0005-0000-0000-00002F0A0000}"/>
    <cellStyle name="Comma 4 5 2 3 3 2" xfId="13888" xr:uid="{B5E6773D-B346-485B-86C4-56467BEE4E58}"/>
    <cellStyle name="Comma 4 5 2 3 3 3" xfId="26521" xr:uid="{7C06E28B-8CCA-4E36-8311-B7045799FE2A}"/>
    <cellStyle name="Comma 4 5 2 3 4" xfId="9670" xr:uid="{82E952F2-E4A1-4A71-A71B-A4BECF1E538C}"/>
    <cellStyle name="Comma 4 5 2 3 4 2" xfId="22310" xr:uid="{B5300D0C-C324-4BD3-A925-5F281B8FAA8D}"/>
    <cellStyle name="Comma 4 5 2 3 5" xfId="18099" xr:uid="{E42DFE82-28D4-4B9D-ACBC-21350511B3DC}"/>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5D19EA2D-3F98-41F3-9709-8C5CC978CBE6}"/>
    <cellStyle name="Comma 4 5 2 4 2 2 3" xfId="29079" xr:uid="{B1BFA8FE-4391-4643-B537-37B36749F5F9}"/>
    <cellStyle name="Comma 4 5 2 4 2 3" xfId="12228" xr:uid="{01D2CF1A-FD46-4119-A5DE-EA05E409242B}"/>
    <cellStyle name="Comma 4 5 2 4 2 3 2" xfId="24868" xr:uid="{41817E7A-5BE4-4E67-B629-B8FD5EDDE232}"/>
    <cellStyle name="Comma 4 5 2 4 2 4" xfId="20657" xr:uid="{13C1BC64-8E50-4735-B21D-8FFEDF318A22}"/>
    <cellStyle name="Comma 4 5 2 4 3" xfId="5872" xr:uid="{00000000-0005-0000-0000-0000330A0000}"/>
    <cellStyle name="Comma 4 5 2 4 3 2" xfId="14301" xr:uid="{672E6CDE-B6CA-4AC2-8A2E-08FEABDBDA65}"/>
    <cellStyle name="Comma 4 5 2 4 3 3" xfId="26934" xr:uid="{8935A641-EA2F-4BEF-8491-E67ADCBA4FC0}"/>
    <cellStyle name="Comma 4 5 2 4 4" xfId="10083" xr:uid="{59A7FA27-3EFD-4712-A629-63703E5AEE2A}"/>
    <cellStyle name="Comma 4 5 2 4 4 2" xfId="22723" xr:uid="{5D0CA445-8468-4E08-A5E1-4D7537A6448A}"/>
    <cellStyle name="Comma 4 5 2 4 5" xfId="18512" xr:uid="{E18C440C-121B-4B4E-BDCB-A4631D3D89CC}"/>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F3555D41-1799-42C3-8655-FE9AD143C4C9}"/>
    <cellStyle name="Comma 4 5 2 5 2 2 3" xfId="29492" xr:uid="{A82264BB-FCBD-4AC4-B04B-73D876DDC67B}"/>
    <cellStyle name="Comma 4 5 2 5 2 3" xfId="12641" xr:uid="{A0DD7D61-D8D1-41CA-99A9-5F55D1201067}"/>
    <cellStyle name="Comma 4 5 2 5 2 3 2" xfId="25281" xr:uid="{C670B3B2-C0CE-46CD-AD18-7863B77DD422}"/>
    <cellStyle name="Comma 4 5 2 5 2 4" xfId="21070" xr:uid="{DAA56C2E-B19F-4299-ABFF-42AB27F7B746}"/>
    <cellStyle name="Comma 4 5 2 5 3" xfId="6285" xr:uid="{00000000-0005-0000-0000-0000370A0000}"/>
    <cellStyle name="Comma 4 5 2 5 3 2" xfId="14714" xr:uid="{4FEF5F3C-F4CF-4238-A5D2-86F4245FEF80}"/>
    <cellStyle name="Comma 4 5 2 5 3 3" xfId="27347" xr:uid="{B3FD9DC5-83CE-4B91-9742-87B420157B74}"/>
    <cellStyle name="Comma 4 5 2 5 4" xfId="10496" xr:uid="{BB6DC2BD-2896-46D1-B24B-348D7B32F58C}"/>
    <cellStyle name="Comma 4 5 2 5 4 2" xfId="23136" xr:uid="{5B69939B-185D-49F2-86FB-577501402B95}"/>
    <cellStyle name="Comma 4 5 2 5 5" xfId="18925" xr:uid="{CF7B376B-F4A0-492F-9128-DCB0A0D9698A}"/>
    <cellStyle name="Comma 4 5 2 6" xfId="2412" xr:uid="{00000000-0005-0000-0000-0000380A0000}"/>
    <cellStyle name="Comma 4 5 2 6 2" xfId="6698" xr:uid="{00000000-0005-0000-0000-0000390A0000}"/>
    <cellStyle name="Comma 4 5 2 6 2 2" xfId="15127" xr:uid="{4C5DE26E-D331-4D50-85BB-0B98AA20EACD}"/>
    <cellStyle name="Comma 4 5 2 6 2 3" xfId="27760" xr:uid="{685B46D8-85DE-4CFB-B71D-DEFECF6CC242}"/>
    <cellStyle name="Comma 4 5 2 6 3" xfId="10909" xr:uid="{E093A4CD-D2F4-4CC2-80AB-FC18B90BA907}"/>
    <cellStyle name="Comma 4 5 2 6 3 2" xfId="23549" xr:uid="{3DC5E5BC-7ED3-457C-81BE-8AD1A5D5CC8B}"/>
    <cellStyle name="Comma 4 5 2 6 4" xfId="19338" xr:uid="{E58693EA-F905-4613-8916-2C3257712A26}"/>
    <cellStyle name="Comma 4 5 2 7" xfId="2708" xr:uid="{00000000-0005-0000-0000-00003A0A0000}"/>
    <cellStyle name="Comma 4 5 2 8" xfId="2790" xr:uid="{00000000-0005-0000-0000-00003B0A0000}"/>
    <cellStyle name="Comma 4 5 2 8 2" xfId="7015" xr:uid="{00000000-0005-0000-0000-00003C0A0000}"/>
    <cellStyle name="Comma 4 5 2 8 2 2" xfId="15444" xr:uid="{CA53D878-88AC-4DB3-817B-C643A7A366F2}"/>
    <cellStyle name="Comma 4 5 2 8 2 3" xfId="28077" xr:uid="{C1CC0975-752B-41EA-8742-F081A35B40BE}"/>
    <cellStyle name="Comma 4 5 2 8 3" xfId="11226" xr:uid="{8DA986B8-ED4D-4294-AE5D-061C5AF0EFCE}"/>
    <cellStyle name="Comma 4 5 2 8 3 2" xfId="23866" xr:uid="{82302400-FB57-4719-9C85-67876A1BC9A1}"/>
    <cellStyle name="Comma 4 5 2 8 4" xfId="19655" xr:uid="{EB141F2B-C719-4524-9F92-4FCB94B1009A}"/>
    <cellStyle name="Comma 4 5 2 9" xfId="4632" xr:uid="{00000000-0005-0000-0000-00003D0A0000}"/>
    <cellStyle name="Comma 4 5 2 9 2" xfId="13061" xr:uid="{0BE205F5-4998-484D-8D2A-F357D82364AC}"/>
    <cellStyle name="Comma 4 5 2 9 3" xfId="25694" xr:uid="{1FD081DD-902B-4CB0-BA31-95C4FC16C34F}"/>
    <cellStyle name="Comma 4 5 3" xfId="695" xr:uid="{00000000-0005-0000-0000-00003E0A0000}"/>
    <cellStyle name="Comma 4 5 3 2" xfId="2966" xr:uid="{00000000-0005-0000-0000-00003F0A0000}"/>
    <cellStyle name="Comma 4 5 3 2 2" xfId="7190" xr:uid="{00000000-0005-0000-0000-0000400A0000}"/>
    <cellStyle name="Comma 4 5 3 2 2 2" xfId="15619" xr:uid="{463F6AC3-B1DC-44B9-8902-9DFBC2299F9F}"/>
    <cellStyle name="Comma 4 5 3 2 2 3" xfId="28252" xr:uid="{B46391A2-FFE3-40D6-8DC7-024C957110F9}"/>
    <cellStyle name="Comma 4 5 3 2 3" xfId="11401" xr:uid="{5EAB1379-99F4-412A-98AC-5CB08F88A239}"/>
    <cellStyle name="Comma 4 5 3 2 3 2" xfId="24041" xr:uid="{6A667CFB-410D-4EB2-87DE-02A3C4594B0B}"/>
    <cellStyle name="Comma 4 5 3 2 4" xfId="19830" xr:uid="{9BA2F9F3-681E-42EB-9BE4-B82A57FBCC75}"/>
    <cellStyle name="Comma 4 5 3 3" xfId="5045" xr:uid="{00000000-0005-0000-0000-0000410A0000}"/>
    <cellStyle name="Comma 4 5 3 3 2" xfId="13474" xr:uid="{C491D9F4-65B8-45EB-8098-B0E3F290E5FD}"/>
    <cellStyle name="Comma 4 5 3 3 3" xfId="26107" xr:uid="{5DCF0592-4E72-4480-9F68-211B97356C52}"/>
    <cellStyle name="Comma 4 5 3 4" xfId="9256" xr:uid="{850A7719-0E4B-49CA-837C-22F0F94116E1}"/>
    <cellStyle name="Comma 4 5 3 4 2" xfId="21896" xr:uid="{CEF2B8C0-2220-47AA-B46D-CD3E3AEBB5AC}"/>
    <cellStyle name="Comma 4 5 3 5" xfId="17685" xr:uid="{F0EAAAAE-BF4C-4329-A1A7-3EC8DC54EE3E}"/>
    <cellStyle name="Comma 4 5 4" xfId="1148" xr:uid="{00000000-0005-0000-0000-0000420A0000}"/>
    <cellStyle name="Comma 4 5 4 2" xfId="3379" xr:uid="{00000000-0005-0000-0000-0000430A0000}"/>
    <cellStyle name="Comma 4 5 4 2 2" xfId="7603" xr:uid="{00000000-0005-0000-0000-0000440A0000}"/>
    <cellStyle name="Comma 4 5 4 2 2 2" xfId="16032" xr:uid="{394A7541-B0C7-474A-BB0D-FD4A4D1D6DD9}"/>
    <cellStyle name="Comma 4 5 4 2 2 3" xfId="28665" xr:uid="{4EFDE7C9-D335-4375-85BF-C2E1FE2131CA}"/>
    <cellStyle name="Comma 4 5 4 2 3" xfId="11814" xr:uid="{3A36CCBC-7819-4730-ACEB-E98D29D674ED}"/>
    <cellStyle name="Comma 4 5 4 2 3 2" xfId="24454" xr:uid="{A3F6B904-39BB-4578-9DC1-C69251DFD122}"/>
    <cellStyle name="Comma 4 5 4 2 4" xfId="20243" xr:uid="{20920E8F-4FFB-42D9-BBF5-653781D44393}"/>
    <cellStyle name="Comma 4 5 4 3" xfId="5458" xr:uid="{00000000-0005-0000-0000-0000450A0000}"/>
    <cellStyle name="Comma 4 5 4 3 2" xfId="13887" xr:uid="{AD48584C-1407-47A4-B045-FF27E77975D3}"/>
    <cellStyle name="Comma 4 5 4 3 3" xfId="26520" xr:uid="{F0E7B08C-3CC3-45B9-93F9-8B2808A3B68B}"/>
    <cellStyle name="Comma 4 5 4 4" xfId="9669" xr:uid="{C6439287-D580-414D-8C67-A04CF1C34F23}"/>
    <cellStyle name="Comma 4 5 4 4 2" xfId="22309" xr:uid="{5DC92BA0-F0C2-4BEB-B54D-791D517D6C92}"/>
    <cellStyle name="Comma 4 5 4 5" xfId="18098" xr:uid="{A600B0B3-FB12-49FF-A5B3-837546B717CE}"/>
    <cellStyle name="Comma 4 5 5" xfId="1562" xr:uid="{00000000-0005-0000-0000-0000460A0000}"/>
    <cellStyle name="Comma 4 5 5 2" xfId="3792" xr:uid="{00000000-0005-0000-0000-0000470A0000}"/>
    <cellStyle name="Comma 4 5 5 2 2" xfId="8016" xr:uid="{00000000-0005-0000-0000-0000480A0000}"/>
    <cellStyle name="Comma 4 5 5 2 2 2" xfId="16445" xr:uid="{7EBFB25D-79ED-4045-964F-0F2D9476DC5B}"/>
    <cellStyle name="Comma 4 5 5 2 2 3" xfId="29078" xr:uid="{582612D2-82B4-48DE-93AE-D1C0CB715EC0}"/>
    <cellStyle name="Comma 4 5 5 2 3" xfId="12227" xr:uid="{075D41ED-D3F7-4814-8251-09E2F4243BD4}"/>
    <cellStyle name="Comma 4 5 5 2 3 2" xfId="24867" xr:uid="{1482C72B-E06D-4F1A-AA7F-32A669A2090A}"/>
    <cellStyle name="Comma 4 5 5 2 4" xfId="20656" xr:uid="{5FE23922-BD6C-46B2-A0E2-99870F9BBDEC}"/>
    <cellStyle name="Comma 4 5 5 3" xfId="5871" xr:uid="{00000000-0005-0000-0000-0000490A0000}"/>
    <cellStyle name="Comma 4 5 5 3 2" xfId="14300" xr:uid="{C4E9B45A-1594-4D18-97BF-C2E2A5B9B2AA}"/>
    <cellStyle name="Comma 4 5 5 3 3" xfId="26933" xr:uid="{2ED500BF-3943-42C8-8069-7AC1C97FB7E2}"/>
    <cellStyle name="Comma 4 5 5 4" xfId="10082" xr:uid="{2E70B1D9-3D7B-4362-A168-D633107CD9F5}"/>
    <cellStyle name="Comma 4 5 5 4 2" xfId="22722" xr:uid="{8D0A492C-2334-443F-8B83-1CA20B9CDE3B}"/>
    <cellStyle name="Comma 4 5 5 5" xfId="18511" xr:uid="{6B27EDC7-AE97-4CBC-BBDC-69E3EB1F8125}"/>
    <cellStyle name="Comma 4 5 6" xfId="1976" xr:uid="{00000000-0005-0000-0000-00004A0A0000}"/>
    <cellStyle name="Comma 4 5 6 2" xfId="4205" xr:uid="{00000000-0005-0000-0000-00004B0A0000}"/>
    <cellStyle name="Comma 4 5 6 2 2" xfId="8429" xr:uid="{00000000-0005-0000-0000-00004C0A0000}"/>
    <cellStyle name="Comma 4 5 6 2 2 2" xfId="16858" xr:uid="{A72CF444-B3DF-4498-BCA5-511006CBC394}"/>
    <cellStyle name="Comma 4 5 6 2 2 3" xfId="29491" xr:uid="{B3170E42-5D8C-49FB-BF52-82ADA06E9947}"/>
    <cellStyle name="Comma 4 5 6 2 3" xfId="12640" xr:uid="{EB0A2A6C-CDA0-4FAB-9787-07B4EE6AE05B}"/>
    <cellStyle name="Comma 4 5 6 2 3 2" xfId="25280" xr:uid="{41809B35-841E-4A2E-8152-2F8B41AC0351}"/>
    <cellStyle name="Comma 4 5 6 2 4" xfId="21069" xr:uid="{EB705C3B-E2CB-4262-8475-9BD3F9B3D133}"/>
    <cellStyle name="Comma 4 5 6 3" xfId="6284" xr:uid="{00000000-0005-0000-0000-00004D0A0000}"/>
    <cellStyle name="Comma 4 5 6 3 2" xfId="14713" xr:uid="{2729F202-8842-42AD-9A31-6261AFAC563A}"/>
    <cellStyle name="Comma 4 5 6 3 3" xfId="27346" xr:uid="{4A4621EE-E3C7-4BF4-B06E-558BF19C1332}"/>
    <cellStyle name="Comma 4 5 6 4" xfId="10495" xr:uid="{8AB014F3-1C28-4558-AEAC-4E859ADF84C8}"/>
    <cellStyle name="Comma 4 5 6 4 2" xfId="23135" xr:uid="{2EDD0F10-2125-46F8-9A22-49280D016C72}"/>
    <cellStyle name="Comma 4 5 6 5" xfId="18924" xr:uid="{8DDE9DE3-5B3C-405B-A40A-137D8F051A85}"/>
    <cellStyle name="Comma 4 5 7" xfId="2411" xr:uid="{00000000-0005-0000-0000-00004E0A0000}"/>
    <cellStyle name="Comma 4 5 7 2" xfId="6697" xr:uid="{00000000-0005-0000-0000-00004F0A0000}"/>
    <cellStyle name="Comma 4 5 7 2 2" xfId="15126" xr:uid="{5CE123E1-F2D1-4D8F-8E33-C0C00436B61D}"/>
    <cellStyle name="Comma 4 5 7 2 3" xfId="27759" xr:uid="{5DF1C269-7FC3-46BA-80A5-6D0C074965E6}"/>
    <cellStyle name="Comma 4 5 7 3" xfId="10908" xr:uid="{4CE34706-E7E6-4A12-921E-07D2AE10A8AD}"/>
    <cellStyle name="Comma 4 5 7 3 2" xfId="23548" xr:uid="{56634A4C-9050-4B4E-89EE-E19406D34649}"/>
    <cellStyle name="Comma 4 5 7 4" xfId="19337" xr:uid="{0E3342B7-5725-4B26-965D-26B7B047CD78}"/>
    <cellStyle name="Comma 4 5 8" xfId="2707" xr:uid="{00000000-0005-0000-0000-0000500A0000}"/>
    <cellStyle name="Comma 4 5 9" xfId="2789" xr:uid="{00000000-0005-0000-0000-0000510A0000}"/>
    <cellStyle name="Comma 4 5 9 2" xfId="7014" xr:uid="{00000000-0005-0000-0000-0000520A0000}"/>
    <cellStyle name="Comma 4 5 9 2 2" xfId="15443" xr:uid="{6CDEC875-73B8-4B04-A639-0B47C700D067}"/>
    <cellStyle name="Comma 4 5 9 2 3" xfId="28076" xr:uid="{E46A8DC0-42CB-4F74-83E7-0F4B7760EF56}"/>
    <cellStyle name="Comma 4 5 9 3" xfId="11225" xr:uid="{F0001EDF-E522-4ABA-B9BD-40A5FA69810E}"/>
    <cellStyle name="Comma 4 5 9 3 2" xfId="23865" xr:uid="{84E33D47-4B57-464A-AF0F-DBC3E79FE4C9}"/>
    <cellStyle name="Comma 4 5 9 4" xfId="19654" xr:uid="{FA61B06F-0D3B-4829-8D7B-1F16BDA6F1EE}"/>
    <cellStyle name="Comma 4 6" xfId="159" xr:uid="{00000000-0005-0000-0000-0000530A0000}"/>
    <cellStyle name="Comma 4 6 10" xfId="8844" xr:uid="{475D403D-D127-4C32-8B45-98F172ED8F65}"/>
    <cellStyle name="Comma 4 6 10 2" xfId="21484" xr:uid="{D637E155-CFFD-4EC8-9CCE-A5C1CE0CF3DA}"/>
    <cellStyle name="Comma 4 6 11" xfId="17273" xr:uid="{A6AF0E15-77E0-4057-B0EE-8DA92FADD498}"/>
    <cellStyle name="Comma 4 6 2" xfId="697" xr:uid="{00000000-0005-0000-0000-0000540A0000}"/>
    <cellStyle name="Comma 4 6 2 2" xfId="2968" xr:uid="{00000000-0005-0000-0000-0000550A0000}"/>
    <cellStyle name="Comma 4 6 2 2 2" xfId="7192" xr:uid="{00000000-0005-0000-0000-0000560A0000}"/>
    <cellStyle name="Comma 4 6 2 2 2 2" xfId="15621" xr:uid="{A7048BF9-E042-424D-B84E-8948B350AAF5}"/>
    <cellStyle name="Comma 4 6 2 2 2 3" xfId="28254" xr:uid="{3AE4CFC4-A49D-4D27-B6DB-93841607BE45}"/>
    <cellStyle name="Comma 4 6 2 2 3" xfId="11403" xr:uid="{B1192B9E-B0E2-4595-BB4E-B217F6DCFAE1}"/>
    <cellStyle name="Comma 4 6 2 2 3 2" xfId="24043" xr:uid="{604E3EE3-9AEB-42AF-A174-5C349E2AF080}"/>
    <cellStyle name="Comma 4 6 2 2 4" xfId="19832" xr:uid="{1C510B28-CF71-40F3-90E3-3C5CA0D41E45}"/>
    <cellStyle name="Comma 4 6 2 3" xfId="5047" xr:uid="{00000000-0005-0000-0000-0000570A0000}"/>
    <cellStyle name="Comma 4 6 2 3 2" xfId="13476" xr:uid="{E17700E1-4DDD-4A25-850C-8CEF5175618C}"/>
    <cellStyle name="Comma 4 6 2 3 3" xfId="26109" xr:uid="{83F48E27-C2C7-4715-A47F-5664C72438EC}"/>
    <cellStyle name="Comma 4 6 2 4" xfId="9258" xr:uid="{2D5FB104-361F-4357-9EFA-CEDF60EB3A0E}"/>
    <cellStyle name="Comma 4 6 2 4 2" xfId="21898" xr:uid="{2AA71A24-8F9D-444F-AF55-56EE0594C46D}"/>
    <cellStyle name="Comma 4 6 2 5" xfId="17687" xr:uid="{1C3ED8A3-CD88-445F-AD67-828520324AA0}"/>
    <cellStyle name="Comma 4 6 3" xfId="1150" xr:uid="{00000000-0005-0000-0000-0000580A0000}"/>
    <cellStyle name="Comma 4 6 3 2" xfId="3381" xr:uid="{00000000-0005-0000-0000-0000590A0000}"/>
    <cellStyle name="Comma 4 6 3 2 2" xfId="7605" xr:uid="{00000000-0005-0000-0000-00005A0A0000}"/>
    <cellStyle name="Comma 4 6 3 2 2 2" xfId="16034" xr:uid="{32D73963-4E03-4486-92AF-2A5D5591C650}"/>
    <cellStyle name="Comma 4 6 3 2 2 3" xfId="28667" xr:uid="{86FF9D94-A001-4990-ADBE-DF6D4EE31E3A}"/>
    <cellStyle name="Comma 4 6 3 2 3" xfId="11816" xr:uid="{4C8CB731-AD7F-421D-AB80-3D29066B06C0}"/>
    <cellStyle name="Comma 4 6 3 2 3 2" xfId="24456" xr:uid="{3F4CC94C-D43F-43E6-9588-189900919AC8}"/>
    <cellStyle name="Comma 4 6 3 2 4" xfId="20245" xr:uid="{F0E8B27B-6F6E-412F-AEAC-7F2D4A67BDE6}"/>
    <cellStyle name="Comma 4 6 3 3" xfId="5460" xr:uid="{00000000-0005-0000-0000-00005B0A0000}"/>
    <cellStyle name="Comma 4 6 3 3 2" xfId="13889" xr:uid="{596F76F4-CFBB-4C10-9DF4-7A53ED2353B0}"/>
    <cellStyle name="Comma 4 6 3 3 3" xfId="26522" xr:uid="{E07CC9FC-BE06-45AE-827B-B362F74BB695}"/>
    <cellStyle name="Comma 4 6 3 4" xfId="9671" xr:uid="{D8A5C9D9-44C8-48CF-AA33-64D752619F03}"/>
    <cellStyle name="Comma 4 6 3 4 2" xfId="22311" xr:uid="{47EBBF61-326E-4F1C-BA0A-E5FA63A805A4}"/>
    <cellStyle name="Comma 4 6 3 5" xfId="18100" xr:uid="{CD14A3B0-57E4-4C9A-86AE-4DDC004FF698}"/>
    <cellStyle name="Comma 4 6 4" xfId="1564" xr:uid="{00000000-0005-0000-0000-00005C0A0000}"/>
    <cellStyle name="Comma 4 6 4 2" xfId="3794" xr:uid="{00000000-0005-0000-0000-00005D0A0000}"/>
    <cellStyle name="Comma 4 6 4 2 2" xfId="8018" xr:uid="{00000000-0005-0000-0000-00005E0A0000}"/>
    <cellStyle name="Comma 4 6 4 2 2 2" xfId="16447" xr:uid="{D7DC21E7-1D55-4AEA-A492-364F16470978}"/>
    <cellStyle name="Comma 4 6 4 2 2 3" xfId="29080" xr:uid="{375A9236-292A-4AE9-8292-7F13A2289F75}"/>
    <cellStyle name="Comma 4 6 4 2 3" xfId="12229" xr:uid="{80A139A8-1760-497F-BA6B-02B527BFEA14}"/>
    <cellStyle name="Comma 4 6 4 2 3 2" xfId="24869" xr:uid="{EB17B0AD-7B6D-4012-A466-A0F414628F63}"/>
    <cellStyle name="Comma 4 6 4 2 4" xfId="20658" xr:uid="{83D1CF62-6F05-41EB-B4DE-6E1E3C2E8EDB}"/>
    <cellStyle name="Comma 4 6 4 3" xfId="5873" xr:uid="{00000000-0005-0000-0000-00005F0A0000}"/>
    <cellStyle name="Comma 4 6 4 3 2" xfId="14302" xr:uid="{88195D38-28D7-482D-8FA4-C207E475758A}"/>
    <cellStyle name="Comma 4 6 4 3 3" xfId="26935" xr:uid="{A38E0CA8-A285-4834-A0FE-C49B1FA99120}"/>
    <cellStyle name="Comma 4 6 4 4" xfId="10084" xr:uid="{31A7594E-42A7-4078-932E-83929D94FE39}"/>
    <cellStyle name="Comma 4 6 4 4 2" xfId="22724" xr:uid="{9E76F494-8A30-4037-BFC4-3D2A6B88B8B5}"/>
    <cellStyle name="Comma 4 6 4 5" xfId="18513" xr:uid="{57F94C2F-83CF-48C7-9007-2D3B80C02010}"/>
    <cellStyle name="Comma 4 6 5" xfId="1978" xr:uid="{00000000-0005-0000-0000-0000600A0000}"/>
    <cellStyle name="Comma 4 6 5 2" xfId="4207" xr:uid="{00000000-0005-0000-0000-0000610A0000}"/>
    <cellStyle name="Comma 4 6 5 2 2" xfId="8431" xr:uid="{00000000-0005-0000-0000-0000620A0000}"/>
    <cellStyle name="Comma 4 6 5 2 2 2" xfId="16860" xr:uid="{531314CE-E68B-48B4-81E3-78152DFDB13E}"/>
    <cellStyle name="Comma 4 6 5 2 2 3" xfId="29493" xr:uid="{FB1D7F22-9A5E-44C3-B4A4-5C791C7E2737}"/>
    <cellStyle name="Comma 4 6 5 2 3" xfId="12642" xr:uid="{7385E521-F936-44BD-BC9C-FEFDFD3B7616}"/>
    <cellStyle name="Comma 4 6 5 2 3 2" xfId="25282" xr:uid="{E18A0022-89E5-4EA1-A5F8-F1B533581C10}"/>
    <cellStyle name="Comma 4 6 5 2 4" xfId="21071" xr:uid="{0D6BD838-F39C-4F2C-860A-01B93F6FA8EF}"/>
    <cellStyle name="Comma 4 6 5 3" xfId="6286" xr:uid="{00000000-0005-0000-0000-0000630A0000}"/>
    <cellStyle name="Comma 4 6 5 3 2" xfId="14715" xr:uid="{B4119AA6-D00A-4870-A3B5-98F21F6C807E}"/>
    <cellStyle name="Comma 4 6 5 3 3" xfId="27348" xr:uid="{E5C27DD6-D9EE-4E42-A914-0E16828DC3EB}"/>
    <cellStyle name="Comma 4 6 5 4" xfId="10497" xr:uid="{4563CE4F-46D3-483B-A703-1FC70353C335}"/>
    <cellStyle name="Comma 4 6 5 4 2" xfId="23137" xr:uid="{316A2D25-385E-47A0-AD11-218B620717AF}"/>
    <cellStyle name="Comma 4 6 5 5" xfId="18926" xr:uid="{48215D5B-4787-467C-9125-72E41A3BCCC9}"/>
    <cellStyle name="Comma 4 6 6" xfId="2413" xr:uid="{00000000-0005-0000-0000-0000640A0000}"/>
    <cellStyle name="Comma 4 6 6 2" xfId="6699" xr:uid="{00000000-0005-0000-0000-0000650A0000}"/>
    <cellStyle name="Comma 4 6 6 2 2" xfId="15128" xr:uid="{7FC6DF5F-1113-43ED-92B7-D23AC2CDF278}"/>
    <cellStyle name="Comma 4 6 6 2 3" xfId="27761" xr:uid="{A7FC65E0-A742-47D1-AA05-3FD5A84C351D}"/>
    <cellStyle name="Comma 4 6 6 3" xfId="10910" xr:uid="{2A53DE2D-611F-412D-A196-20DFB73D0BA2}"/>
    <cellStyle name="Comma 4 6 6 3 2" xfId="23550" xr:uid="{E76811CD-06CA-46C8-BA6E-23ECEC47D00A}"/>
    <cellStyle name="Comma 4 6 6 4" xfId="19339" xr:uid="{E0A1E4CF-F70C-49F2-AA63-EB95855B376F}"/>
    <cellStyle name="Comma 4 6 7" xfId="2709" xr:uid="{00000000-0005-0000-0000-0000660A0000}"/>
    <cellStyle name="Comma 4 6 8" xfId="2791" xr:uid="{00000000-0005-0000-0000-0000670A0000}"/>
    <cellStyle name="Comma 4 6 8 2" xfId="7016" xr:uid="{00000000-0005-0000-0000-0000680A0000}"/>
    <cellStyle name="Comma 4 6 8 2 2" xfId="15445" xr:uid="{2C069356-9A1D-44F8-90BA-6AF9242030E8}"/>
    <cellStyle name="Comma 4 6 8 2 3" xfId="28078" xr:uid="{EA221119-4BF9-4B12-B1D5-5B23BF4B2CE9}"/>
    <cellStyle name="Comma 4 6 8 3" xfId="11227" xr:uid="{90271B54-DA0C-40D7-86F4-FEA07E297D79}"/>
    <cellStyle name="Comma 4 6 8 3 2" xfId="23867" xr:uid="{12644D25-0D27-4CDC-A860-F7B653D0608A}"/>
    <cellStyle name="Comma 4 6 8 4" xfId="19656" xr:uid="{DDD3E140-1E44-4762-A02F-32E4E9604852}"/>
    <cellStyle name="Comma 4 6 9" xfId="4633" xr:uid="{00000000-0005-0000-0000-0000690A0000}"/>
    <cellStyle name="Comma 4 6 9 2" xfId="13062" xr:uid="{44FF66F8-0543-4F3E-B805-3CDE5192C3EF}"/>
    <cellStyle name="Comma 4 6 9 3" xfId="25695" xr:uid="{38BBCF33-25F7-4A98-9F2B-194709D60BD0}"/>
    <cellStyle name="Comma 4 7" xfId="160" xr:uid="{00000000-0005-0000-0000-00006A0A0000}"/>
    <cellStyle name="Comma 4 7 10" xfId="8845" xr:uid="{DCC1F629-6EB0-4E31-AFD4-1C1688544D8F}"/>
    <cellStyle name="Comma 4 7 10 2" xfId="21485" xr:uid="{582092FD-92EE-4601-AE89-09C887719D02}"/>
    <cellStyle name="Comma 4 7 11" xfId="17274" xr:uid="{217B8DB5-BDB5-45DC-AE20-B1D4722894C7}"/>
    <cellStyle name="Comma 4 7 2" xfId="698" xr:uid="{00000000-0005-0000-0000-00006B0A0000}"/>
    <cellStyle name="Comma 4 7 2 2" xfId="2969" xr:uid="{00000000-0005-0000-0000-00006C0A0000}"/>
    <cellStyle name="Comma 4 7 2 2 2" xfId="7193" xr:uid="{00000000-0005-0000-0000-00006D0A0000}"/>
    <cellStyle name="Comma 4 7 2 2 2 2" xfId="15622" xr:uid="{8B2ACE26-0FDE-420E-AB23-458171F3A027}"/>
    <cellStyle name="Comma 4 7 2 2 2 3" xfId="28255" xr:uid="{9B032701-B5CB-4BF3-82AB-E1DA9E31DF13}"/>
    <cellStyle name="Comma 4 7 2 2 3" xfId="11404" xr:uid="{1966ED2A-818D-4AB4-B962-92256F1B9D14}"/>
    <cellStyle name="Comma 4 7 2 2 3 2" xfId="24044" xr:uid="{63E57071-A272-4F62-8E48-76F18B99CBEA}"/>
    <cellStyle name="Comma 4 7 2 2 4" xfId="19833" xr:uid="{C82F15F9-5F33-4CB1-A540-BC84FB82F945}"/>
    <cellStyle name="Comma 4 7 2 3" xfId="5048" xr:uid="{00000000-0005-0000-0000-00006E0A0000}"/>
    <cellStyle name="Comma 4 7 2 3 2" xfId="13477" xr:uid="{ECE08AA2-2585-4B06-9F66-B0669C91D33D}"/>
    <cellStyle name="Comma 4 7 2 3 3" xfId="26110" xr:uid="{1F45F463-5895-4CD2-B398-CDEEE8AD5620}"/>
    <cellStyle name="Comma 4 7 2 4" xfId="9259" xr:uid="{4187897F-89A5-4166-94C0-0F3F8806BE8F}"/>
    <cellStyle name="Comma 4 7 2 4 2" xfId="21899" xr:uid="{3D726119-F4FD-4D61-A398-57184DE1628B}"/>
    <cellStyle name="Comma 4 7 2 5" xfId="17688" xr:uid="{E716ED59-8005-41FA-ACFB-5D933A956AD6}"/>
    <cellStyle name="Comma 4 7 3" xfId="1151" xr:uid="{00000000-0005-0000-0000-00006F0A0000}"/>
    <cellStyle name="Comma 4 7 3 2" xfId="3382" xr:uid="{00000000-0005-0000-0000-0000700A0000}"/>
    <cellStyle name="Comma 4 7 3 2 2" xfId="7606" xr:uid="{00000000-0005-0000-0000-0000710A0000}"/>
    <cellStyle name="Comma 4 7 3 2 2 2" xfId="16035" xr:uid="{479D0C3C-98BB-4DE8-8E5A-570A87D3217E}"/>
    <cellStyle name="Comma 4 7 3 2 2 3" xfId="28668" xr:uid="{6C91858A-5F78-40D8-A73C-50A682D19DDD}"/>
    <cellStyle name="Comma 4 7 3 2 3" xfId="11817" xr:uid="{72EADACE-2122-4BFC-A1F2-9784DCF6BE6C}"/>
    <cellStyle name="Comma 4 7 3 2 3 2" xfId="24457" xr:uid="{48582C42-2C8A-4E76-BF54-A58A9FC8D8C6}"/>
    <cellStyle name="Comma 4 7 3 2 4" xfId="20246" xr:uid="{949986F8-4B0D-4480-B209-5F495CE55E40}"/>
    <cellStyle name="Comma 4 7 3 3" xfId="5461" xr:uid="{00000000-0005-0000-0000-0000720A0000}"/>
    <cellStyle name="Comma 4 7 3 3 2" xfId="13890" xr:uid="{E6DC7A2A-3A6C-41CD-80A1-BC8CFE253336}"/>
    <cellStyle name="Comma 4 7 3 3 3" xfId="26523" xr:uid="{FEAB21D7-9EE2-4DC6-9426-574CE532464C}"/>
    <cellStyle name="Comma 4 7 3 4" xfId="9672" xr:uid="{E01D4A86-93C9-426F-8D2C-150107CEA4B1}"/>
    <cellStyle name="Comma 4 7 3 4 2" xfId="22312" xr:uid="{9FB75B1E-2637-4A11-853D-515C96E89C40}"/>
    <cellStyle name="Comma 4 7 3 5" xfId="18101" xr:uid="{6E57E5F8-AA93-4416-8048-F7A5DA05577E}"/>
    <cellStyle name="Comma 4 7 4" xfId="1565" xr:uid="{00000000-0005-0000-0000-0000730A0000}"/>
    <cellStyle name="Comma 4 7 4 2" xfId="3795" xr:uid="{00000000-0005-0000-0000-0000740A0000}"/>
    <cellStyle name="Comma 4 7 4 2 2" xfId="8019" xr:uid="{00000000-0005-0000-0000-0000750A0000}"/>
    <cellStyle name="Comma 4 7 4 2 2 2" xfId="16448" xr:uid="{3A474040-1FB9-47F4-A657-5579F0B900C6}"/>
    <cellStyle name="Comma 4 7 4 2 2 3" xfId="29081" xr:uid="{EEA675A9-6756-48EB-8885-8AE6FF18620A}"/>
    <cellStyle name="Comma 4 7 4 2 3" xfId="12230" xr:uid="{7930F756-44D3-43FE-8200-1789AFD5F96B}"/>
    <cellStyle name="Comma 4 7 4 2 3 2" xfId="24870" xr:uid="{FD791ED7-2AC4-41E9-8F27-2890122112E0}"/>
    <cellStyle name="Comma 4 7 4 2 4" xfId="20659" xr:uid="{AE178748-2C80-43A1-B6E7-2D73A4690B5F}"/>
    <cellStyle name="Comma 4 7 4 3" xfId="5874" xr:uid="{00000000-0005-0000-0000-0000760A0000}"/>
    <cellStyle name="Comma 4 7 4 3 2" xfId="14303" xr:uid="{7DE8982D-0231-4FEB-A82A-363B9D25E256}"/>
    <cellStyle name="Comma 4 7 4 3 3" xfId="26936" xr:uid="{8B1F17B1-EF5C-4635-89D6-A14403792411}"/>
    <cellStyle name="Comma 4 7 4 4" xfId="10085" xr:uid="{28E1CBF8-89B2-4B6D-8900-9246D820FD02}"/>
    <cellStyle name="Comma 4 7 4 4 2" xfId="22725" xr:uid="{EBE49473-08D0-4172-9883-8D2EB60C111E}"/>
    <cellStyle name="Comma 4 7 4 5" xfId="18514" xr:uid="{6A1F1295-D0A5-4C27-9B00-654DB5A1563E}"/>
    <cellStyle name="Comma 4 7 5" xfId="1979" xr:uid="{00000000-0005-0000-0000-0000770A0000}"/>
    <cellStyle name="Comma 4 7 5 2" xfId="4208" xr:uid="{00000000-0005-0000-0000-0000780A0000}"/>
    <cellStyle name="Comma 4 7 5 2 2" xfId="8432" xr:uid="{00000000-0005-0000-0000-0000790A0000}"/>
    <cellStyle name="Comma 4 7 5 2 2 2" xfId="16861" xr:uid="{FEF5264E-02D0-4BF0-A898-104AADD1385D}"/>
    <cellStyle name="Comma 4 7 5 2 2 3" xfId="29494" xr:uid="{60212F75-929F-4703-944C-1406C3292BFF}"/>
    <cellStyle name="Comma 4 7 5 2 3" xfId="12643" xr:uid="{982C2A0C-39DE-4FFB-8FCF-6809746AFCF9}"/>
    <cellStyle name="Comma 4 7 5 2 3 2" xfId="25283" xr:uid="{36508276-7488-4840-86C8-832EDED1834B}"/>
    <cellStyle name="Comma 4 7 5 2 4" xfId="21072" xr:uid="{77A7251C-B412-4FF9-8485-3E6D88567442}"/>
    <cellStyle name="Comma 4 7 5 3" xfId="6287" xr:uid="{00000000-0005-0000-0000-00007A0A0000}"/>
    <cellStyle name="Comma 4 7 5 3 2" xfId="14716" xr:uid="{4FD8C1FE-E753-4C35-8A9D-32158D42E70C}"/>
    <cellStyle name="Comma 4 7 5 3 3" xfId="27349" xr:uid="{27C25851-47B9-4525-91A6-7FE2A1F8E720}"/>
    <cellStyle name="Comma 4 7 5 4" xfId="10498" xr:uid="{355CAD31-C37F-4458-9AFB-CF40F3CCBA10}"/>
    <cellStyle name="Comma 4 7 5 4 2" xfId="23138" xr:uid="{E9062D9F-6547-47AE-BE55-3764AE295652}"/>
    <cellStyle name="Comma 4 7 5 5" xfId="18927" xr:uid="{56BB31AC-F0CB-4A69-91DB-DF1154351A47}"/>
    <cellStyle name="Comma 4 7 6" xfId="2414" xr:uid="{00000000-0005-0000-0000-00007B0A0000}"/>
    <cellStyle name="Comma 4 7 6 2" xfId="6700" xr:uid="{00000000-0005-0000-0000-00007C0A0000}"/>
    <cellStyle name="Comma 4 7 6 2 2" xfId="15129" xr:uid="{68007B3D-64CE-4969-81C0-89AC098B9C23}"/>
    <cellStyle name="Comma 4 7 6 2 3" xfId="27762" xr:uid="{98C5965F-7A87-4B47-B52D-32F5B4AF5628}"/>
    <cellStyle name="Comma 4 7 6 3" xfId="10911" xr:uid="{EA9A2012-797C-4FA4-81FD-FD761B25A5EB}"/>
    <cellStyle name="Comma 4 7 6 3 2" xfId="23551" xr:uid="{8C0BACA3-C70B-46F6-AC09-424AD9F6D6C7}"/>
    <cellStyle name="Comma 4 7 6 4" xfId="19340" xr:uid="{6E19C135-9F0F-455D-9D28-6DDFB5A7C898}"/>
    <cellStyle name="Comma 4 7 7" xfId="2710" xr:uid="{00000000-0005-0000-0000-00007D0A0000}"/>
    <cellStyle name="Comma 4 7 8" xfId="2792" xr:uid="{00000000-0005-0000-0000-00007E0A0000}"/>
    <cellStyle name="Comma 4 7 8 2" xfId="7017" xr:uid="{00000000-0005-0000-0000-00007F0A0000}"/>
    <cellStyle name="Comma 4 7 8 2 2" xfId="15446" xr:uid="{FADCD369-E158-4128-A8B0-A16866856215}"/>
    <cellStyle name="Comma 4 7 8 2 3" xfId="28079" xr:uid="{0B71F29B-0BEA-4F73-8CBD-119C728E91C3}"/>
    <cellStyle name="Comma 4 7 8 3" xfId="11228" xr:uid="{BAFDE36F-8371-40DC-B5EB-55ECCC6622F3}"/>
    <cellStyle name="Comma 4 7 8 3 2" xfId="23868" xr:uid="{AFDC59A4-8FBF-4FD4-A954-F03D01DFE7DD}"/>
    <cellStyle name="Comma 4 7 8 4" xfId="19657" xr:uid="{CFF06179-202A-4D5D-86FE-367E6AC7B044}"/>
    <cellStyle name="Comma 4 7 9" xfId="4634" xr:uid="{00000000-0005-0000-0000-0000800A0000}"/>
    <cellStyle name="Comma 4 7 9 2" xfId="13063" xr:uid="{42BC303B-0340-4346-8EE7-D7C7B3281A56}"/>
    <cellStyle name="Comma 4 7 9 3" xfId="25696" xr:uid="{DAF1CBC2-C501-48B0-893B-A864D75A10EC}"/>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02B7C6A1-E010-4755-B840-3F851A8CBD41}"/>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81958A96-6AA8-41B8-A1E3-77F26E6EF3B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8D3F25A5-0246-4AFF-A8FB-A195526F0802}"/>
    <cellStyle name="Currency 3 2 2 10 2 3" xfId="28080" xr:uid="{5139ABB3-FC8B-49D3-A3CD-3A27939AF8E3}"/>
    <cellStyle name="Currency 3 2 2 10 3" xfId="11229" xr:uid="{C03CD630-8E3C-4421-AFBC-816584363088}"/>
    <cellStyle name="Currency 3 2 2 10 3 2" xfId="23869" xr:uid="{B8E21114-D990-4AD9-BB37-B484082EF6A1}"/>
    <cellStyle name="Currency 3 2 2 10 4" xfId="19658" xr:uid="{CDC437B4-1072-4EB6-8172-A2DFE951DDE4}"/>
    <cellStyle name="Currency 3 2 2 11" xfId="4635" xr:uid="{00000000-0005-0000-0000-0000A50A0000}"/>
    <cellStyle name="Currency 3 2 2 11 2" xfId="13064" xr:uid="{AC1FC70C-7B4F-4BA7-9382-6665F281A2CE}"/>
    <cellStyle name="Currency 3 2 2 11 3" xfId="25697" xr:uid="{4F4A0349-FC95-463F-8C6C-E0570E5DBA19}"/>
    <cellStyle name="Currency 3 2 2 12" xfId="8846" xr:uid="{8C8C9EC0-B503-4650-8FBF-E36F9C97EC4E}"/>
    <cellStyle name="Currency 3 2 2 12 2" xfId="21486" xr:uid="{3DEE2315-C0FE-4A14-B07E-62F4B6D3BD0E}"/>
    <cellStyle name="Currency 3 2 2 13" xfId="17275" xr:uid="{DE867517-5B06-4731-81BB-B003D2ED757A}"/>
    <cellStyle name="Currency 3 2 2 2" xfId="179" xr:uid="{00000000-0005-0000-0000-0000A60A0000}"/>
    <cellStyle name="Currency 3 2 2 2 10" xfId="4636" xr:uid="{00000000-0005-0000-0000-0000A70A0000}"/>
    <cellStyle name="Currency 3 2 2 2 10 2" xfId="13065" xr:uid="{5242BCEE-8ED4-45DF-962C-B900BCC15A0B}"/>
    <cellStyle name="Currency 3 2 2 2 10 3" xfId="25698" xr:uid="{31FEE2B7-3B3A-4E2D-AB84-F331BC7EB856}"/>
    <cellStyle name="Currency 3 2 2 2 11" xfId="8847" xr:uid="{B14F6DFE-5303-491E-97B5-397727906D42}"/>
    <cellStyle name="Currency 3 2 2 2 11 2" xfId="21487" xr:uid="{D9E2F63F-6FF2-4634-A9EC-2F34C4889474}"/>
    <cellStyle name="Currency 3 2 2 2 12" xfId="17276" xr:uid="{E50187CA-63D2-4328-93F6-1AD05043A020}"/>
    <cellStyle name="Currency 3 2 2 2 2" xfId="180" xr:uid="{00000000-0005-0000-0000-0000A80A0000}"/>
    <cellStyle name="Currency 3 2 2 2 2 10" xfId="8848" xr:uid="{179C6EE7-7596-4A37-AD15-B2DB8928E56D}"/>
    <cellStyle name="Currency 3 2 2 2 2 10 2" xfId="21488" xr:uid="{7F87A491-DADB-4B30-A64E-276C8509BB2F}"/>
    <cellStyle name="Currency 3 2 2 2 2 11" xfId="17277" xr:uid="{39184C9D-89B3-401C-B684-34085118BB4B}"/>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48DF0A50-8417-4B68-916B-5C2842711F26}"/>
    <cellStyle name="Currency 3 2 2 2 2 2 2 2 3" xfId="28258" xr:uid="{6C5EEFDC-9659-4F9C-B3A9-B2EE7E568D55}"/>
    <cellStyle name="Currency 3 2 2 2 2 2 2 3" xfId="11407" xr:uid="{9CCA0525-28E2-464E-81CC-A28347A98202}"/>
    <cellStyle name="Currency 3 2 2 2 2 2 2 3 2" xfId="24047" xr:uid="{05CFB618-300C-4F3B-8899-A8297EC226C3}"/>
    <cellStyle name="Currency 3 2 2 2 2 2 2 4" xfId="19836" xr:uid="{D6960FB8-F66D-47B0-B02F-0A535DB07C02}"/>
    <cellStyle name="Currency 3 2 2 2 2 2 3" xfId="5051" xr:uid="{00000000-0005-0000-0000-0000AC0A0000}"/>
    <cellStyle name="Currency 3 2 2 2 2 2 3 2" xfId="13480" xr:uid="{5AA485C6-2D9E-4E92-BEEB-D061EB6760ED}"/>
    <cellStyle name="Currency 3 2 2 2 2 2 3 3" xfId="26113" xr:uid="{9A81E00E-F91E-4A1D-AF9D-DA6AD3E8BB04}"/>
    <cellStyle name="Currency 3 2 2 2 2 2 4" xfId="9262" xr:uid="{C8BF2109-55E7-40EE-AA18-DC73A2415A99}"/>
    <cellStyle name="Currency 3 2 2 2 2 2 4 2" xfId="21902" xr:uid="{06D1BC69-219F-43A0-8FED-D10CED9B9A3E}"/>
    <cellStyle name="Currency 3 2 2 2 2 2 5" xfId="17691" xr:uid="{98CEC90D-486C-416B-A5C7-2B18E09222F3}"/>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64E26A41-CA7B-4118-8BE0-E30DAB38BE12}"/>
    <cellStyle name="Currency 3 2 2 2 2 3 2 2 3" xfId="28671" xr:uid="{91327589-F91E-4C25-B935-554486F6F7E3}"/>
    <cellStyle name="Currency 3 2 2 2 2 3 2 3" xfId="11820" xr:uid="{85611615-178E-40D9-A4B3-1095586D955F}"/>
    <cellStyle name="Currency 3 2 2 2 2 3 2 3 2" xfId="24460" xr:uid="{63858341-D09A-4726-ADA8-6A222F58174F}"/>
    <cellStyle name="Currency 3 2 2 2 2 3 2 4" xfId="20249" xr:uid="{66FE9D08-EBEA-4D6C-8880-6210B146381F}"/>
    <cellStyle name="Currency 3 2 2 2 2 3 3" xfId="5464" xr:uid="{00000000-0005-0000-0000-0000B00A0000}"/>
    <cellStyle name="Currency 3 2 2 2 2 3 3 2" xfId="13893" xr:uid="{2B3E1801-243C-4D71-B343-E71D461E7ED2}"/>
    <cellStyle name="Currency 3 2 2 2 2 3 3 3" xfId="26526" xr:uid="{D0AE1973-F3DB-433F-8844-24AC8612E148}"/>
    <cellStyle name="Currency 3 2 2 2 2 3 4" xfId="9675" xr:uid="{C1AB9E94-B491-4AC6-8CF6-B379C9048B8F}"/>
    <cellStyle name="Currency 3 2 2 2 2 3 4 2" xfId="22315" xr:uid="{682F0DBB-E058-4565-91A8-E7E730D03DE0}"/>
    <cellStyle name="Currency 3 2 2 2 2 3 5" xfId="18104" xr:uid="{BB4BB5C2-C386-493E-B293-EE9131D8DB01}"/>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3B7A706F-2E18-433E-A129-4481D2D583D9}"/>
    <cellStyle name="Currency 3 2 2 2 2 4 2 2 3" xfId="29084" xr:uid="{12C5F7FD-0F05-4937-B3BD-D54A88C47CEF}"/>
    <cellStyle name="Currency 3 2 2 2 2 4 2 3" xfId="12233" xr:uid="{2B2BB653-A833-4372-8AA3-94F5F034C66A}"/>
    <cellStyle name="Currency 3 2 2 2 2 4 2 3 2" xfId="24873" xr:uid="{0447F84C-B1FC-491B-AA1D-C96FACE1A570}"/>
    <cellStyle name="Currency 3 2 2 2 2 4 2 4" xfId="20662" xr:uid="{C908FD56-A6FE-4303-8C53-8F24315DAF3B}"/>
    <cellStyle name="Currency 3 2 2 2 2 4 3" xfId="5877" xr:uid="{00000000-0005-0000-0000-0000B40A0000}"/>
    <cellStyle name="Currency 3 2 2 2 2 4 3 2" xfId="14306" xr:uid="{7FAAD4FB-4B61-421A-A3C1-A99883A9877B}"/>
    <cellStyle name="Currency 3 2 2 2 2 4 3 3" xfId="26939" xr:uid="{E0F56114-66CC-4CEE-91DF-7D0C654B2531}"/>
    <cellStyle name="Currency 3 2 2 2 2 4 4" xfId="10088" xr:uid="{20BB5E91-3C4B-43D1-92ED-715773587018}"/>
    <cellStyle name="Currency 3 2 2 2 2 4 4 2" xfId="22728" xr:uid="{94E437A7-C706-4160-BA73-3D47FE390FA5}"/>
    <cellStyle name="Currency 3 2 2 2 2 4 5" xfId="18517" xr:uid="{C4252F15-5384-4224-8399-0BB9543D1D83}"/>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FAD76CDF-59C8-4C12-9CE1-03EC0BA018F9}"/>
    <cellStyle name="Currency 3 2 2 2 2 5 2 2 3" xfId="29497" xr:uid="{5F53C41A-4185-4340-B157-C1151291AF76}"/>
    <cellStyle name="Currency 3 2 2 2 2 5 2 3" xfId="12646" xr:uid="{6C613293-BDCA-4596-B984-832D51F78FC0}"/>
    <cellStyle name="Currency 3 2 2 2 2 5 2 3 2" xfId="25286" xr:uid="{0351D201-F30D-40D6-B85F-98C93567BAB7}"/>
    <cellStyle name="Currency 3 2 2 2 2 5 2 4" xfId="21075" xr:uid="{715C3166-3E2D-433A-A9D4-8B460FF12AB7}"/>
    <cellStyle name="Currency 3 2 2 2 2 5 3" xfId="6290" xr:uid="{00000000-0005-0000-0000-0000B80A0000}"/>
    <cellStyle name="Currency 3 2 2 2 2 5 3 2" xfId="14719" xr:uid="{7A61512D-DEC9-4602-B58C-FEFEB04526C2}"/>
    <cellStyle name="Currency 3 2 2 2 2 5 3 3" xfId="27352" xr:uid="{3C18E9C4-6E2B-4047-A3F9-E26388A93C1D}"/>
    <cellStyle name="Currency 3 2 2 2 2 5 4" xfId="10501" xr:uid="{6B13D896-613F-4C2A-B373-FA12A7187B28}"/>
    <cellStyle name="Currency 3 2 2 2 2 5 4 2" xfId="23141" xr:uid="{2DD4F36A-BA51-4939-9B33-0E1979ED0BDB}"/>
    <cellStyle name="Currency 3 2 2 2 2 5 5" xfId="18930" xr:uid="{F20DCB26-53C8-4390-A562-4D97E9B93D3C}"/>
    <cellStyle name="Currency 3 2 2 2 2 6" xfId="2417" xr:uid="{00000000-0005-0000-0000-0000B90A0000}"/>
    <cellStyle name="Currency 3 2 2 2 2 6 2" xfId="6703" xr:uid="{00000000-0005-0000-0000-0000BA0A0000}"/>
    <cellStyle name="Currency 3 2 2 2 2 6 2 2" xfId="15132" xr:uid="{B5CF0832-31CD-4B06-8B12-9981672648E8}"/>
    <cellStyle name="Currency 3 2 2 2 2 6 2 3" xfId="27765" xr:uid="{A4FC33AE-68BB-4CD0-9FC0-2B09F59E6E37}"/>
    <cellStyle name="Currency 3 2 2 2 2 6 3" xfId="10914" xr:uid="{091182AE-DD8E-4776-852E-9DFC1FE6EAFF}"/>
    <cellStyle name="Currency 3 2 2 2 2 6 3 2" xfId="23554" xr:uid="{26C703E3-2B97-4605-AA1F-CDD150257EFD}"/>
    <cellStyle name="Currency 3 2 2 2 2 6 4" xfId="19343" xr:uid="{40795878-4A5C-4D9E-A647-6855B14C853A}"/>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0F0A0321-CC5A-4AB3-8B97-29F3CCB0C4C3}"/>
    <cellStyle name="Currency 3 2 2 2 2 8 2 3" xfId="28082" xr:uid="{24222F37-E295-445A-87B8-51BD116EAF19}"/>
    <cellStyle name="Currency 3 2 2 2 2 8 3" xfId="11231" xr:uid="{15FA2ACC-F742-4553-AFEE-F32D8F61EB70}"/>
    <cellStyle name="Currency 3 2 2 2 2 8 3 2" xfId="23871" xr:uid="{2AA0A80D-7074-4BE5-B178-ECF30D3FCEF5}"/>
    <cellStyle name="Currency 3 2 2 2 2 8 4" xfId="19660" xr:uid="{FC8EDF68-DCC0-49BF-8BCC-DEE9ADDA3A86}"/>
    <cellStyle name="Currency 3 2 2 2 2 9" xfId="4637" xr:uid="{00000000-0005-0000-0000-0000BE0A0000}"/>
    <cellStyle name="Currency 3 2 2 2 2 9 2" xfId="13066" xr:uid="{425D6FD4-9E16-4A83-9CD4-3C7CB5741DC4}"/>
    <cellStyle name="Currency 3 2 2 2 2 9 3" xfId="25699" xr:uid="{E4D0642F-2210-4354-9F6B-D56476A2DE16}"/>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21FE6263-18AB-4D16-8034-AEA762A2A1A5}"/>
    <cellStyle name="Currency 3 2 2 2 3 2 2 3" xfId="28257" xr:uid="{AFE4B22F-9C5A-4D52-B58B-9C01A6026B53}"/>
    <cellStyle name="Currency 3 2 2 2 3 2 3" xfId="11406" xr:uid="{B64EEE11-C93B-4284-9E3C-03E0C0EECD10}"/>
    <cellStyle name="Currency 3 2 2 2 3 2 3 2" xfId="24046" xr:uid="{22254CDB-B6E9-4090-B91A-68E005E87841}"/>
    <cellStyle name="Currency 3 2 2 2 3 2 4" xfId="19835" xr:uid="{773B0484-326D-4DC9-8256-0BFCE6C59C52}"/>
    <cellStyle name="Currency 3 2 2 2 3 3" xfId="5050" xr:uid="{00000000-0005-0000-0000-0000C20A0000}"/>
    <cellStyle name="Currency 3 2 2 2 3 3 2" xfId="13479" xr:uid="{BCCA5D84-229F-46E3-AC23-75F22F8B03EC}"/>
    <cellStyle name="Currency 3 2 2 2 3 3 3" xfId="26112" xr:uid="{653FC157-691D-4B8B-9E06-9576F356B7CC}"/>
    <cellStyle name="Currency 3 2 2 2 3 4" xfId="9261" xr:uid="{983F6BB5-C467-43F7-A231-F7D7C2EAA7AC}"/>
    <cellStyle name="Currency 3 2 2 2 3 4 2" xfId="21901" xr:uid="{BBCF59F2-9AC9-4A57-9987-ED3974C2A77D}"/>
    <cellStyle name="Currency 3 2 2 2 3 5" xfId="17690" xr:uid="{3D9FAD70-4AC7-49A1-BE27-3170D870F4E8}"/>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DB66C092-B582-4FB5-8DE1-8561F9619BB5}"/>
    <cellStyle name="Currency 3 2 2 2 4 2 2 3" xfId="28670" xr:uid="{0A636232-3205-48DF-858A-11EA91ADF687}"/>
    <cellStyle name="Currency 3 2 2 2 4 2 3" xfId="11819" xr:uid="{DDCB07D9-5AF2-4E81-8045-8FB3D0676C10}"/>
    <cellStyle name="Currency 3 2 2 2 4 2 3 2" xfId="24459" xr:uid="{8EA06210-E635-4060-9398-0BAC40C27D8C}"/>
    <cellStyle name="Currency 3 2 2 2 4 2 4" xfId="20248" xr:uid="{AA21ABD5-D8F9-4DF3-98A2-9991B8A53141}"/>
    <cellStyle name="Currency 3 2 2 2 4 3" xfId="5463" xr:uid="{00000000-0005-0000-0000-0000C60A0000}"/>
    <cellStyle name="Currency 3 2 2 2 4 3 2" xfId="13892" xr:uid="{E20A081D-C38F-4F37-BD63-E891CA865E8B}"/>
    <cellStyle name="Currency 3 2 2 2 4 3 3" xfId="26525" xr:uid="{C83898EF-1773-4C90-891A-14A2DA9D8EC1}"/>
    <cellStyle name="Currency 3 2 2 2 4 4" xfId="9674" xr:uid="{8A518E74-9F27-49A4-883B-45B39B0E711A}"/>
    <cellStyle name="Currency 3 2 2 2 4 4 2" xfId="22314" xr:uid="{77AAE127-EA3A-41C8-9014-3C57DF851182}"/>
    <cellStyle name="Currency 3 2 2 2 4 5" xfId="18103" xr:uid="{51357210-52A1-4E42-B54B-3790A623D2FA}"/>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5AF8A0EA-C849-4B54-8644-219701CD6A5D}"/>
    <cellStyle name="Currency 3 2 2 2 5 2 2 3" xfId="29083" xr:uid="{4D5E397B-8A47-488B-8162-010CBA6A21A0}"/>
    <cellStyle name="Currency 3 2 2 2 5 2 3" xfId="12232" xr:uid="{95B13575-0951-4BA2-ABE4-84E9B68B882B}"/>
    <cellStyle name="Currency 3 2 2 2 5 2 3 2" xfId="24872" xr:uid="{D1511355-F259-4F48-99E9-3AF71850B4E6}"/>
    <cellStyle name="Currency 3 2 2 2 5 2 4" xfId="20661" xr:uid="{37EC1835-9663-4930-8F79-984F90968875}"/>
    <cellStyle name="Currency 3 2 2 2 5 3" xfId="5876" xr:uid="{00000000-0005-0000-0000-0000CA0A0000}"/>
    <cellStyle name="Currency 3 2 2 2 5 3 2" xfId="14305" xr:uid="{4565B789-3D70-4EE2-A3A4-9F9E9533D775}"/>
    <cellStyle name="Currency 3 2 2 2 5 3 3" xfId="26938" xr:uid="{2306128B-FEBD-46F1-8EAB-528A53AFA795}"/>
    <cellStyle name="Currency 3 2 2 2 5 4" xfId="10087" xr:uid="{7342B41D-AD7F-4190-8A32-9A4AAC88E067}"/>
    <cellStyle name="Currency 3 2 2 2 5 4 2" xfId="22727" xr:uid="{CAEB6F53-4164-4FB2-8534-C9CBF405F6A2}"/>
    <cellStyle name="Currency 3 2 2 2 5 5" xfId="18516" xr:uid="{2E8936E0-D4F4-458F-8728-1247A8B83534}"/>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A3185999-8619-45A6-9409-555BD7AC2103}"/>
    <cellStyle name="Currency 3 2 2 2 6 2 2 3" xfId="29496" xr:uid="{A476CE79-DF46-4248-941A-47680D4F5A3A}"/>
    <cellStyle name="Currency 3 2 2 2 6 2 3" xfId="12645" xr:uid="{1BFA7340-483C-4604-984F-FAB154B425A3}"/>
    <cellStyle name="Currency 3 2 2 2 6 2 3 2" xfId="25285" xr:uid="{328D6CDD-17A0-456A-AEA9-E555E2C132F6}"/>
    <cellStyle name="Currency 3 2 2 2 6 2 4" xfId="21074" xr:uid="{850AF917-4E99-4E40-A991-09DC7D986280}"/>
    <cellStyle name="Currency 3 2 2 2 6 3" xfId="6289" xr:uid="{00000000-0005-0000-0000-0000CE0A0000}"/>
    <cellStyle name="Currency 3 2 2 2 6 3 2" xfId="14718" xr:uid="{A87D3D90-FD99-46F0-9E5F-00B029CCE920}"/>
    <cellStyle name="Currency 3 2 2 2 6 3 3" xfId="27351" xr:uid="{CFB14D44-823C-42D4-BD60-27FB9869DAC9}"/>
    <cellStyle name="Currency 3 2 2 2 6 4" xfId="10500" xr:uid="{D0E6B870-F1F5-4B09-B626-77F8B6538DD9}"/>
    <cellStyle name="Currency 3 2 2 2 6 4 2" xfId="23140" xr:uid="{73BEE6CC-957A-47BC-BAD8-706E398791A4}"/>
    <cellStyle name="Currency 3 2 2 2 6 5" xfId="18929" xr:uid="{E85DB1D1-9C8D-4E88-8085-EB9A10C74F37}"/>
    <cellStyle name="Currency 3 2 2 2 7" xfId="2416" xr:uid="{00000000-0005-0000-0000-0000CF0A0000}"/>
    <cellStyle name="Currency 3 2 2 2 7 2" xfId="6702" xr:uid="{00000000-0005-0000-0000-0000D00A0000}"/>
    <cellStyle name="Currency 3 2 2 2 7 2 2" xfId="15131" xr:uid="{72807129-08CD-404B-96AF-6C17758B85C2}"/>
    <cellStyle name="Currency 3 2 2 2 7 2 3" xfId="27764" xr:uid="{EC36B52E-D7A2-4C28-A1BA-73BAD97CA05D}"/>
    <cellStyle name="Currency 3 2 2 2 7 3" xfId="10913" xr:uid="{39C257EC-5F6E-4556-95F9-A81564029E21}"/>
    <cellStyle name="Currency 3 2 2 2 7 3 2" xfId="23553" xr:uid="{34CFE0A0-397B-4E9D-B1AD-4E900D6AC825}"/>
    <cellStyle name="Currency 3 2 2 2 7 4" xfId="19342" xr:uid="{F401C9E9-DAE3-49F3-A8DC-33387C18974D}"/>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0F3A46CD-E527-466B-AE21-B73483C774AF}"/>
    <cellStyle name="Currency 3 2 2 2 9 2 3" xfId="28081" xr:uid="{35A0A76D-01D1-4D97-AE9C-21FEAC1352AA}"/>
    <cellStyle name="Currency 3 2 2 2 9 3" xfId="11230" xr:uid="{94B56887-23F3-436E-9DAA-F508003CC3F2}"/>
    <cellStyle name="Currency 3 2 2 2 9 3 2" xfId="23870" xr:uid="{ABB9A13C-3E82-4321-B556-8A87C1CACA8B}"/>
    <cellStyle name="Currency 3 2 2 2 9 4" xfId="19659" xr:uid="{035F6D3B-7F6D-4CB2-A125-276CE8C67FD0}"/>
    <cellStyle name="Currency 3 2 2 3" xfId="181" xr:uid="{00000000-0005-0000-0000-0000D40A0000}"/>
    <cellStyle name="Currency 3 2 2 3 10" xfId="8849" xr:uid="{CDA7EB47-1372-4C72-8A81-6AFB115B175C}"/>
    <cellStyle name="Currency 3 2 2 3 10 2" xfId="21489" xr:uid="{7592E38D-BDCB-42BA-B068-E03FE2C7B769}"/>
    <cellStyle name="Currency 3 2 2 3 11" xfId="17278" xr:uid="{62FC7BE6-47C9-4019-A5E3-5BA399B03B7D}"/>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BB7447BA-08F7-437C-A7AB-EF4710B3CCBD}"/>
    <cellStyle name="Currency 3 2 2 3 2 2 2 3" xfId="28259" xr:uid="{E97B3D57-38A5-447B-B3FD-D9645CA5013C}"/>
    <cellStyle name="Currency 3 2 2 3 2 2 3" xfId="11408" xr:uid="{C984355F-9EC3-452B-ADA9-B237FCDED22D}"/>
    <cellStyle name="Currency 3 2 2 3 2 2 3 2" xfId="24048" xr:uid="{41B6195D-F5F1-4DBF-AF26-427846AE4D52}"/>
    <cellStyle name="Currency 3 2 2 3 2 2 4" xfId="19837" xr:uid="{34B8B1FC-5D1A-4316-989E-CD9E9A25535C}"/>
    <cellStyle name="Currency 3 2 2 3 2 3" xfId="5052" xr:uid="{00000000-0005-0000-0000-0000D80A0000}"/>
    <cellStyle name="Currency 3 2 2 3 2 3 2" xfId="13481" xr:uid="{8FEBF914-E2B3-4B64-9703-E262A0B72EB5}"/>
    <cellStyle name="Currency 3 2 2 3 2 3 3" xfId="26114" xr:uid="{7C84E3C5-5980-43DE-877E-0CAEB35A54A3}"/>
    <cellStyle name="Currency 3 2 2 3 2 4" xfId="9263" xr:uid="{A4778BA1-5BB1-4F1D-99F8-B5D9FE78D7A3}"/>
    <cellStyle name="Currency 3 2 2 3 2 4 2" xfId="21903" xr:uid="{898102A7-FE38-4AB1-B7E7-27A20FE8B104}"/>
    <cellStyle name="Currency 3 2 2 3 2 5" xfId="17692" xr:uid="{A799EBA7-EE26-4607-ACC6-A2C85FD3CC6F}"/>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C4F36856-94BE-4CDF-8253-0F06CBAD2935}"/>
    <cellStyle name="Currency 3 2 2 3 3 2 2 3" xfId="28672" xr:uid="{30AF37BB-862E-4809-BB32-A60D51DAB400}"/>
    <cellStyle name="Currency 3 2 2 3 3 2 3" xfId="11821" xr:uid="{BD8EA5B2-EBCA-48FF-BEF3-853ADBAF0AF0}"/>
    <cellStyle name="Currency 3 2 2 3 3 2 3 2" xfId="24461" xr:uid="{9DD8185E-AAD6-4793-8C34-F1A23AD2CEE6}"/>
    <cellStyle name="Currency 3 2 2 3 3 2 4" xfId="20250" xr:uid="{3A40345B-C895-47F0-9AB5-71DB164D5103}"/>
    <cellStyle name="Currency 3 2 2 3 3 3" xfId="5465" xr:uid="{00000000-0005-0000-0000-0000DC0A0000}"/>
    <cellStyle name="Currency 3 2 2 3 3 3 2" xfId="13894" xr:uid="{935EC17A-1639-4626-9E84-CD486112675C}"/>
    <cellStyle name="Currency 3 2 2 3 3 3 3" xfId="26527" xr:uid="{F3145D36-A7A8-4835-B748-B653FD1FC964}"/>
    <cellStyle name="Currency 3 2 2 3 3 4" xfId="9676" xr:uid="{B2A2F8FA-3749-4D83-8C66-4AD5B19F6804}"/>
    <cellStyle name="Currency 3 2 2 3 3 4 2" xfId="22316" xr:uid="{242EFF0D-8E19-42FB-BE4D-7EA8DFCBAAA8}"/>
    <cellStyle name="Currency 3 2 2 3 3 5" xfId="18105" xr:uid="{ADE5326F-9269-4D9B-A1BC-6311A8F19D8D}"/>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A5333E2C-DE17-40FB-B937-51C1462DFC44}"/>
    <cellStyle name="Currency 3 2 2 3 4 2 2 3" xfId="29085" xr:uid="{AA835680-D298-4BCD-98D2-AF0A3AD2DA8C}"/>
    <cellStyle name="Currency 3 2 2 3 4 2 3" xfId="12234" xr:uid="{795D7D1B-853F-43F4-A3EB-827B8EA3FB42}"/>
    <cellStyle name="Currency 3 2 2 3 4 2 3 2" xfId="24874" xr:uid="{36FC622D-922F-4717-A210-A4C6F32DAA79}"/>
    <cellStyle name="Currency 3 2 2 3 4 2 4" xfId="20663" xr:uid="{2F3912B6-CF4F-45E6-876B-07D986365E6C}"/>
    <cellStyle name="Currency 3 2 2 3 4 3" xfId="5878" xr:uid="{00000000-0005-0000-0000-0000E00A0000}"/>
    <cellStyle name="Currency 3 2 2 3 4 3 2" xfId="14307" xr:uid="{07CAEB95-F556-407D-A73F-B2CACB88AE4A}"/>
    <cellStyle name="Currency 3 2 2 3 4 3 3" xfId="26940" xr:uid="{DEE3E91E-DA5C-4713-983F-E61EF5B5C526}"/>
    <cellStyle name="Currency 3 2 2 3 4 4" xfId="10089" xr:uid="{BE206BCD-14B0-46A9-9B89-CE7815295D9E}"/>
    <cellStyle name="Currency 3 2 2 3 4 4 2" xfId="22729" xr:uid="{DCA74655-F782-4AE4-B1FD-4BC964137EDE}"/>
    <cellStyle name="Currency 3 2 2 3 4 5" xfId="18518" xr:uid="{5ABE45B2-53B9-4F00-BD89-39361E79EAF4}"/>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6D70AAF3-159D-4620-B2A9-FAAB00B7151C}"/>
    <cellStyle name="Currency 3 2 2 3 5 2 2 3" xfId="29498" xr:uid="{5D8FA95A-F44B-4D98-9641-CE790FD3EF3C}"/>
    <cellStyle name="Currency 3 2 2 3 5 2 3" xfId="12647" xr:uid="{934951E4-6F9C-4412-B5AC-D5651DDC02F9}"/>
    <cellStyle name="Currency 3 2 2 3 5 2 3 2" xfId="25287" xr:uid="{347B955F-04E6-4017-904F-350F3A11B878}"/>
    <cellStyle name="Currency 3 2 2 3 5 2 4" xfId="21076" xr:uid="{9AB19D06-6B6B-4644-B356-2806A09E3B3C}"/>
    <cellStyle name="Currency 3 2 2 3 5 3" xfId="6291" xr:uid="{00000000-0005-0000-0000-0000E40A0000}"/>
    <cellStyle name="Currency 3 2 2 3 5 3 2" xfId="14720" xr:uid="{7AAD05E5-42E8-456A-8D8A-E9FEA96E460C}"/>
    <cellStyle name="Currency 3 2 2 3 5 3 3" xfId="27353" xr:uid="{EE455A84-2180-4B1E-B200-6E20B365126D}"/>
    <cellStyle name="Currency 3 2 2 3 5 4" xfId="10502" xr:uid="{8C44F844-3F0F-4503-A6F1-4B4D0B9EF50A}"/>
    <cellStyle name="Currency 3 2 2 3 5 4 2" xfId="23142" xr:uid="{E79F478D-E4C1-4DB0-B267-711DDBCE9EB5}"/>
    <cellStyle name="Currency 3 2 2 3 5 5" xfId="18931" xr:uid="{47A24136-2348-4A1B-8B10-2B40BAF4E389}"/>
    <cellStyle name="Currency 3 2 2 3 6" xfId="2418" xr:uid="{00000000-0005-0000-0000-0000E50A0000}"/>
    <cellStyle name="Currency 3 2 2 3 6 2" xfId="6704" xr:uid="{00000000-0005-0000-0000-0000E60A0000}"/>
    <cellStyle name="Currency 3 2 2 3 6 2 2" xfId="15133" xr:uid="{2B0136BD-D9A1-4D13-8EB3-A59D7256631F}"/>
    <cellStyle name="Currency 3 2 2 3 6 2 3" xfId="27766" xr:uid="{D03DC600-21FF-4D87-BF93-F02CC4701E8C}"/>
    <cellStyle name="Currency 3 2 2 3 6 3" xfId="10915" xr:uid="{B49AA8E4-3596-43DF-8A61-4790CA8B5411}"/>
    <cellStyle name="Currency 3 2 2 3 6 3 2" xfId="23555" xr:uid="{CEEB28A3-FA7A-4567-A674-39933D3AD751}"/>
    <cellStyle name="Currency 3 2 2 3 6 4" xfId="19344" xr:uid="{96B65B43-5802-4042-9CBF-07AD654D37B4}"/>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29B16B9C-2990-46DB-A9D3-7DB1D746D099}"/>
    <cellStyle name="Currency 3 2 2 3 8 2 3" xfId="28083" xr:uid="{5B2B1488-CF75-4FCA-85C9-A27C8619DC2E}"/>
    <cellStyle name="Currency 3 2 2 3 8 3" xfId="11232" xr:uid="{D6B22300-4336-4DD1-B4B4-81D67899B463}"/>
    <cellStyle name="Currency 3 2 2 3 8 3 2" xfId="23872" xr:uid="{24E567ED-02F0-426F-AA98-972DB8A73492}"/>
    <cellStyle name="Currency 3 2 2 3 8 4" xfId="19661" xr:uid="{BB3AB9D1-D85C-4C95-B831-98433EC3BF7C}"/>
    <cellStyle name="Currency 3 2 2 3 9" xfId="4638" xr:uid="{00000000-0005-0000-0000-0000EA0A0000}"/>
    <cellStyle name="Currency 3 2 2 3 9 2" xfId="13067" xr:uid="{4960253A-1C72-4F8E-BB7E-F73800FFD8C5}"/>
    <cellStyle name="Currency 3 2 2 3 9 3" xfId="25700" xr:uid="{34CF53CE-CA80-43F9-B68A-329713E26D3C}"/>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BF7B82AB-0F10-4387-ABFB-BEF37C8B4C46}"/>
    <cellStyle name="Currency 3 2 2 4 2 2 3" xfId="28256" xr:uid="{112ACD29-FE21-4EC5-9C56-8B8C68007362}"/>
    <cellStyle name="Currency 3 2 2 4 2 3" xfId="11405" xr:uid="{1EDC302F-47E4-493B-A00E-8CAB9FBE4899}"/>
    <cellStyle name="Currency 3 2 2 4 2 3 2" xfId="24045" xr:uid="{12C453BF-F94A-4CB5-8541-26A9A2370C8B}"/>
    <cellStyle name="Currency 3 2 2 4 2 4" xfId="19834" xr:uid="{A889A9C0-8F82-4569-9AE6-F8574EB6EEA1}"/>
    <cellStyle name="Currency 3 2 2 4 3" xfId="5049" xr:uid="{00000000-0005-0000-0000-0000EE0A0000}"/>
    <cellStyle name="Currency 3 2 2 4 3 2" xfId="13478" xr:uid="{40FA4413-17B4-482F-A31F-7580FD1E7ABC}"/>
    <cellStyle name="Currency 3 2 2 4 3 3" xfId="26111" xr:uid="{8DFC92CD-3A6F-4727-A651-C62C8FC0CAF4}"/>
    <cellStyle name="Currency 3 2 2 4 4" xfId="9260" xr:uid="{527EF8B5-E518-41E8-BB80-7243C7C6282E}"/>
    <cellStyle name="Currency 3 2 2 4 4 2" xfId="21900" xr:uid="{BC076A16-DFC4-4944-AEC6-90843599F14B}"/>
    <cellStyle name="Currency 3 2 2 4 5" xfId="17689" xr:uid="{0CFC990F-BE1A-4C8B-9697-D0C0D4171C0E}"/>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644B8062-EDF7-4043-B103-C9A2DD65D850}"/>
    <cellStyle name="Currency 3 2 2 5 2 2 3" xfId="28669" xr:uid="{B663F4F0-F577-40DC-8B6C-AE9A3A645F48}"/>
    <cellStyle name="Currency 3 2 2 5 2 3" xfId="11818" xr:uid="{118048AD-C1A7-46D4-A90B-669CC5088CAD}"/>
    <cellStyle name="Currency 3 2 2 5 2 3 2" xfId="24458" xr:uid="{E70376D8-E6F5-479F-844C-693C9E7B9831}"/>
    <cellStyle name="Currency 3 2 2 5 2 4" xfId="20247" xr:uid="{146E5DBF-414F-4B73-9F9F-A1476FF4A610}"/>
    <cellStyle name="Currency 3 2 2 5 3" xfId="5462" xr:uid="{00000000-0005-0000-0000-0000F20A0000}"/>
    <cellStyle name="Currency 3 2 2 5 3 2" xfId="13891" xr:uid="{D99AF33A-FF83-4644-AF86-EC8A0FFAE1F9}"/>
    <cellStyle name="Currency 3 2 2 5 3 3" xfId="26524" xr:uid="{CC508EEF-AA0B-4016-8B10-9CC179A67A13}"/>
    <cellStyle name="Currency 3 2 2 5 4" xfId="9673" xr:uid="{A3E9A744-03FF-488C-B97F-CB6CE922DC3E}"/>
    <cellStyle name="Currency 3 2 2 5 4 2" xfId="22313" xr:uid="{7E5361E7-290D-4A24-B277-D0834D0252D4}"/>
    <cellStyle name="Currency 3 2 2 5 5" xfId="18102" xr:uid="{4627BB6F-E341-454F-96DD-5AA123D2AE04}"/>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C82545CE-A227-4D2B-B8F0-D761D6D1FB08}"/>
    <cellStyle name="Currency 3 2 2 6 2 2 3" xfId="29082" xr:uid="{3EE4D30C-E5E1-436F-A369-051C3C5CB582}"/>
    <cellStyle name="Currency 3 2 2 6 2 3" xfId="12231" xr:uid="{7E432454-43F1-4C47-B34B-14AC451F0DB4}"/>
    <cellStyle name="Currency 3 2 2 6 2 3 2" xfId="24871" xr:uid="{787AAABF-96D9-4F98-AAC4-C7611E3CACCC}"/>
    <cellStyle name="Currency 3 2 2 6 2 4" xfId="20660" xr:uid="{FEFA7D25-A2B0-43E4-9F16-B30209AA7C92}"/>
    <cellStyle name="Currency 3 2 2 6 3" xfId="5875" xr:uid="{00000000-0005-0000-0000-0000F60A0000}"/>
    <cellStyle name="Currency 3 2 2 6 3 2" xfId="14304" xr:uid="{E6A63241-B81B-44DC-B5DE-0C8035ED9EA3}"/>
    <cellStyle name="Currency 3 2 2 6 3 3" xfId="26937" xr:uid="{0F5F0784-4AB8-4078-82DD-F450E7B091B3}"/>
    <cellStyle name="Currency 3 2 2 6 4" xfId="10086" xr:uid="{B1FCDE02-48AB-4F85-9C53-1F5DEBDE841B}"/>
    <cellStyle name="Currency 3 2 2 6 4 2" xfId="22726" xr:uid="{1E71447C-8980-4F6F-8079-73AB52F37A53}"/>
    <cellStyle name="Currency 3 2 2 6 5" xfId="18515" xr:uid="{364C1498-5B42-4945-8D1C-F34366008219}"/>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415A8F80-538B-4C7F-A7FB-C4BE51AC9169}"/>
    <cellStyle name="Currency 3 2 2 7 2 2 3" xfId="29495" xr:uid="{FA72682A-2E9D-4834-A1FF-7589495A955A}"/>
    <cellStyle name="Currency 3 2 2 7 2 3" xfId="12644" xr:uid="{73E6497E-244A-4252-9FA7-C67DF814D9EE}"/>
    <cellStyle name="Currency 3 2 2 7 2 3 2" xfId="25284" xr:uid="{D3B31809-95FB-4BC9-B8CB-FC0EF0E4211B}"/>
    <cellStyle name="Currency 3 2 2 7 2 4" xfId="21073" xr:uid="{78240175-3881-427B-A41E-DD552B7ABEE7}"/>
    <cellStyle name="Currency 3 2 2 7 3" xfId="6288" xr:uid="{00000000-0005-0000-0000-0000FA0A0000}"/>
    <cellStyle name="Currency 3 2 2 7 3 2" xfId="14717" xr:uid="{93004D2B-1C49-445F-B5A7-4BA1843E0F51}"/>
    <cellStyle name="Currency 3 2 2 7 3 3" xfId="27350" xr:uid="{23422641-9666-4954-981A-2D8CAE480003}"/>
    <cellStyle name="Currency 3 2 2 7 4" xfId="10499" xr:uid="{5CC0F7E1-8C38-42A4-9EB0-B243CFAE2B0E}"/>
    <cellStyle name="Currency 3 2 2 7 4 2" xfId="23139" xr:uid="{34D2CF12-1736-449A-AAD1-4C9A011C6E99}"/>
    <cellStyle name="Currency 3 2 2 7 5" xfId="18928" xr:uid="{84B5DCBF-5964-4565-902E-845AD53938B0}"/>
    <cellStyle name="Currency 3 2 2 8" xfId="2415" xr:uid="{00000000-0005-0000-0000-0000FB0A0000}"/>
    <cellStyle name="Currency 3 2 2 8 2" xfId="6701" xr:uid="{00000000-0005-0000-0000-0000FC0A0000}"/>
    <cellStyle name="Currency 3 2 2 8 2 2" xfId="15130" xr:uid="{86DCBD38-59E6-40FC-B1A0-009D9C485D26}"/>
    <cellStyle name="Currency 3 2 2 8 2 3" xfId="27763" xr:uid="{CADDAA19-6F98-4703-B167-46829A222143}"/>
    <cellStyle name="Currency 3 2 2 8 3" xfId="10912" xr:uid="{CF6D2B64-5319-4AE9-B5CD-9F65F94D9283}"/>
    <cellStyle name="Currency 3 2 2 8 3 2" xfId="23552" xr:uid="{A0564A96-A495-4BDE-A7B3-826E34EACDC9}"/>
    <cellStyle name="Currency 3 2 2 8 4" xfId="19341" xr:uid="{051E4E03-38EF-4C37-9176-3E373449191D}"/>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407193A0-B819-4563-9175-FB11BCB60BE9}"/>
    <cellStyle name="Currency 3 2 3 10 3" xfId="25701" xr:uid="{6AA9F5B1-ECBE-454B-AC33-EBD55D2C5C6F}"/>
    <cellStyle name="Currency 3 2 3 11" xfId="8850" xr:uid="{E3130E7D-5BD4-4C3A-AAAE-17DC9C182D41}"/>
    <cellStyle name="Currency 3 2 3 11 2" xfId="21490" xr:uid="{8BF908DB-0F4C-49E7-BF29-B6419BF2E3C0}"/>
    <cellStyle name="Currency 3 2 3 12" xfId="17279" xr:uid="{0A788992-FD41-4274-8DC3-A22901F84436}"/>
    <cellStyle name="Currency 3 2 3 2" xfId="183" xr:uid="{00000000-0005-0000-0000-0000000B0000}"/>
    <cellStyle name="Currency 3 2 3 2 10" xfId="8851" xr:uid="{E9D0BDB2-C07C-4B4A-BB0E-1B24A1806E74}"/>
    <cellStyle name="Currency 3 2 3 2 10 2" xfId="21491" xr:uid="{659DAC9B-EE4E-451B-8ACE-B59887F926C9}"/>
    <cellStyle name="Currency 3 2 3 2 11" xfId="17280" xr:uid="{543FE3FD-CF84-48CA-AF0F-BFB89A5D54B4}"/>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ABF5F1BA-7960-493B-A87B-8167F5D0CEA3}"/>
    <cellStyle name="Currency 3 2 3 2 2 2 2 3" xfId="28261" xr:uid="{ACDC9FDA-A01F-4F29-BF82-ACEF2DED3DBF}"/>
    <cellStyle name="Currency 3 2 3 2 2 2 3" xfId="11410" xr:uid="{DBE19FF7-12B6-4784-8ACD-C3AE15934FAE}"/>
    <cellStyle name="Currency 3 2 3 2 2 2 3 2" xfId="24050" xr:uid="{3CEE5A2F-9D27-45D8-BBFB-D0FFB80DC3CF}"/>
    <cellStyle name="Currency 3 2 3 2 2 2 4" xfId="19839" xr:uid="{9A7CBA7B-226C-4AAF-B025-D67113F7CC95}"/>
    <cellStyle name="Currency 3 2 3 2 2 3" xfId="5054" xr:uid="{00000000-0005-0000-0000-0000040B0000}"/>
    <cellStyle name="Currency 3 2 3 2 2 3 2" xfId="13483" xr:uid="{240CA9FA-7B8B-4ECD-B26B-B618ABDA4C5B}"/>
    <cellStyle name="Currency 3 2 3 2 2 3 3" xfId="26116" xr:uid="{9BF70A4A-7075-42B2-A3CC-324E5E5414CC}"/>
    <cellStyle name="Currency 3 2 3 2 2 4" xfId="9265" xr:uid="{7AC5F1A3-D5C8-4636-81CA-22DD608F34B6}"/>
    <cellStyle name="Currency 3 2 3 2 2 4 2" xfId="21905" xr:uid="{D8492121-79EA-48F4-9CCA-EF7AACADE425}"/>
    <cellStyle name="Currency 3 2 3 2 2 5" xfId="17694" xr:uid="{BFF84A71-0BAA-4341-A286-3963767826F8}"/>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3E6A8E37-1EF4-4ECF-B0B7-6EBE03F4BE73}"/>
    <cellStyle name="Currency 3 2 3 2 3 2 2 3" xfId="28674" xr:uid="{8CE52E23-2622-4274-9563-4CE0F02E67E3}"/>
    <cellStyle name="Currency 3 2 3 2 3 2 3" xfId="11823" xr:uid="{AB277B0E-9C7E-4277-9B30-00F5EA6D11AA}"/>
    <cellStyle name="Currency 3 2 3 2 3 2 3 2" xfId="24463" xr:uid="{DA49A58B-E8F1-4846-856E-084CDCBD6D11}"/>
    <cellStyle name="Currency 3 2 3 2 3 2 4" xfId="20252" xr:uid="{CB8E084B-1465-463B-A61F-075385984114}"/>
    <cellStyle name="Currency 3 2 3 2 3 3" xfId="5467" xr:uid="{00000000-0005-0000-0000-0000080B0000}"/>
    <cellStyle name="Currency 3 2 3 2 3 3 2" xfId="13896" xr:uid="{62EC9C2B-043E-49E1-B28E-EB5BE5EA760F}"/>
    <cellStyle name="Currency 3 2 3 2 3 3 3" xfId="26529" xr:uid="{AA09D1A4-6581-4FC1-BA17-9661E9552164}"/>
    <cellStyle name="Currency 3 2 3 2 3 4" xfId="9678" xr:uid="{BFBFF0F1-CF75-4811-8BA1-079D5119400E}"/>
    <cellStyle name="Currency 3 2 3 2 3 4 2" xfId="22318" xr:uid="{E65E1D7D-0545-451A-AAD1-42794CAF5665}"/>
    <cellStyle name="Currency 3 2 3 2 3 5" xfId="18107" xr:uid="{B0D95C40-E2A7-4577-A5D9-9373AEE682EA}"/>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DB84426D-0D4F-49FA-9B01-F23647CBAF79}"/>
    <cellStyle name="Currency 3 2 3 2 4 2 2 3" xfId="29087" xr:uid="{565172A8-49A8-4665-84FE-BC264514A123}"/>
    <cellStyle name="Currency 3 2 3 2 4 2 3" xfId="12236" xr:uid="{388195AD-21E0-4CDF-9258-0C5B2731D9EE}"/>
    <cellStyle name="Currency 3 2 3 2 4 2 3 2" xfId="24876" xr:uid="{ADE8ED19-95AB-49D5-953A-B64C324237A2}"/>
    <cellStyle name="Currency 3 2 3 2 4 2 4" xfId="20665" xr:uid="{AEC674C8-E907-46C0-BF42-6B0F37D0051C}"/>
    <cellStyle name="Currency 3 2 3 2 4 3" xfId="5880" xr:uid="{00000000-0005-0000-0000-00000C0B0000}"/>
    <cellStyle name="Currency 3 2 3 2 4 3 2" xfId="14309" xr:uid="{053DEDF3-A0CE-4D75-9694-18A64E2F1F05}"/>
    <cellStyle name="Currency 3 2 3 2 4 3 3" xfId="26942" xr:uid="{E63B8CB2-9701-4F41-80DF-893E479D7870}"/>
    <cellStyle name="Currency 3 2 3 2 4 4" xfId="10091" xr:uid="{8610C689-7D13-4671-B828-07D1D737E2C7}"/>
    <cellStyle name="Currency 3 2 3 2 4 4 2" xfId="22731" xr:uid="{249E2AC5-23AD-4803-B567-36A8A508F1C6}"/>
    <cellStyle name="Currency 3 2 3 2 4 5" xfId="18520" xr:uid="{5E2A9375-2FC6-4BFD-8CA5-39ADFFA08412}"/>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48B91952-F182-497C-BAD7-8B436BA676F6}"/>
    <cellStyle name="Currency 3 2 3 2 5 2 2 3" xfId="29500" xr:uid="{E3D95513-A250-409F-B7C8-FCAD8A5FD483}"/>
    <cellStyle name="Currency 3 2 3 2 5 2 3" xfId="12649" xr:uid="{95DE0E91-935B-4910-8F36-E5D6B23B25A5}"/>
    <cellStyle name="Currency 3 2 3 2 5 2 3 2" xfId="25289" xr:uid="{93982D37-5DA2-4D24-BE25-7C463B92E230}"/>
    <cellStyle name="Currency 3 2 3 2 5 2 4" xfId="21078" xr:uid="{4029154E-409D-4C4C-A1D8-839E8A072651}"/>
    <cellStyle name="Currency 3 2 3 2 5 3" xfId="6293" xr:uid="{00000000-0005-0000-0000-0000100B0000}"/>
    <cellStyle name="Currency 3 2 3 2 5 3 2" xfId="14722" xr:uid="{9EECB3A0-D7BD-41A4-8A0C-745E80F3152A}"/>
    <cellStyle name="Currency 3 2 3 2 5 3 3" xfId="27355" xr:uid="{0C6A5191-FF4A-4B3B-9153-2871A878824D}"/>
    <cellStyle name="Currency 3 2 3 2 5 4" xfId="10504" xr:uid="{D61A3A37-B21E-4302-AC1C-14251F62EC56}"/>
    <cellStyle name="Currency 3 2 3 2 5 4 2" xfId="23144" xr:uid="{127C35C4-02E5-41BD-8BD5-FFB6F0DB7CDA}"/>
    <cellStyle name="Currency 3 2 3 2 5 5" xfId="18933" xr:uid="{11EF3A1F-C9ED-43BD-82EE-39EF4FFAD34B}"/>
    <cellStyle name="Currency 3 2 3 2 6" xfId="2420" xr:uid="{00000000-0005-0000-0000-0000110B0000}"/>
    <cellStyle name="Currency 3 2 3 2 6 2" xfId="6706" xr:uid="{00000000-0005-0000-0000-0000120B0000}"/>
    <cellStyle name="Currency 3 2 3 2 6 2 2" xfId="15135" xr:uid="{7D45FA56-2A1C-405F-B414-4153977C13A8}"/>
    <cellStyle name="Currency 3 2 3 2 6 2 3" xfId="27768" xr:uid="{5AD5179D-1F15-401F-A456-0EE2056874FD}"/>
    <cellStyle name="Currency 3 2 3 2 6 3" xfId="10917" xr:uid="{7949B5C9-8539-4753-BE3E-444A1EF63750}"/>
    <cellStyle name="Currency 3 2 3 2 6 3 2" xfId="23557" xr:uid="{9996E48F-1006-4F6A-8968-457F24ED1D64}"/>
    <cellStyle name="Currency 3 2 3 2 6 4" xfId="19346" xr:uid="{31CB271E-DEB3-453E-9A88-EA242C215B28}"/>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61CC33C4-3FC4-49D5-B542-456A01988064}"/>
    <cellStyle name="Currency 3 2 3 2 8 2 3" xfId="28085" xr:uid="{AE203DD8-BD3F-4F54-AEC6-29E45ECA5062}"/>
    <cellStyle name="Currency 3 2 3 2 8 3" xfId="11234" xr:uid="{217774B2-5F50-4206-BC34-9300AC84E844}"/>
    <cellStyle name="Currency 3 2 3 2 8 3 2" xfId="23874" xr:uid="{369F3565-3AA6-48FA-B8D0-D78370739AF6}"/>
    <cellStyle name="Currency 3 2 3 2 8 4" xfId="19663" xr:uid="{5AEDE1F9-EA2B-4CFA-B24C-BCD55BA92DDF}"/>
    <cellStyle name="Currency 3 2 3 2 9" xfId="4640" xr:uid="{00000000-0005-0000-0000-0000160B0000}"/>
    <cellStyle name="Currency 3 2 3 2 9 2" xfId="13069" xr:uid="{50C84E69-7F04-408C-A554-B7A4DAA95ABD}"/>
    <cellStyle name="Currency 3 2 3 2 9 3" xfId="25702" xr:uid="{A938A2A3-16A7-4589-93B6-E2F55D769D9A}"/>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968325AB-01C0-4362-A16D-9B0191717F2C}"/>
    <cellStyle name="Currency 3 2 3 3 2 2 3" xfId="28260" xr:uid="{E4302A84-07F1-4CDE-AB23-B2C29F6E5A1A}"/>
    <cellStyle name="Currency 3 2 3 3 2 3" xfId="11409" xr:uid="{74256F0E-C274-42B4-AF41-909D489F0926}"/>
    <cellStyle name="Currency 3 2 3 3 2 3 2" xfId="24049" xr:uid="{53B63B5B-84ED-4F34-BA14-DBC59676EF8B}"/>
    <cellStyle name="Currency 3 2 3 3 2 4" xfId="19838" xr:uid="{7E4BC8A8-8021-49E2-8883-57987F23DA6B}"/>
    <cellStyle name="Currency 3 2 3 3 3" xfId="5053" xr:uid="{00000000-0005-0000-0000-00001A0B0000}"/>
    <cellStyle name="Currency 3 2 3 3 3 2" xfId="13482" xr:uid="{4D072136-88A0-4C0F-B642-22CF9F9C95D7}"/>
    <cellStyle name="Currency 3 2 3 3 3 3" xfId="26115" xr:uid="{1618DCB7-F3AB-47EB-A1FB-477B605B543B}"/>
    <cellStyle name="Currency 3 2 3 3 4" xfId="9264" xr:uid="{F5B35692-8A5E-4013-8A19-82A59E0ED3E2}"/>
    <cellStyle name="Currency 3 2 3 3 4 2" xfId="21904" xr:uid="{BE68C970-59B8-4CAF-842C-29BD7E5CFC37}"/>
    <cellStyle name="Currency 3 2 3 3 5" xfId="17693" xr:uid="{E015867A-FCC6-4630-BDDC-C744EDB73370}"/>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63526810-DC51-4CE2-B905-8A63DA51AF38}"/>
    <cellStyle name="Currency 3 2 3 4 2 2 3" xfId="28673" xr:uid="{1CB2B275-F49D-4C6B-9B45-D61123848D25}"/>
    <cellStyle name="Currency 3 2 3 4 2 3" xfId="11822" xr:uid="{F7609BED-9105-456E-9256-8480A47951CC}"/>
    <cellStyle name="Currency 3 2 3 4 2 3 2" xfId="24462" xr:uid="{3525E1E5-FB80-4751-BF0F-902326F70C1F}"/>
    <cellStyle name="Currency 3 2 3 4 2 4" xfId="20251" xr:uid="{5858D6DB-1111-45D2-BAD3-D20758F8FD6F}"/>
    <cellStyle name="Currency 3 2 3 4 3" xfId="5466" xr:uid="{00000000-0005-0000-0000-00001E0B0000}"/>
    <cellStyle name="Currency 3 2 3 4 3 2" xfId="13895" xr:uid="{5BC3F7B8-3BBD-4145-91BA-6D42088C193B}"/>
    <cellStyle name="Currency 3 2 3 4 3 3" xfId="26528" xr:uid="{E88AFFC0-E428-413B-B695-2587B868D5FD}"/>
    <cellStyle name="Currency 3 2 3 4 4" xfId="9677" xr:uid="{5E608068-192E-4E1B-9E6F-5C4B2F71138B}"/>
    <cellStyle name="Currency 3 2 3 4 4 2" xfId="22317" xr:uid="{5C414CF0-BC23-4746-9318-EB626A7A1318}"/>
    <cellStyle name="Currency 3 2 3 4 5" xfId="18106" xr:uid="{27542149-ABE5-49D6-9A23-5F9707F58DDF}"/>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42CB86B4-D6C8-4726-AD57-EBCE8EE24314}"/>
    <cellStyle name="Currency 3 2 3 5 2 2 3" xfId="29086" xr:uid="{6A67BC83-60E5-4492-B4C7-278509828C80}"/>
    <cellStyle name="Currency 3 2 3 5 2 3" xfId="12235" xr:uid="{6EB97DAC-2D06-4B15-AF18-5D2CE16C323D}"/>
    <cellStyle name="Currency 3 2 3 5 2 3 2" xfId="24875" xr:uid="{79D1FF2B-A407-4E29-BDC8-A4B06FD3813F}"/>
    <cellStyle name="Currency 3 2 3 5 2 4" xfId="20664" xr:uid="{BAA149C6-1CB9-4DD5-AED7-02B85F506750}"/>
    <cellStyle name="Currency 3 2 3 5 3" xfId="5879" xr:uid="{00000000-0005-0000-0000-0000220B0000}"/>
    <cellStyle name="Currency 3 2 3 5 3 2" xfId="14308" xr:uid="{98059BC2-9CF7-4F01-A201-6AC922FD40D3}"/>
    <cellStyle name="Currency 3 2 3 5 3 3" xfId="26941" xr:uid="{5022D891-A5AB-4654-9BA9-91C2E098F3DB}"/>
    <cellStyle name="Currency 3 2 3 5 4" xfId="10090" xr:uid="{EAD84E51-F0CB-4672-88FE-BFE7EEF4868D}"/>
    <cellStyle name="Currency 3 2 3 5 4 2" xfId="22730" xr:uid="{C6897ACD-F457-403E-9618-5CB74ECB0711}"/>
    <cellStyle name="Currency 3 2 3 5 5" xfId="18519" xr:uid="{D203F683-A50C-4FD3-9001-D522FC8169A5}"/>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1ADFFD39-92C2-4C5F-8837-E09E4DC56E74}"/>
    <cellStyle name="Currency 3 2 3 6 2 2 3" xfId="29499" xr:uid="{A12DF453-8C56-4220-9266-499B37C02957}"/>
    <cellStyle name="Currency 3 2 3 6 2 3" xfId="12648" xr:uid="{6191AD1C-F805-4056-B966-C9253D6273D5}"/>
    <cellStyle name="Currency 3 2 3 6 2 3 2" xfId="25288" xr:uid="{F03DF8DE-42CA-4104-BCAC-A594D4919194}"/>
    <cellStyle name="Currency 3 2 3 6 2 4" xfId="21077" xr:uid="{75E25141-6293-4D18-8CA8-416893413ABB}"/>
    <cellStyle name="Currency 3 2 3 6 3" xfId="6292" xr:uid="{00000000-0005-0000-0000-0000260B0000}"/>
    <cellStyle name="Currency 3 2 3 6 3 2" xfId="14721" xr:uid="{8189F70F-22F6-4633-B2E0-AC551254EE45}"/>
    <cellStyle name="Currency 3 2 3 6 3 3" xfId="27354" xr:uid="{1C7AA825-F062-40A0-9A2E-94F22FB8E6E3}"/>
    <cellStyle name="Currency 3 2 3 6 4" xfId="10503" xr:uid="{BA623161-A3CC-4A5B-93D2-0857CF5F66FD}"/>
    <cellStyle name="Currency 3 2 3 6 4 2" xfId="23143" xr:uid="{C1947558-F6EF-4A3F-AA64-2F2336CF6F0C}"/>
    <cellStyle name="Currency 3 2 3 6 5" xfId="18932" xr:uid="{17B563F6-27D0-4BAC-8B37-AEFBC3CCF69F}"/>
    <cellStyle name="Currency 3 2 3 7" xfId="2419" xr:uid="{00000000-0005-0000-0000-0000270B0000}"/>
    <cellStyle name="Currency 3 2 3 7 2" xfId="6705" xr:uid="{00000000-0005-0000-0000-0000280B0000}"/>
    <cellStyle name="Currency 3 2 3 7 2 2" xfId="15134" xr:uid="{753D4AD8-AE1F-4818-BE97-7DD9F2805FFA}"/>
    <cellStyle name="Currency 3 2 3 7 2 3" xfId="27767" xr:uid="{C44AA1DB-22F9-4DEA-B90A-EC3F6EA042CF}"/>
    <cellStyle name="Currency 3 2 3 7 3" xfId="10916" xr:uid="{4E97551A-F304-4D88-9A47-48F7DC33A0EA}"/>
    <cellStyle name="Currency 3 2 3 7 3 2" xfId="23556" xr:uid="{723A35BF-83DE-4260-B145-2D5305EECA2F}"/>
    <cellStyle name="Currency 3 2 3 7 4" xfId="19345" xr:uid="{6E76FA38-2DD3-4B63-9A0C-C999C237EDB4}"/>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3975A2AF-5069-4CD3-8EBF-0F7DB5DDB004}"/>
    <cellStyle name="Currency 3 2 3 9 2 3" xfId="28084" xr:uid="{9254F932-8484-45B6-BAF6-8CDDDB5394F8}"/>
    <cellStyle name="Currency 3 2 3 9 3" xfId="11233" xr:uid="{30AB5F35-756A-446F-8843-DE35967C75C7}"/>
    <cellStyle name="Currency 3 2 3 9 3 2" xfId="23873" xr:uid="{AE6BD417-2F53-40AA-9530-3F97D60B90AB}"/>
    <cellStyle name="Currency 3 2 3 9 4" xfId="19662" xr:uid="{A32794D8-AFDA-438E-BD21-A2DBF45F8A83}"/>
    <cellStyle name="Currency 3 2 4" xfId="184" xr:uid="{00000000-0005-0000-0000-00002C0B0000}"/>
    <cellStyle name="Currency 3 2 4 10" xfId="8852" xr:uid="{25BD15FF-FF17-4346-A6FA-355354FA1BEF}"/>
    <cellStyle name="Currency 3 2 4 10 2" xfId="21492" xr:uid="{EE7F1677-FA55-43B0-ABEE-6AF70DAB3C39}"/>
    <cellStyle name="Currency 3 2 4 11" xfId="17281" xr:uid="{1E405278-6A85-4910-B30A-F32BE111216F}"/>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E9EDEF2A-1C2F-488E-BCA1-2DF2EE32692B}"/>
    <cellStyle name="Currency 3 2 4 2 2 2 3" xfId="28262" xr:uid="{BB34E07C-38F0-4911-99EC-BCAF5EA253D2}"/>
    <cellStyle name="Currency 3 2 4 2 2 3" xfId="11411" xr:uid="{FA27A2B0-FCBA-455F-A6AC-9B7D1EE07473}"/>
    <cellStyle name="Currency 3 2 4 2 2 3 2" xfId="24051" xr:uid="{C707155D-C8F4-4915-810F-60920C1EE100}"/>
    <cellStyle name="Currency 3 2 4 2 2 4" xfId="19840" xr:uid="{961BD32B-CD27-4BF3-8507-7D5B10216A42}"/>
    <cellStyle name="Currency 3 2 4 2 3" xfId="5055" xr:uid="{00000000-0005-0000-0000-0000300B0000}"/>
    <cellStyle name="Currency 3 2 4 2 3 2" xfId="13484" xr:uid="{495B8AC5-19EA-4AF3-9DF9-98A422EEE937}"/>
    <cellStyle name="Currency 3 2 4 2 3 3" xfId="26117" xr:uid="{65707AFD-D98F-4572-893A-902006CC152D}"/>
    <cellStyle name="Currency 3 2 4 2 4" xfId="9266" xr:uid="{280BD6C3-DE52-48F4-9804-FB9F229847F4}"/>
    <cellStyle name="Currency 3 2 4 2 4 2" xfId="21906" xr:uid="{20D50087-77D8-47E0-9932-9CF481EFFD02}"/>
    <cellStyle name="Currency 3 2 4 2 5" xfId="17695" xr:uid="{A98F9D2D-6D65-49A8-B62B-B8612F68793F}"/>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C7AE8801-12E5-4497-8C6B-30CE2AA56E40}"/>
    <cellStyle name="Currency 3 2 4 3 2 2 3" xfId="28675" xr:uid="{E23FDD87-4DA9-4414-9FC2-5929574180F1}"/>
    <cellStyle name="Currency 3 2 4 3 2 3" xfId="11824" xr:uid="{FA3FD743-A2AC-45EC-8011-A6B83AB62F79}"/>
    <cellStyle name="Currency 3 2 4 3 2 3 2" xfId="24464" xr:uid="{9D7D2781-4B36-48B3-A7B1-356626D2EAB0}"/>
    <cellStyle name="Currency 3 2 4 3 2 4" xfId="20253" xr:uid="{1AED012B-F418-4DD8-8869-D2C9B817E0F8}"/>
    <cellStyle name="Currency 3 2 4 3 3" xfId="5468" xr:uid="{00000000-0005-0000-0000-0000340B0000}"/>
    <cellStyle name="Currency 3 2 4 3 3 2" xfId="13897" xr:uid="{45371339-D561-4029-B749-675FE94B9F31}"/>
    <cellStyle name="Currency 3 2 4 3 3 3" xfId="26530" xr:uid="{7B20FA9B-B60F-4FE4-B542-6234FE58A2BD}"/>
    <cellStyle name="Currency 3 2 4 3 4" xfId="9679" xr:uid="{4DF1A215-1DD6-42A3-9139-38563085274B}"/>
    <cellStyle name="Currency 3 2 4 3 4 2" xfId="22319" xr:uid="{C255DCF1-877E-48BA-B40B-63F845508B13}"/>
    <cellStyle name="Currency 3 2 4 3 5" xfId="18108" xr:uid="{A0479603-7BEB-4C79-9761-D22C06C4FCEA}"/>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E5A54137-3E60-4DF0-AF94-3BA6C5DBD0C8}"/>
    <cellStyle name="Currency 3 2 4 4 2 2 3" xfId="29088" xr:uid="{DFDA1F24-2421-4EB6-987C-CC49D1979649}"/>
    <cellStyle name="Currency 3 2 4 4 2 3" xfId="12237" xr:uid="{BE72D0BC-FC95-4AAE-897D-B82DA097EAAC}"/>
    <cellStyle name="Currency 3 2 4 4 2 3 2" xfId="24877" xr:uid="{4075FCDD-2EFF-45F3-87AA-A204B44FD6CD}"/>
    <cellStyle name="Currency 3 2 4 4 2 4" xfId="20666" xr:uid="{4210129E-3185-44C3-8C76-857F03E04905}"/>
    <cellStyle name="Currency 3 2 4 4 3" xfId="5881" xr:uid="{00000000-0005-0000-0000-0000380B0000}"/>
    <cellStyle name="Currency 3 2 4 4 3 2" xfId="14310" xr:uid="{BA20711E-732D-4EDC-8459-982FB36335C6}"/>
    <cellStyle name="Currency 3 2 4 4 3 3" xfId="26943" xr:uid="{7BEEFE8E-EB20-4AA9-B4F7-E4F04DFB9719}"/>
    <cellStyle name="Currency 3 2 4 4 4" xfId="10092" xr:uid="{DE80A421-D14B-40C7-86FE-49527482421B}"/>
    <cellStyle name="Currency 3 2 4 4 4 2" xfId="22732" xr:uid="{95E66914-171E-4BC9-9086-919592836ED2}"/>
    <cellStyle name="Currency 3 2 4 4 5" xfId="18521" xr:uid="{9E9D5615-E708-4B13-87FE-F35E9F154228}"/>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9B2AF20B-055C-4A78-A4B9-53362CC536D3}"/>
    <cellStyle name="Currency 3 2 4 5 2 2 3" xfId="29501" xr:uid="{FB2C650E-3C5A-4FCC-9B21-FDF650A90E07}"/>
    <cellStyle name="Currency 3 2 4 5 2 3" xfId="12650" xr:uid="{62FA666F-8A9D-4F55-8774-D2418CB00000}"/>
    <cellStyle name="Currency 3 2 4 5 2 3 2" xfId="25290" xr:uid="{9A41A251-0157-422A-A308-60537D781D0B}"/>
    <cellStyle name="Currency 3 2 4 5 2 4" xfId="21079" xr:uid="{17593336-4D25-40B2-807B-AE259984F952}"/>
    <cellStyle name="Currency 3 2 4 5 3" xfId="6294" xr:uid="{00000000-0005-0000-0000-00003C0B0000}"/>
    <cellStyle name="Currency 3 2 4 5 3 2" xfId="14723" xr:uid="{20426CE6-7BD2-4239-9518-E7E48A969657}"/>
    <cellStyle name="Currency 3 2 4 5 3 3" xfId="27356" xr:uid="{F32A8523-043A-4B4C-8E13-C9EEFF1F3E3B}"/>
    <cellStyle name="Currency 3 2 4 5 4" xfId="10505" xr:uid="{F736F158-1C74-4EB1-9B4F-09387AEF205A}"/>
    <cellStyle name="Currency 3 2 4 5 4 2" xfId="23145" xr:uid="{39A0EC92-EC07-49E7-84AC-C75367B15F21}"/>
    <cellStyle name="Currency 3 2 4 5 5" xfId="18934" xr:uid="{EC065576-93D8-4C09-85A0-B8D4328F09C2}"/>
    <cellStyle name="Currency 3 2 4 6" xfId="2421" xr:uid="{00000000-0005-0000-0000-00003D0B0000}"/>
    <cellStyle name="Currency 3 2 4 6 2" xfId="6707" xr:uid="{00000000-0005-0000-0000-00003E0B0000}"/>
    <cellStyle name="Currency 3 2 4 6 2 2" xfId="15136" xr:uid="{66E4AAC7-C3B8-4C62-A571-457ABBB438D1}"/>
    <cellStyle name="Currency 3 2 4 6 2 3" xfId="27769" xr:uid="{1C99A94A-EF03-40B3-87DD-20FBEF00598B}"/>
    <cellStyle name="Currency 3 2 4 6 3" xfId="10918" xr:uid="{8F80BB8C-87B3-4FB8-87EF-492C7C60072C}"/>
    <cellStyle name="Currency 3 2 4 6 3 2" xfId="23558" xr:uid="{587B77FB-D40E-43EF-8D79-0E3718BCF380}"/>
    <cellStyle name="Currency 3 2 4 6 4" xfId="19347" xr:uid="{37A2F237-716A-4E29-B6AE-F43B51171658}"/>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EFB89FBB-1AE6-48BD-8B2A-577255566ACC}"/>
    <cellStyle name="Currency 3 2 4 8 2 3" xfId="28086" xr:uid="{18CDF361-7876-4A82-8F78-DD530CB3C67B}"/>
    <cellStyle name="Currency 3 2 4 8 3" xfId="11235" xr:uid="{AC0B2E5C-BDDD-448A-A63E-EEAE13D81A45}"/>
    <cellStyle name="Currency 3 2 4 8 3 2" xfId="23875" xr:uid="{74A13EA9-D0B8-4886-9EB8-54E5E3450910}"/>
    <cellStyle name="Currency 3 2 4 8 4" xfId="19664" xr:uid="{AFB0622E-9558-48C3-8082-D45A89A73383}"/>
    <cellStyle name="Currency 3 2 4 9" xfId="4641" xr:uid="{00000000-0005-0000-0000-0000420B0000}"/>
    <cellStyle name="Currency 3 2 4 9 2" xfId="13070" xr:uid="{28A9E293-50F5-42B7-B692-8811E1D5A90C}"/>
    <cellStyle name="Currency 3 2 4 9 3" xfId="25703" xr:uid="{C5207CAD-200B-4B38-B365-B48FEF80D4B4}"/>
    <cellStyle name="Currency 3 2 5" xfId="185" xr:uid="{00000000-0005-0000-0000-0000430B0000}"/>
    <cellStyle name="Currency 3 2 5 10" xfId="8853" xr:uid="{1F9257F3-BDE8-4B41-B1C7-2432B0D520F3}"/>
    <cellStyle name="Currency 3 2 5 10 2" xfId="21493" xr:uid="{101D335D-543F-490A-9589-6139AF3419C0}"/>
    <cellStyle name="Currency 3 2 5 11" xfId="17282" xr:uid="{752818C8-99B6-4935-A6C8-6FA48AD9ED67}"/>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C13109C7-C8CA-45DA-A1CB-0DA29FD26A8C}"/>
    <cellStyle name="Currency 3 2 5 2 2 2 3" xfId="28263" xr:uid="{4A2C1271-01D6-4768-9C80-BB4953418A26}"/>
    <cellStyle name="Currency 3 2 5 2 2 3" xfId="11412" xr:uid="{2224A215-1BC1-403D-8996-FFE7DB7A3A63}"/>
    <cellStyle name="Currency 3 2 5 2 2 3 2" xfId="24052" xr:uid="{731F52DF-5D60-46E5-999F-CB09901F4976}"/>
    <cellStyle name="Currency 3 2 5 2 2 4" xfId="19841" xr:uid="{703EDE92-8F7A-4393-BB54-278ED40E983B}"/>
    <cellStyle name="Currency 3 2 5 2 3" xfId="5056" xr:uid="{00000000-0005-0000-0000-0000470B0000}"/>
    <cellStyle name="Currency 3 2 5 2 3 2" xfId="13485" xr:uid="{7C0DAEBA-9CAB-45A4-932D-2ED3F6B7B710}"/>
    <cellStyle name="Currency 3 2 5 2 3 3" xfId="26118" xr:uid="{3D758030-9A29-4B83-AE11-D074BE54C62F}"/>
    <cellStyle name="Currency 3 2 5 2 4" xfId="9267" xr:uid="{3F9750F9-3273-4CEC-A9A4-757AB0E724DF}"/>
    <cellStyle name="Currency 3 2 5 2 4 2" xfId="21907" xr:uid="{3B0D29B9-2911-4EA8-B141-B201F3CBF311}"/>
    <cellStyle name="Currency 3 2 5 2 5" xfId="17696" xr:uid="{21B975F4-1560-4F58-B2E2-969A91AC3AFB}"/>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66F94F3D-AB9B-477F-95F4-3CA2FD99CBCA}"/>
    <cellStyle name="Currency 3 2 5 3 2 2 3" xfId="28676" xr:uid="{B2CC0989-8C37-4AD4-91EB-3E60808B2A57}"/>
    <cellStyle name="Currency 3 2 5 3 2 3" xfId="11825" xr:uid="{05307BC2-74BA-451E-97D6-D49CF77082B7}"/>
    <cellStyle name="Currency 3 2 5 3 2 3 2" xfId="24465" xr:uid="{9F8937C8-15E4-48E4-856A-3DB71A2D6E27}"/>
    <cellStyle name="Currency 3 2 5 3 2 4" xfId="20254" xr:uid="{5445259C-7CF9-4984-B704-AB22E67B6D03}"/>
    <cellStyle name="Currency 3 2 5 3 3" xfId="5469" xr:uid="{00000000-0005-0000-0000-00004B0B0000}"/>
    <cellStyle name="Currency 3 2 5 3 3 2" xfId="13898" xr:uid="{8D2E85EB-B16F-4708-A6B3-9A6194DA4A4E}"/>
    <cellStyle name="Currency 3 2 5 3 3 3" xfId="26531" xr:uid="{D7AF8819-37A5-42D3-9BC0-663A8A147A70}"/>
    <cellStyle name="Currency 3 2 5 3 4" xfId="9680" xr:uid="{3855BF37-3CAF-4F60-B50F-F2A060799F0E}"/>
    <cellStyle name="Currency 3 2 5 3 4 2" xfId="22320" xr:uid="{7080CE1D-DBDF-4A9F-88BD-3DB46E0BCE94}"/>
    <cellStyle name="Currency 3 2 5 3 5" xfId="18109" xr:uid="{B7F9A241-4E7E-4197-97FD-5EAA11B79651}"/>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5EAD6CA5-5BA5-4690-A5E7-2C9C404E2C4B}"/>
    <cellStyle name="Currency 3 2 5 4 2 2 3" xfId="29089" xr:uid="{0FA5A991-E7F2-43F4-BEC8-634B71BDCE4C}"/>
    <cellStyle name="Currency 3 2 5 4 2 3" xfId="12238" xr:uid="{8D0A18CF-0557-434B-8B3D-39147384C541}"/>
    <cellStyle name="Currency 3 2 5 4 2 3 2" xfId="24878" xr:uid="{5905C512-5150-4EC2-8023-FCBB543AF007}"/>
    <cellStyle name="Currency 3 2 5 4 2 4" xfId="20667" xr:uid="{AA46329D-F055-4AF1-9D7E-F4708D3E0246}"/>
    <cellStyle name="Currency 3 2 5 4 3" xfId="5882" xr:uid="{00000000-0005-0000-0000-00004F0B0000}"/>
    <cellStyle name="Currency 3 2 5 4 3 2" xfId="14311" xr:uid="{955B50B2-C346-462A-BA8E-D3BAB4CC1D59}"/>
    <cellStyle name="Currency 3 2 5 4 3 3" xfId="26944" xr:uid="{76D6E2C4-36AE-489E-B007-D1473FAF960B}"/>
    <cellStyle name="Currency 3 2 5 4 4" xfId="10093" xr:uid="{52FAE206-9431-4757-87C9-10E4A310AD17}"/>
    <cellStyle name="Currency 3 2 5 4 4 2" xfId="22733" xr:uid="{E5AC8B69-8A30-4ED2-9F49-03B704CAC490}"/>
    <cellStyle name="Currency 3 2 5 4 5" xfId="18522" xr:uid="{37FB6DAF-FBEE-47B6-B846-B5A7BCBAD89C}"/>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AC725DDE-8E11-483B-ACE7-DC434E117F6C}"/>
    <cellStyle name="Currency 3 2 5 5 2 2 3" xfId="29502" xr:uid="{273BED5F-44A2-4AE8-BC6F-3908BB3527DD}"/>
    <cellStyle name="Currency 3 2 5 5 2 3" xfId="12651" xr:uid="{F31931B9-9633-4AD1-BD2C-151BE0CAABBD}"/>
    <cellStyle name="Currency 3 2 5 5 2 3 2" xfId="25291" xr:uid="{A4501FA9-E0FA-4A82-8C38-F27271E41FFE}"/>
    <cellStyle name="Currency 3 2 5 5 2 4" xfId="21080" xr:uid="{72BE6982-087A-4BF3-8FB3-FDE5F12B5788}"/>
    <cellStyle name="Currency 3 2 5 5 3" xfId="6295" xr:uid="{00000000-0005-0000-0000-0000530B0000}"/>
    <cellStyle name="Currency 3 2 5 5 3 2" xfId="14724" xr:uid="{EDA5BBF1-AACF-4CC8-A4AB-1C9C55E1B490}"/>
    <cellStyle name="Currency 3 2 5 5 3 3" xfId="27357" xr:uid="{EBC2F4C8-56FF-46B8-9842-7C0F03D3CEB4}"/>
    <cellStyle name="Currency 3 2 5 5 4" xfId="10506" xr:uid="{D270464A-46B0-423F-86D5-9F94FC3B34CE}"/>
    <cellStyle name="Currency 3 2 5 5 4 2" xfId="23146" xr:uid="{E1B332DD-5DCD-4D93-B622-06CB20DAD462}"/>
    <cellStyle name="Currency 3 2 5 5 5" xfId="18935" xr:uid="{70F48FD2-252B-4251-BA70-9A6BC9E9A029}"/>
    <cellStyle name="Currency 3 2 5 6" xfId="2422" xr:uid="{00000000-0005-0000-0000-0000540B0000}"/>
    <cellStyle name="Currency 3 2 5 6 2" xfId="6708" xr:uid="{00000000-0005-0000-0000-0000550B0000}"/>
    <cellStyle name="Currency 3 2 5 6 2 2" xfId="15137" xr:uid="{6C767D9F-7ED4-4A93-A1BA-EED6708C7997}"/>
    <cellStyle name="Currency 3 2 5 6 2 3" xfId="27770" xr:uid="{B257876E-7047-4025-AB4C-33B25CB01273}"/>
    <cellStyle name="Currency 3 2 5 6 3" xfId="10919" xr:uid="{75350163-5644-4109-84A0-1B80A287EE84}"/>
    <cellStyle name="Currency 3 2 5 6 3 2" xfId="23559" xr:uid="{FA1624EF-6348-4262-87FB-AFD6C168BA5D}"/>
    <cellStyle name="Currency 3 2 5 6 4" xfId="19348" xr:uid="{FA8EA5A5-9768-4641-A633-686F33D1AFB4}"/>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6E6468EC-0B4D-4A99-AF52-189DA12E3BCB}"/>
    <cellStyle name="Currency 3 2 5 8 2 3" xfId="28087" xr:uid="{09D27F6F-3D38-4B53-B8F3-37654356C247}"/>
    <cellStyle name="Currency 3 2 5 8 3" xfId="11236" xr:uid="{80D97E42-19DE-4B5A-9515-54C265342C6D}"/>
    <cellStyle name="Currency 3 2 5 8 3 2" xfId="23876" xr:uid="{DC1FCCB8-B7E0-4651-8D3D-9D07B0B2B1D8}"/>
    <cellStyle name="Currency 3 2 5 8 4" xfId="19665" xr:uid="{E7FE1DCF-A127-4313-9E4B-A04D4EA85093}"/>
    <cellStyle name="Currency 3 2 5 9" xfId="4642" xr:uid="{00000000-0005-0000-0000-0000590B0000}"/>
    <cellStyle name="Currency 3 2 5 9 2" xfId="13071" xr:uid="{C60B70AF-D490-428C-A971-C73562B99638}"/>
    <cellStyle name="Currency 3 2 5 9 3" xfId="25704" xr:uid="{90BC1EB2-48E5-4374-B03F-2E8BEC450615}"/>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4C659168-BEC9-46F6-84A2-4430FE9E085D}"/>
    <cellStyle name="Currency 5 2 2 2 10 2 3" xfId="28088" xr:uid="{DD176061-352F-4AFE-9BF6-521D2173072C}"/>
    <cellStyle name="Currency 5 2 2 2 10 3" xfId="11237" xr:uid="{DACA4641-D1C3-46A8-827E-DE36C8F60EA7}"/>
    <cellStyle name="Currency 5 2 2 2 10 3 2" xfId="23877" xr:uid="{10FDA2B0-C987-4D21-B984-1E1DBA041E21}"/>
    <cellStyle name="Currency 5 2 2 2 10 4" xfId="19666" xr:uid="{512D4738-B592-40CD-B68C-C65B38FB78CC}"/>
    <cellStyle name="Currency 5 2 2 2 11" xfId="4643" xr:uid="{00000000-0005-0000-0000-00006C0B0000}"/>
    <cellStyle name="Currency 5 2 2 2 11 2" xfId="13072" xr:uid="{4578B257-F1A9-4DB0-A573-EE29427C00ED}"/>
    <cellStyle name="Currency 5 2 2 2 11 3" xfId="25705" xr:uid="{CCAC533A-72C8-4839-BDBF-2FB71EBC637D}"/>
    <cellStyle name="Currency 5 2 2 2 12" xfId="8854" xr:uid="{2838E105-B083-481C-90A2-5CAC3AD45127}"/>
    <cellStyle name="Currency 5 2 2 2 12 2" xfId="21494" xr:uid="{ED0AC385-1636-4B80-A529-EAB487BF9184}"/>
    <cellStyle name="Currency 5 2 2 2 13" xfId="17283" xr:uid="{20AF4EAB-0B53-44A8-B499-D5E4ADC9F6CC}"/>
    <cellStyle name="Currency 5 2 2 2 2" xfId="197" xr:uid="{00000000-0005-0000-0000-00006D0B0000}"/>
    <cellStyle name="Currency 5 2 2 2 2 10" xfId="4644" xr:uid="{00000000-0005-0000-0000-00006E0B0000}"/>
    <cellStyle name="Currency 5 2 2 2 2 10 2" xfId="13073" xr:uid="{CD5D985E-6180-4DFD-B224-9EA74F28DF42}"/>
    <cellStyle name="Currency 5 2 2 2 2 10 3" xfId="25706" xr:uid="{55589A7A-7FE9-4AA3-B7BA-AEE4B1F612C6}"/>
    <cellStyle name="Currency 5 2 2 2 2 11" xfId="8855" xr:uid="{75554B60-240D-44D2-BE44-8E125BB37CDA}"/>
    <cellStyle name="Currency 5 2 2 2 2 11 2" xfId="21495" xr:uid="{0A857D08-4FCE-4A67-B023-B5005645429C}"/>
    <cellStyle name="Currency 5 2 2 2 2 12" xfId="17284" xr:uid="{3C00D52E-DB97-4A0D-AD34-5916FD224989}"/>
    <cellStyle name="Currency 5 2 2 2 2 2" xfId="198" xr:uid="{00000000-0005-0000-0000-00006F0B0000}"/>
    <cellStyle name="Currency 5 2 2 2 2 2 10" xfId="8856" xr:uid="{8A67A48B-23A6-4D53-A82C-7F10AE64AF8C}"/>
    <cellStyle name="Currency 5 2 2 2 2 2 10 2" xfId="21496" xr:uid="{6DD50B5D-F2A9-4999-AA99-34F50E841029}"/>
    <cellStyle name="Currency 5 2 2 2 2 2 11" xfId="17285" xr:uid="{202DB2FC-8472-414C-B6FD-DFECC8FD6BDF}"/>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D3CDF705-9C20-4B9A-8AC6-1A4DE540900F}"/>
    <cellStyle name="Currency 5 2 2 2 2 2 2 2 2 3" xfId="28266" xr:uid="{2CE4574B-10A7-4D41-8C16-15D65ED74CC6}"/>
    <cellStyle name="Currency 5 2 2 2 2 2 2 2 3" xfId="11415" xr:uid="{77229A2B-3929-402C-A7C0-29477683627A}"/>
    <cellStyle name="Currency 5 2 2 2 2 2 2 2 3 2" xfId="24055" xr:uid="{BF1D7474-180E-4A9D-BC82-3CC1D90EB9A8}"/>
    <cellStyle name="Currency 5 2 2 2 2 2 2 2 4" xfId="19844" xr:uid="{75A56FA1-B226-494B-986E-664DF21C0662}"/>
    <cellStyle name="Currency 5 2 2 2 2 2 2 3" xfId="5059" xr:uid="{00000000-0005-0000-0000-0000730B0000}"/>
    <cellStyle name="Currency 5 2 2 2 2 2 2 3 2" xfId="13488" xr:uid="{55545163-441D-4548-A600-E205F911F13B}"/>
    <cellStyle name="Currency 5 2 2 2 2 2 2 3 3" xfId="26121" xr:uid="{4ECB8F90-07DC-434E-8F83-0A59F8214D8E}"/>
    <cellStyle name="Currency 5 2 2 2 2 2 2 4" xfId="9270" xr:uid="{C4B91D2F-D162-4DAD-8E02-5B906DA074AD}"/>
    <cellStyle name="Currency 5 2 2 2 2 2 2 4 2" xfId="21910" xr:uid="{3BCF159F-D2A6-405E-83C6-FCFEEA191110}"/>
    <cellStyle name="Currency 5 2 2 2 2 2 2 5" xfId="17699" xr:uid="{1982A624-761B-47B7-A2CD-43B968FA3532}"/>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24C86E83-AF8E-4020-AF1F-DDF74FD7C240}"/>
    <cellStyle name="Currency 5 2 2 2 2 2 3 2 2 3" xfId="28679" xr:uid="{97F45EB8-6959-42E5-8300-C1E8A7A34A7C}"/>
    <cellStyle name="Currency 5 2 2 2 2 2 3 2 3" xfId="11828" xr:uid="{8872BDAC-087C-49CC-BF57-71065A8C82D0}"/>
    <cellStyle name="Currency 5 2 2 2 2 2 3 2 3 2" xfId="24468" xr:uid="{4AA29C77-8AEE-4B1F-86E6-B2CC5AB007FF}"/>
    <cellStyle name="Currency 5 2 2 2 2 2 3 2 4" xfId="20257" xr:uid="{83BFB5C1-E595-4C84-996E-A75661CDC739}"/>
    <cellStyle name="Currency 5 2 2 2 2 2 3 3" xfId="5472" xr:uid="{00000000-0005-0000-0000-0000770B0000}"/>
    <cellStyle name="Currency 5 2 2 2 2 2 3 3 2" xfId="13901" xr:uid="{0C605132-6584-4446-901C-44C46E7E05C0}"/>
    <cellStyle name="Currency 5 2 2 2 2 2 3 3 3" xfId="26534" xr:uid="{8FA7B929-DF28-497E-B7AC-6EFC674CD475}"/>
    <cellStyle name="Currency 5 2 2 2 2 2 3 4" xfId="9683" xr:uid="{3DF92F98-E491-4028-B0D7-6B93EC494368}"/>
    <cellStyle name="Currency 5 2 2 2 2 2 3 4 2" xfId="22323" xr:uid="{9D6703F9-0C6E-46DD-8AD3-3C3B3820FB0D}"/>
    <cellStyle name="Currency 5 2 2 2 2 2 3 5" xfId="18112" xr:uid="{EA627E83-9F38-4DBE-A770-AC7A3BEAB122}"/>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1B6C443B-3639-46A9-8E85-CAEBADB45A19}"/>
    <cellStyle name="Currency 5 2 2 2 2 2 4 2 2 3" xfId="29092" xr:uid="{9424336D-FE71-4138-8A49-529736AFBD6C}"/>
    <cellStyle name="Currency 5 2 2 2 2 2 4 2 3" xfId="12241" xr:uid="{473B3F0C-8CFF-471A-9E93-AA11784D4CCB}"/>
    <cellStyle name="Currency 5 2 2 2 2 2 4 2 3 2" xfId="24881" xr:uid="{770070DA-9851-4A30-BB28-AF2A3407715D}"/>
    <cellStyle name="Currency 5 2 2 2 2 2 4 2 4" xfId="20670" xr:uid="{E83B15FA-E5D2-4AE3-B0E6-AF640A92ECB8}"/>
    <cellStyle name="Currency 5 2 2 2 2 2 4 3" xfId="5885" xr:uid="{00000000-0005-0000-0000-00007B0B0000}"/>
    <cellStyle name="Currency 5 2 2 2 2 2 4 3 2" xfId="14314" xr:uid="{3960AA95-8214-4E29-AE3D-A1F3E40008A7}"/>
    <cellStyle name="Currency 5 2 2 2 2 2 4 3 3" xfId="26947" xr:uid="{D71AAD50-7AA1-465D-891C-F72E6B7F6CBA}"/>
    <cellStyle name="Currency 5 2 2 2 2 2 4 4" xfId="10096" xr:uid="{8A61C8F0-99F6-42AB-A86C-5683454BD01D}"/>
    <cellStyle name="Currency 5 2 2 2 2 2 4 4 2" xfId="22736" xr:uid="{13D50D00-B328-4F6A-90F6-3F42AD3D4C3F}"/>
    <cellStyle name="Currency 5 2 2 2 2 2 4 5" xfId="18525" xr:uid="{C7362B14-124D-4D37-8AC2-18BCBAA5CDD6}"/>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7BE28D5E-0092-4008-A481-C05F3D8C285D}"/>
    <cellStyle name="Currency 5 2 2 2 2 2 5 2 2 3" xfId="29505" xr:uid="{C1B7CA5A-6A57-42F6-BA8B-18762A627012}"/>
    <cellStyle name="Currency 5 2 2 2 2 2 5 2 3" xfId="12654" xr:uid="{A45EDF8C-5318-4BCF-9F3D-E5C6421A8E2A}"/>
    <cellStyle name="Currency 5 2 2 2 2 2 5 2 3 2" xfId="25294" xr:uid="{AA174BE2-91DA-4BDC-83C3-148D4844AE2E}"/>
    <cellStyle name="Currency 5 2 2 2 2 2 5 2 4" xfId="21083" xr:uid="{04C28E85-BD36-41B9-8144-83AE97FF8074}"/>
    <cellStyle name="Currency 5 2 2 2 2 2 5 3" xfId="6298" xr:uid="{00000000-0005-0000-0000-00007F0B0000}"/>
    <cellStyle name="Currency 5 2 2 2 2 2 5 3 2" xfId="14727" xr:uid="{A8EE6354-F905-47B1-A61D-75D0970EFE52}"/>
    <cellStyle name="Currency 5 2 2 2 2 2 5 3 3" xfId="27360" xr:uid="{3DCA3C50-F7BD-4E60-A1E1-410DB76BB86B}"/>
    <cellStyle name="Currency 5 2 2 2 2 2 5 4" xfId="10509" xr:uid="{10223E68-1D3F-4871-BBAF-F1BD53F0DE6F}"/>
    <cellStyle name="Currency 5 2 2 2 2 2 5 4 2" xfId="23149" xr:uid="{2205AD3B-4EA6-44D7-BD4A-7DE894E22E46}"/>
    <cellStyle name="Currency 5 2 2 2 2 2 5 5" xfId="18938" xr:uid="{CCEF9BBE-5DD9-4B6E-8ED6-20588F3FD8E3}"/>
    <cellStyle name="Currency 5 2 2 2 2 2 6" xfId="2425" xr:uid="{00000000-0005-0000-0000-0000800B0000}"/>
    <cellStyle name="Currency 5 2 2 2 2 2 6 2" xfId="6711" xr:uid="{00000000-0005-0000-0000-0000810B0000}"/>
    <cellStyle name="Currency 5 2 2 2 2 2 6 2 2" xfId="15140" xr:uid="{FC77BC43-9874-4718-829F-1D6697C996DF}"/>
    <cellStyle name="Currency 5 2 2 2 2 2 6 2 3" xfId="27773" xr:uid="{2065B097-C263-47ED-AACC-99AC84F8332C}"/>
    <cellStyle name="Currency 5 2 2 2 2 2 6 3" xfId="10922" xr:uid="{7640CBE2-4C2E-42B1-87A8-F83E55D59D00}"/>
    <cellStyle name="Currency 5 2 2 2 2 2 6 3 2" xfId="23562" xr:uid="{29278A45-DBE4-4D69-805D-0D18781841B2}"/>
    <cellStyle name="Currency 5 2 2 2 2 2 6 4" xfId="19351" xr:uid="{27984CF9-84E4-43D5-AA65-834BD6AF6E5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E747627B-05C3-4556-9AFB-99F46A1D9130}"/>
    <cellStyle name="Currency 5 2 2 2 2 2 8 2 3" xfId="28090" xr:uid="{F1C6D51C-855C-473A-97D6-E5A4A34D2761}"/>
    <cellStyle name="Currency 5 2 2 2 2 2 8 3" xfId="11239" xr:uid="{F0FB629D-B99E-49CD-89C1-E2753D9783B3}"/>
    <cellStyle name="Currency 5 2 2 2 2 2 8 3 2" xfId="23879" xr:uid="{D918E9EE-E5CD-42BA-810C-530C1C616942}"/>
    <cellStyle name="Currency 5 2 2 2 2 2 8 4" xfId="19668" xr:uid="{45507D55-559A-4800-AD30-21FA174502F0}"/>
    <cellStyle name="Currency 5 2 2 2 2 2 9" xfId="4645" xr:uid="{00000000-0005-0000-0000-0000850B0000}"/>
    <cellStyle name="Currency 5 2 2 2 2 2 9 2" xfId="13074" xr:uid="{2D2CC835-325E-4A63-9AD9-5D76B478212F}"/>
    <cellStyle name="Currency 5 2 2 2 2 2 9 3" xfId="25707" xr:uid="{CC7B2E9D-259E-4B5F-8519-446A62A6CF61}"/>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AF60A5B9-5D9E-48D7-9F10-194E68B084DF}"/>
    <cellStyle name="Currency 5 2 2 2 2 3 2 2 3" xfId="28265" xr:uid="{74974E33-FB93-4458-AA15-70DDC1222AB8}"/>
    <cellStyle name="Currency 5 2 2 2 2 3 2 3" xfId="11414" xr:uid="{CB63CB76-C96D-4944-A362-391274DD6174}"/>
    <cellStyle name="Currency 5 2 2 2 2 3 2 3 2" xfId="24054" xr:uid="{7FA7E53E-C663-43C8-9112-15FF2FC0ABAA}"/>
    <cellStyle name="Currency 5 2 2 2 2 3 2 4" xfId="19843" xr:uid="{4AC89662-E8A7-4293-9B0D-43380D770C2A}"/>
    <cellStyle name="Currency 5 2 2 2 2 3 3" xfId="5058" xr:uid="{00000000-0005-0000-0000-0000890B0000}"/>
    <cellStyle name="Currency 5 2 2 2 2 3 3 2" xfId="13487" xr:uid="{82D99BBE-858D-4A45-9708-289C06AAA69D}"/>
    <cellStyle name="Currency 5 2 2 2 2 3 3 3" xfId="26120" xr:uid="{5497436A-6052-45B3-BDE4-7A06B88ABACF}"/>
    <cellStyle name="Currency 5 2 2 2 2 3 4" xfId="9269" xr:uid="{4D0C294C-3B56-405F-AB28-8E99213FE1EA}"/>
    <cellStyle name="Currency 5 2 2 2 2 3 4 2" xfId="21909" xr:uid="{2DCB3728-D0A9-442F-9ABF-A48FF0B32F74}"/>
    <cellStyle name="Currency 5 2 2 2 2 3 5" xfId="17698" xr:uid="{00FAD52F-E552-4983-9552-6A26F45D7704}"/>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159A1E2C-6BEF-4F7C-84CA-40095C9E544A}"/>
    <cellStyle name="Currency 5 2 2 2 2 4 2 2 3" xfId="28678" xr:uid="{46771788-2A58-4DC8-806B-587E0880A0FA}"/>
    <cellStyle name="Currency 5 2 2 2 2 4 2 3" xfId="11827" xr:uid="{25EA9327-3015-4FE4-AC1D-07E87CB8EED5}"/>
    <cellStyle name="Currency 5 2 2 2 2 4 2 3 2" xfId="24467" xr:uid="{EEA68E3B-1D0E-41CF-81F0-80C8CE87E30B}"/>
    <cellStyle name="Currency 5 2 2 2 2 4 2 4" xfId="20256" xr:uid="{70D72E75-59F3-4128-A305-1F9F8770C3B6}"/>
    <cellStyle name="Currency 5 2 2 2 2 4 3" xfId="5471" xr:uid="{00000000-0005-0000-0000-00008D0B0000}"/>
    <cellStyle name="Currency 5 2 2 2 2 4 3 2" xfId="13900" xr:uid="{2D2D9780-2C05-439E-8B0A-537DB5E82173}"/>
    <cellStyle name="Currency 5 2 2 2 2 4 3 3" xfId="26533" xr:uid="{967C6A4B-88B2-43A0-9A80-F460AEAECD28}"/>
    <cellStyle name="Currency 5 2 2 2 2 4 4" xfId="9682" xr:uid="{B6036EB6-5BFA-4D22-89EA-091DD8E4E91A}"/>
    <cellStyle name="Currency 5 2 2 2 2 4 4 2" xfId="22322" xr:uid="{902410C5-58F9-4823-8F9E-EC906ECEF395}"/>
    <cellStyle name="Currency 5 2 2 2 2 4 5" xfId="18111" xr:uid="{B6474040-9C57-422E-9C0D-50B92E125A13}"/>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F0713D16-0872-444B-AA79-1A8FB8EABA49}"/>
    <cellStyle name="Currency 5 2 2 2 2 5 2 2 3" xfId="29091" xr:uid="{2BE262DD-3682-4788-BC6B-F451BE81C635}"/>
    <cellStyle name="Currency 5 2 2 2 2 5 2 3" xfId="12240" xr:uid="{CB31CD9B-47FE-43F9-AA94-440CFFD86989}"/>
    <cellStyle name="Currency 5 2 2 2 2 5 2 3 2" xfId="24880" xr:uid="{2FDDE228-006E-44C3-B9F2-CE77EFB90FAD}"/>
    <cellStyle name="Currency 5 2 2 2 2 5 2 4" xfId="20669" xr:uid="{3F11DD18-3BFD-42A0-A727-EF2E0204DECB}"/>
    <cellStyle name="Currency 5 2 2 2 2 5 3" xfId="5884" xr:uid="{00000000-0005-0000-0000-0000910B0000}"/>
    <cellStyle name="Currency 5 2 2 2 2 5 3 2" xfId="14313" xr:uid="{67336A09-F299-4918-A497-08E50BB222CE}"/>
    <cellStyle name="Currency 5 2 2 2 2 5 3 3" xfId="26946" xr:uid="{A47B238D-3FCC-485F-B22F-7A2CA42F14AD}"/>
    <cellStyle name="Currency 5 2 2 2 2 5 4" xfId="10095" xr:uid="{78650268-770D-46A6-A967-82F34B35ABDA}"/>
    <cellStyle name="Currency 5 2 2 2 2 5 4 2" xfId="22735" xr:uid="{D30306B4-9608-4CD0-B249-8DE52810EB5B}"/>
    <cellStyle name="Currency 5 2 2 2 2 5 5" xfId="18524" xr:uid="{D1775094-89F1-4E6E-9B7A-4905CDA04D2D}"/>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ED005521-EF25-4963-93CB-923CC0FACB6B}"/>
    <cellStyle name="Currency 5 2 2 2 2 6 2 2 3" xfId="29504" xr:uid="{C630881D-ECD2-4A79-93CE-248FFDC6271D}"/>
    <cellStyle name="Currency 5 2 2 2 2 6 2 3" xfId="12653" xr:uid="{D6A1BF5F-9425-4BAF-9BE7-E0AF826F4347}"/>
    <cellStyle name="Currency 5 2 2 2 2 6 2 3 2" xfId="25293" xr:uid="{7BE98009-2B06-415D-90C5-DC81D6118D8B}"/>
    <cellStyle name="Currency 5 2 2 2 2 6 2 4" xfId="21082" xr:uid="{4D3A4B22-97DB-4698-975D-200E72ECF818}"/>
    <cellStyle name="Currency 5 2 2 2 2 6 3" xfId="6297" xr:uid="{00000000-0005-0000-0000-0000950B0000}"/>
    <cellStyle name="Currency 5 2 2 2 2 6 3 2" xfId="14726" xr:uid="{8E3F7428-3558-48B1-BEC2-10967E0F99F1}"/>
    <cellStyle name="Currency 5 2 2 2 2 6 3 3" xfId="27359" xr:uid="{A6AA4218-4D1D-4FCC-93AD-71740C62A93E}"/>
    <cellStyle name="Currency 5 2 2 2 2 6 4" xfId="10508" xr:uid="{4E15F2E8-8BE5-4CD3-A38B-325FE550C6F7}"/>
    <cellStyle name="Currency 5 2 2 2 2 6 4 2" xfId="23148" xr:uid="{7FEB88F2-468E-48A4-B3D2-CF6B426B815E}"/>
    <cellStyle name="Currency 5 2 2 2 2 6 5" xfId="18937" xr:uid="{CA1990C5-DB40-4443-8FBF-BBD571713248}"/>
    <cellStyle name="Currency 5 2 2 2 2 7" xfId="2424" xr:uid="{00000000-0005-0000-0000-0000960B0000}"/>
    <cellStyle name="Currency 5 2 2 2 2 7 2" xfId="6710" xr:uid="{00000000-0005-0000-0000-0000970B0000}"/>
    <cellStyle name="Currency 5 2 2 2 2 7 2 2" xfId="15139" xr:uid="{128E9CBE-74D0-4CC4-839C-F796A1BFD531}"/>
    <cellStyle name="Currency 5 2 2 2 2 7 2 3" xfId="27772" xr:uid="{93BFDEBB-7C45-4ECE-ACFC-36EF00314856}"/>
    <cellStyle name="Currency 5 2 2 2 2 7 3" xfId="10921" xr:uid="{DE5370E6-F4A2-4361-856B-A579FB9F66E7}"/>
    <cellStyle name="Currency 5 2 2 2 2 7 3 2" xfId="23561" xr:uid="{A6B224BA-133A-411D-9469-FADFC7574344}"/>
    <cellStyle name="Currency 5 2 2 2 2 7 4" xfId="19350" xr:uid="{26B7EF55-D2A7-4CFA-BE78-D191D71D133D}"/>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22DE4552-8199-49B0-BFD0-2254A382A50F}"/>
    <cellStyle name="Currency 5 2 2 2 2 9 2 3" xfId="28089" xr:uid="{38EADFCD-35F0-4388-A5F4-B2B104311B09}"/>
    <cellStyle name="Currency 5 2 2 2 2 9 3" xfId="11238" xr:uid="{870D218F-3947-473B-A3AC-630101483EA5}"/>
    <cellStyle name="Currency 5 2 2 2 2 9 3 2" xfId="23878" xr:uid="{EE26642F-C980-4CFC-B0E6-3D74B011F428}"/>
    <cellStyle name="Currency 5 2 2 2 2 9 4" xfId="19667" xr:uid="{25F73CE1-D721-4F20-805F-B8D44C1873AE}"/>
    <cellStyle name="Currency 5 2 2 2 3" xfId="199" xr:uid="{00000000-0005-0000-0000-00009B0B0000}"/>
    <cellStyle name="Currency 5 2 2 2 3 10" xfId="8857" xr:uid="{AE0B7F4B-0E5C-4898-A683-06BB4B023D9C}"/>
    <cellStyle name="Currency 5 2 2 2 3 10 2" xfId="21497" xr:uid="{53408673-1714-4C8D-BA26-62D7CB020AD2}"/>
    <cellStyle name="Currency 5 2 2 2 3 11" xfId="17286" xr:uid="{38290290-F296-4E10-A54D-D2ABA9BF2443}"/>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61B90A7E-BEE3-467F-9D3D-10BA022A703F}"/>
    <cellStyle name="Currency 5 2 2 2 3 2 2 2 3" xfId="28267" xr:uid="{EC4F5DC1-90B6-4867-B807-A6DD67F45F05}"/>
    <cellStyle name="Currency 5 2 2 2 3 2 2 3" xfId="11416" xr:uid="{EA0185A8-EC0A-464E-A848-09F0033D4FF6}"/>
    <cellStyle name="Currency 5 2 2 2 3 2 2 3 2" xfId="24056" xr:uid="{53A015DD-392C-42B7-849D-0B9F3D08AF42}"/>
    <cellStyle name="Currency 5 2 2 2 3 2 2 4" xfId="19845" xr:uid="{670981A5-082A-42EA-BC9D-428DF15E45B4}"/>
    <cellStyle name="Currency 5 2 2 2 3 2 3" xfId="5060" xr:uid="{00000000-0005-0000-0000-00009F0B0000}"/>
    <cellStyle name="Currency 5 2 2 2 3 2 3 2" xfId="13489" xr:uid="{9639C121-E88A-43AA-8D62-EB3848711C39}"/>
    <cellStyle name="Currency 5 2 2 2 3 2 3 3" xfId="26122" xr:uid="{70A0FBE4-53BF-4850-9527-3DAB18E49E13}"/>
    <cellStyle name="Currency 5 2 2 2 3 2 4" xfId="9271" xr:uid="{A01A66F3-FDEC-437D-8D83-9CB4E32AF8FA}"/>
    <cellStyle name="Currency 5 2 2 2 3 2 4 2" xfId="21911" xr:uid="{C2B40516-D8EF-497A-B939-0A8D9E26C9A2}"/>
    <cellStyle name="Currency 5 2 2 2 3 2 5" xfId="17700" xr:uid="{5425D0A2-5C4D-42EF-8AEF-2797653A4A34}"/>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EECF45B3-5BCF-446D-82FC-849A6F524EAB}"/>
    <cellStyle name="Currency 5 2 2 2 3 3 2 2 3" xfId="28680" xr:uid="{5E60905B-C6A5-4503-A686-F6B1D3DC8734}"/>
    <cellStyle name="Currency 5 2 2 2 3 3 2 3" xfId="11829" xr:uid="{102DB161-D8D2-4C1C-B51C-33AE1A40DB9C}"/>
    <cellStyle name="Currency 5 2 2 2 3 3 2 3 2" xfId="24469" xr:uid="{44725EDC-103D-4341-8FEE-87982D56F66E}"/>
    <cellStyle name="Currency 5 2 2 2 3 3 2 4" xfId="20258" xr:uid="{9E36555C-945C-47A7-B58D-DB6E628E875C}"/>
    <cellStyle name="Currency 5 2 2 2 3 3 3" xfId="5473" xr:uid="{00000000-0005-0000-0000-0000A30B0000}"/>
    <cellStyle name="Currency 5 2 2 2 3 3 3 2" xfId="13902" xr:uid="{9B7CBAF6-937D-440D-897E-179595D370CC}"/>
    <cellStyle name="Currency 5 2 2 2 3 3 3 3" xfId="26535" xr:uid="{EF155E11-0A44-4DC9-B57E-CFEC5BC8010B}"/>
    <cellStyle name="Currency 5 2 2 2 3 3 4" xfId="9684" xr:uid="{41FFE95E-D7F4-4AC3-84ED-52B1616D92F5}"/>
    <cellStyle name="Currency 5 2 2 2 3 3 4 2" xfId="22324" xr:uid="{5032594F-0954-4E26-BAA9-8D4158B8F5DF}"/>
    <cellStyle name="Currency 5 2 2 2 3 3 5" xfId="18113" xr:uid="{6FE36A9C-63EE-4D9D-8B01-D637900B962F}"/>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00DB262B-1022-4840-9A14-00CECECACC6E}"/>
    <cellStyle name="Currency 5 2 2 2 3 4 2 2 3" xfId="29093" xr:uid="{0681A0D5-3CE7-4861-9C61-821FE6B15048}"/>
    <cellStyle name="Currency 5 2 2 2 3 4 2 3" xfId="12242" xr:uid="{0C3CEF1C-8019-4257-A18A-3ECB373774D6}"/>
    <cellStyle name="Currency 5 2 2 2 3 4 2 3 2" xfId="24882" xr:uid="{49A9DFE3-A42C-4566-80DE-3BA2137B162F}"/>
    <cellStyle name="Currency 5 2 2 2 3 4 2 4" xfId="20671" xr:uid="{DEB0E624-E59B-4255-A2DB-179959E62898}"/>
    <cellStyle name="Currency 5 2 2 2 3 4 3" xfId="5886" xr:uid="{00000000-0005-0000-0000-0000A70B0000}"/>
    <cellStyle name="Currency 5 2 2 2 3 4 3 2" xfId="14315" xr:uid="{70E87A91-17DB-456E-B3E4-0DE14F3A4520}"/>
    <cellStyle name="Currency 5 2 2 2 3 4 3 3" xfId="26948" xr:uid="{4A18C726-77BA-4F2F-A1B4-6D25F3CB2183}"/>
    <cellStyle name="Currency 5 2 2 2 3 4 4" xfId="10097" xr:uid="{C531E5D8-9EB7-4A24-82CB-410123BBE7CB}"/>
    <cellStyle name="Currency 5 2 2 2 3 4 4 2" xfId="22737" xr:uid="{88115406-FB01-4DF5-BAC7-639702508B8E}"/>
    <cellStyle name="Currency 5 2 2 2 3 4 5" xfId="18526" xr:uid="{8B323CC9-D472-4FC6-AE31-25A680BC8B84}"/>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2A2AC8D6-0A62-4237-A806-3CF1C83EB1D1}"/>
    <cellStyle name="Currency 5 2 2 2 3 5 2 2 3" xfId="29506" xr:uid="{C3B1C481-7A25-4633-A107-169F10BA2693}"/>
    <cellStyle name="Currency 5 2 2 2 3 5 2 3" xfId="12655" xr:uid="{D168BCCC-FA6E-47CA-8123-70F1C970CD2C}"/>
    <cellStyle name="Currency 5 2 2 2 3 5 2 3 2" xfId="25295" xr:uid="{86519A25-F73E-4935-9932-455801E82E7C}"/>
    <cellStyle name="Currency 5 2 2 2 3 5 2 4" xfId="21084" xr:uid="{01DCDE1B-0566-42FA-A3EB-D561B46F31B0}"/>
    <cellStyle name="Currency 5 2 2 2 3 5 3" xfId="6299" xr:uid="{00000000-0005-0000-0000-0000AB0B0000}"/>
    <cellStyle name="Currency 5 2 2 2 3 5 3 2" xfId="14728" xr:uid="{4F1197CA-DB11-4FFB-A01E-FDDA5A9D5683}"/>
    <cellStyle name="Currency 5 2 2 2 3 5 3 3" xfId="27361" xr:uid="{552723CF-1E2F-45DF-811C-5FDA25582835}"/>
    <cellStyle name="Currency 5 2 2 2 3 5 4" xfId="10510" xr:uid="{9FA72B6D-7DF4-4E9A-9CC7-0C78D87EDC83}"/>
    <cellStyle name="Currency 5 2 2 2 3 5 4 2" xfId="23150" xr:uid="{7F33DBAF-D44D-4F0E-8E1B-DA0E8A755532}"/>
    <cellStyle name="Currency 5 2 2 2 3 5 5" xfId="18939" xr:uid="{DCEE2272-CEE9-40C4-8588-5F029ECA9AE2}"/>
    <cellStyle name="Currency 5 2 2 2 3 6" xfId="2426" xr:uid="{00000000-0005-0000-0000-0000AC0B0000}"/>
    <cellStyle name="Currency 5 2 2 2 3 6 2" xfId="6712" xr:uid="{00000000-0005-0000-0000-0000AD0B0000}"/>
    <cellStyle name="Currency 5 2 2 2 3 6 2 2" xfId="15141" xr:uid="{ED992B7E-6AD1-4631-AB35-4A0A919A67A0}"/>
    <cellStyle name="Currency 5 2 2 2 3 6 2 3" xfId="27774" xr:uid="{4628960F-6435-467D-8F39-7992BD861E81}"/>
    <cellStyle name="Currency 5 2 2 2 3 6 3" xfId="10923" xr:uid="{4DDBFF4D-C9EF-4775-B85F-A5760DF001EB}"/>
    <cellStyle name="Currency 5 2 2 2 3 6 3 2" xfId="23563" xr:uid="{CF1560A0-DD92-45B1-8DBC-997161AFE83A}"/>
    <cellStyle name="Currency 5 2 2 2 3 6 4" xfId="19352" xr:uid="{50F5ACDA-C5FC-4C79-B664-697D456D5291}"/>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A4934738-BC39-4E5A-B1D6-ACBCA506F5DA}"/>
    <cellStyle name="Currency 5 2 2 2 3 8 2 3" xfId="28091" xr:uid="{E8CCF107-60E5-4510-99C6-DC103F30FE8D}"/>
    <cellStyle name="Currency 5 2 2 2 3 8 3" xfId="11240" xr:uid="{6FA4506C-F052-48FA-814C-06ED3E4F8793}"/>
    <cellStyle name="Currency 5 2 2 2 3 8 3 2" xfId="23880" xr:uid="{A65334B7-A4CB-4020-A4F9-A905CEC8C62F}"/>
    <cellStyle name="Currency 5 2 2 2 3 8 4" xfId="19669" xr:uid="{4CBFC39E-570F-4A95-9358-7D0A0D6EAB0F}"/>
    <cellStyle name="Currency 5 2 2 2 3 9" xfId="4646" xr:uid="{00000000-0005-0000-0000-0000B10B0000}"/>
    <cellStyle name="Currency 5 2 2 2 3 9 2" xfId="13075" xr:uid="{8D8CBA51-C665-4752-9288-7C84911E4913}"/>
    <cellStyle name="Currency 5 2 2 2 3 9 3" xfId="25708" xr:uid="{46E1A757-B585-4F5E-B63D-B84224D39B87}"/>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AEA79D04-39B7-4C03-88C9-566AD1D485F5}"/>
    <cellStyle name="Currency 5 2 2 2 4 2 2 3" xfId="28264" xr:uid="{87547160-7B86-4CAE-9CE3-8DA82F320420}"/>
    <cellStyle name="Currency 5 2 2 2 4 2 3" xfId="11413" xr:uid="{4412AF6E-644D-45CE-9B83-16B63767B285}"/>
    <cellStyle name="Currency 5 2 2 2 4 2 3 2" xfId="24053" xr:uid="{09589911-3F8A-4AD9-8366-6B065679A97D}"/>
    <cellStyle name="Currency 5 2 2 2 4 2 4" xfId="19842" xr:uid="{3109A1B5-8E3A-4861-B194-EAC8AAD21413}"/>
    <cellStyle name="Currency 5 2 2 2 4 3" xfId="5057" xr:uid="{00000000-0005-0000-0000-0000B50B0000}"/>
    <cellStyle name="Currency 5 2 2 2 4 3 2" xfId="13486" xr:uid="{9E32A59E-9226-4F75-956D-39033A615686}"/>
    <cellStyle name="Currency 5 2 2 2 4 3 3" xfId="26119" xr:uid="{B9B1ABC5-A6C2-4EBE-B4F3-93B093E6F281}"/>
    <cellStyle name="Currency 5 2 2 2 4 4" xfId="9268" xr:uid="{906927D1-A271-49FE-B0B4-A9EE695790FD}"/>
    <cellStyle name="Currency 5 2 2 2 4 4 2" xfId="21908" xr:uid="{B12335CA-CD47-4C69-97ED-146711CED301}"/>
    <cellStyle name="Currency 5 2 2 2 4 5" xfId="17697" xr:uid="{0B29A590-B4A8-4EF0-8A99-467F4B95B18F}"/>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BC54BB09-819D-46FB-AB33-DE4EA027FBC2}"/>
    <cellStyle name="Currency 5 2 2 2 5 2 2 3" xfId="28677" xr:uid="{C87480DA-C143-419A-8E2B-E277D6ACE8C1}"/>
    <cellStyle name="Currency 5 2 2 2 5 2 3" xfId="11826" xr:uid="{64180CCB-5C3D-4B50-BE22-090CC4C4B998}"/>
    <cellStyle name="Currency 5 2 2 2 5 2 3 2" xfId="24466" xr:uid="{333ADDC2-6FB6-4E48-867F-3FB83544B0D7}"/>
    <cellStyle name="Currency 5 2 2 2 5 2 4" xfId="20255" xr:uid="{B66BD750-CDD9-44B3-84C5-CA77A3467C7D}"/>
    <cellStyle name="Currency 5 2 2 2 5 3" xfId="5470" xr:uid="{00000000-0005-0000-0000-0000B90B0000}"/>
    <cellStyle name="Currency 5 2 2 2 5 3 2" xfId="13899" xr:uid="{232B3F34-9968-4A1C-93CB-D6AFC5825229}"/>
    <cellStyle name="Currency 5 2 2 2 5 3 3" xfId="26532" xr:uid="{36B57A9F-4631-4C81-B9CC-731D54FC5801}"/>
    <cellStyle name="Currency 5 2 2 2 5 4" xfId="9681" xr:uid="{042506EA-263D-4F10-B149-47742F4D23AA}"/>
    <cellStyle name="Currency 5 2 2 2 5 4 2" xfId="22321" xr:uid="{E3DA7992-FF78-4DFF-80DD-E730B797D45F}"/>
    <cellStyle name="Currency 5 2 2 2 5 5" xfId="18110" xr:uid="{FB256060-6535-412D-B57A-F7F2BBF2C606}"/>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787F15CB-53F6-44F2-BADE-D1707362B62C}"/>
    <cellStyle name="Currency 5 2 2 2 6 2 2 3" xfId="29090" xr:uid="{2A4C5C1E-DB34-47F7-9C85-E8CC283FC262}"/>
    <cellStyle name="Currency 5 2 2 2 6 2 3" xfId="12239" xr:uid="{525C2E45-D5EB-433E-A282-A9A534D68847}"/>
    <cellStyle name="Currency 5 2 2 2 6 2 3 2" xfId="24879" xr:uid="{6C7CE506-4F9E-4407-9EED-CD4C33C56791}"/>
    <cellStyle name="Currency 5 2 2 2 6 2 4" xfId="20668" xr:uid="{D2ED7005-AD03-43E3-A93F-EC4C54AC7FA7}"/>
    <cellStyle name="Currency 5 2 2 2 6 3" xfId="5883" xr:uid="{00000000-0005-0000-0000-0000BD0B0000}"/>
    <cellStyle name="Currency 5 2 2 2 6 3 2" xfId="14312" xr:uid="{A67E9236-6E44-48B5-8EC0-8CA2181A1648}"/>
    <cellStyle name="Currency 5 2 2 2 6 3 3" xfId="26945" xr:uid="{A2B089C9-582D-4241-A4BD-DAD8C9D782D0}"/>
    <cellStyle name="Currency 5 2 2 2 6 4" xfId="10094" xr:uid="{35F1BF39-02AA-4BC3-A1DB-6C3A5422FE7B}"/>
    <cellStyle name="Currency 5 2 2 2 6 4 2" xfId="22734" xr:uid="{9384532A-6334-45E0-9FBA-96789392A4BA}"/>
    <cellStyle name="Currency 5 2 2 2 6 5" xfId="18523" xr:uid="{A12EBAAD-2836-468C-A0EE-97083CABC356}"/>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96768171-30C5-41E4-8161-D703A11201B5}"/>
    <cellStyle name="Currency 5 2 2 2 7 2 2 3" xfId="29503" xr:uid="{3F8A5A89-3BB9-41BF-8E8B-7D0BDC04945C}"/>
    <cellStyle name="Currency 5 2 2 2 7 2 3" xfId="12652" xr:uid="{0C8DC5C6-DFC0-4337-92FA-6DD8321231A3}"/>
    <cellStyle name="Currency 5 2 2 2 7 2 3 2" xfId="25292" xr:uid="{1213ECD9-10AA-44FC-8966-E1DD89AD9DD6}"/>
    <cellStyle name="Currency 5 2 2 2 7 2 4" xfId="21081" xr:uid="{2EC25B36-46F3-4D94-BB9C-91E783BD0572}"/>
    <cellStyle name="Currency 5 2 2 2 7 3" xfId="6296" xr:uid="{00000000-0005-0000-0000-0000C10B0000}"/>
    <cellStyle name="Currency 5 2 2 2 7 3 2" xfId="14725" xr:uid="{FBE14C19-6077-41FD-81A4-54C767FA1F7B}"/>
    <cellStyle name="Currency 5 2 2 2 7 3 3" xfId="27358" xr:uid="{5AB1BE8C-7D27-4C20-A5D9-C2A7075C18D4}"/>
    <cellStyle name="Currency 5 2 2 2 7 4" xfId="10507" xr:uid="{7A5584F3-5906-4AA2-8677-D345D3B75D0F}"/>
    <cellStyle name="Currency 5 2 2 2 7 4 2" xfId="23147" xr:uid="{D0DCC000-917E-495E-BB44-3706CF954D07}"/>
    <cellStyle name="Currency 5 2 2 2 7 5" xfId="18936" xr:uid="{A7710A75-C29A-453A-8664-1D007D0F6608}"/>
    <cellStyle name="Currency 5 2 2 2 8" xfId="2423" xr:uid="{00000000-0005-0000-0000-0000C20B0000}"/>
    <cellStyle name="Currency 5 2 2 2 8 2" xfId="6709" xr:uid="{00000000-0005-0000-0000-0000C30B0000}"/>
    <cellStyle name="Currency 5 2 2 2 8 2 2" xfId="15138" xr:uid="{D28BA393-8610-431D-A8A9-66CA5BF90388}"/>
    <cellStyle name="Currency 5 2 2 2 8 2 3" xfId="27771" xr:uid="{FF17698B-1E14-4BA6-988E-29B1BD05ACA5}"/>
    <cellStyle name="Currency 5 2 2 2 8 3" xfId="10920" xr:uid="{E69D96BF-1549-4F1A-97A3-FD4FA8CD1F91}"/>
    <cellStyle name="Currency 5 2 2 2 8 3 2" xfId="23560" xr:uid="{D9A04366-6BEA-4CFB-9DD0-E0C25F26C931}"/>
    <cellStyle name="Currency 5 2 2 2 8 4" xfId="19349" xr:uid="{C202B2B2-BF2B-4FAE-B0FD-A6C48096AD8A}"/>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8F35C212-47BC-4297-88F4-D53EFDC5A02B}"/>
    <cellStyle name="Currency 5 2 2 3 10 3" xfId="25709" xr:uid="{0C1EB015-71B2-4687-8B2D-D3C5C0A3B9CA}"/>
    <cellStyle name="Currency 5 2 2 3 11" xfId="8858" xr:uid="{D357854F-C9B1-4C66-A42C-820189217B71}"/>
    <cellStyle name="Currency 5 2 2 3 11 2" xfId="21498" xr:uid="{73744114-74B8-4A0E-8ADA-CAE3904B15F3}"/>
    <cellStyle name="Currency 5 2 2 3 12" xfId="17287" xr:uid="{4F33EA85-4326-4988-8EAF-C4D8ABCB3CBD}"/>
    <cellStyle name="Currency 5 2 2 3 2" xfId="201" xr:uid="{00000000-0005-0000-0000-0000C70B0000}"/>
    <cellStyle name="Currency 5 2 2 3 2 10" xfId="8859" xr:uid="{F12BCC01-E59D-4337-BA9B-46D573E90E1C}"/>
    <cellStyle name="Currency 5 2 2 3 2 10 2" xfId="21499" xr:uid="{1BFCFEB6-4187-470E-80FC-2505AA5BAE19}"/>
    <cellStyle name="Currency 5 2 2 3 2 11" xfId="17288" xr:uid="{C279137E-FDDA-4D13-9A34-765AD88DB881}"/>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BB84BA20-CE78-4198-A1D9-7AC3D6D6E125}"/>
    <cellStyle name="Currency 5 2 2 3 2 2 2 2 3" xfId="28269" xr:uid="{A145C9FE-5AF7-4E44-B2F8-F2E5A2230C4A}"/>
    <cellStyle name="Currency 5 2 2 3 2 2 2 3" xfId="11418" xr:uid="{9C250536-FB49-42A7-85DB-3ED588260524}"/>
    <cellStyle name="Currency 5 2 2 3 2 2 2 3 2" xfId="24058" xr:uid="{2890FD9F-7967-41A4-A385-B427856F20DD}"/>
    <cellStyle name="Currency 5 2 2 3 2 2 2 4" xfId="19847" xr:uid="{FAA84E09-2CF9-4D37-97C6-73BE3A0FE9D1}"/>
    <cellStyle name="Currency 5 2 2 3 2 2 3" xfId="5062" xr:uid="{00000000-0005-0000-0000-0000CB0B0000}"/>
    <cellStyle name="Currency 5 2 2 3 2 2 3 2" xfId="13491" xr:uid="{CE007C40-CE4E-4A24-84FA-8E16DD54FB32}"/>
    <cellStyle name="Currency 5 2 2 3 2 2 3 3" xfId="26124" xr:uid="{DE1D4457-9087-4FE1-8255-47C6C72EAAB2}"/>
    <cellStyle name="Currency 5 2 2 3 2 2 4" xfId="9273" xr:uid="{19162035-BBC0-43AA-ADDD-71AE97E50469}"/>
    <cellStyle name="Currency 5 2 2 3 2 2 4 2" xfId="21913" xr:uid="{5EBA1131-C40D-406F-88BF-E2D5001E062E}"/>
    <cellStyle name="Currency 5 2 2 3 2 2 5" xfId="17702" xr:uid="{CA9C6D1D-3712-47C9-95F9-2041F9D29D9F}"/>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60636CBC-A312-4853-8A83-5B34C9CF960F}"/>
    <cellStyle name="Currency 5 2 2 3 2 3 2 2 3" xfId="28682" xr:uid="{92F62D81-D27A-4C1B-922F-F711C81B0AEB}"/>
    <cellStyle name="Currency 5 2 2 3 2 3 2 3" xfId="11831" xr:uid="{B9AF0ACB-3B45-4391-B334-1E8FD541E27C}"/>
    <cellStyle name="Currency 5 2 2 3 2 3 2 3 2" xfId="24471" xr:uid="{6F7DB5F8-4A0E-496B-817A-C59D55049EB6}"/>
    <cellStyle name="Currency 5 2 2 3 2 3 2 4" xfId="20260" xr:uid="{BE8CCEF1-DF1A-4D27-9A5E-A270BD0E95E7}"/>
    <cellStyle name="Currency 5 2 2 3 2 3 3" xfId="5475" xr:uid="{00000000-0005-0000-0000-0000CF0B0000}"/>
    <cellStyle name="Currency 5 2 2 3 2 3 3 2" xfId="13904" xr:uid="{F6D74D93-C844-49DC-906D-6123C413ADD0}"/>
    <cellStyle name="Currency 5 2 2 3 2 3 3 3" xfId="26537" xr:uid="{0F65DC82-300B-4240-9467-CD62A232D362}"/>
    <cellStyle name="Currency 5 2 2 3 2 3 4" xfId="9686" xr:uid="{1BD0C4E8-225A-40CA-827E-4379E6B2CBB0}"/>
    <cellStyle name="Currency 5 2 2 3 2 3 4 2" xfId="22326" xr:uid="{2A8C2527-A191-45F5-895F-06BD015A1F5D}"/>
    <cellStyle name="Currency 5 2 2 3 2 3 5" xfId="18115" xr:uid="{3F544CC6-E52B-47B8-AE23-BDB2448B97A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E30FED41-4A96-4D06-92C3-E0C5B3289AA6}"/>
    <cellStyle name="Currency 5 2 2 3 2 4 2 2 3" xfId="29095" xr:uid="{9881F262-4F2A-4710-A6A0-533DB5434989}"/>
    <cellStyle name="Currency 5 2 2 3 2 4 2 3" xfId="12244" xr:uid="{B81C2A85-6B15-4454-B46B-7E11D03E054D}"/>
    <cellStyle name="Currency 5 2 2 3 2 4 2 3 2" xfId="24884" xr:uid="{695B29F1-A32A-4A28-818D-FFB9C65FD7AD}"/>
    <cellStyle name="Currency 5 2 2 3 2 4 2 4" xfId="20673" xr:uid="{3F4E1413-E88B-43E3-B1F7-5541EB635768}"/>
    <cellStyle name="Currency 5 2 2 3 2 4 3" xfId="5888" xr:uid="{00000000-0005-0000-0000-0000D30B0000}"/>
    <cellStyle name="Currency 5 2 2 3 2 4 3 2" xfId="14317" xr:uid="{840C57E3-2712-4607-A0AC-BFBB71664783}"/>
    <cellStyle name="Currency 5 2 2 3 2 4 3 3" xfId="26950" xr:uid="{15E8E9A6-F627-44D5-AD0F-4047E5D0C288}"/>
    <cellStyle name="Currency 5 2 2 3 2 4 4" xfId="10099" xr:uid="{332C7938-0E16-4AB0-A5CB-9FCD98565501}"/>
    <cellStyle name="Currency 5 2 2 3 2 4 4 2" xfId="22739" xr:uid="{EC34E79C-C198-45F2-A6F3-1E92C29F06C7}"/>
    <cellStyle name="Currency 5 2 2 3 2 4 5" xfId="18528" xr:uid="{C6ED66BC-6A8C-468D-9C69-513A7005BE2F}"/>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1D482F8C-786D-419B-BABA-A856FA5D5F48}"/>
    <cellStyle name="Currency 5 2 2 3 2 5 2 2 3" xfId="29508" xr:uid="{A5B2E229-F747-404D-9E5B-07B8C7B7ACFC}"/>
    <cellStyle name="Currency 5 2 2 3 2 5 2 3" xfId="12657" xr:uid="{AF9C8C1E-3CF3-4F7C-B022-4BC10FF0BFCB}"/>
    <cellStyle name="Currency 5 2 2 3 2 5 2 3 2" xfId="25297" xr:uid="{46778115-2B4A-4894-A68A-D340DB7EBFC4}"/>
    <cellStyle name="Currency 5 2 2 3 2 5 2 4" xfId="21086" xr:uid="{C54C9A99-D0B4-4FE6-9C3C-7E063A7EF583}"/>
    <cellStyle name="Currency 5 2 2 3 2 5 3" xfId="6301" xr:uid="{00000000-0005-0000-0000-0000D70B0000}"/>
    <cellStyle name="Currency 5 2 2 3 2 5 3 2" xfId="14730" xr:uid="{90337FF3-9AA2-43DC-AEB9-F3CBB40297F4}"/>
    <cellStyle name="Currency 5 2 2 3 2 5 3 3" xfId="27363" xr:uid="{9267DDF2-5910-4A6C-AE44-D350885810EF}"/>
    <cellStyle name="Currency 5 2 2 3 2 5 4" xfId="10512" xr:uid="{BC7BCBB6-9EEC-43E0-9B9E-446C3AFC9BFB}"/>
    <cellStyle name="Currency 5 2 2 3 2 5 4 2" xfId="23152" xr:uid="{C425890A-E78B-4B41-8ADD-6874B9C7A19A}"/>
    <cellStyle name="Currency 5 2 2 3 2 5 5" xfId="18941" xr:uid="{035CD7C9-69AF-4796-8E38-DE26180F1540}"/>
    <cellStyle name="Currency 5 2 2 3 2 6" xfId="2428" xr:uid="{00000000-0005-0000-0000-0000D80B0000}"/>
    <cellStyle name="Currency 5 2 2 3 2 6 2" xfId="6714" xr:uid="{00000000-0005-0000-0000-0000D90B0000}"/>
    <cellStyle name="Currency 5 2 2 3 2 6 2 2" xfId="15143" xr:uid="{1375B8A0-774C-4851-A32F-A42BF19ECA36}"/>
    <cellStyle name="Currency 5 2 2 3 2 6 2 3" xfId="27776" xr:uid="{F327C735-83EB-4A2A-9FC8-C362C9225324}"/>
    <cellStyle name="Currency 5 2 2 3 2 6 3" xfId="10925" xr:uid="{88132308-917D-4CB9-B52E-C6DB95BD434B}"/>
    <cellStyle name="Currency 5 2 2 3 2 6 3 2" xfId="23565" xr:uid="{E225FCF6-D60C-4225-B2C8-C8D030D1CB6D}"/>
    <cellStyle name="Currency 5 2 2 3 2 6 4" xfId="19354" xr:uid="{85CF3938-C0E2-4501-8EDC-FE6F3872A775}"/>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D5BBA357-3999-4844-8C6D-58C8B071552D}"/>
    <cellStyle name="Currency 5 2 2 3 2 8 2 3" xfId="28093" xr:uid="{C822944A-6E0D-4EFA-B455-26BFE55D6D42}"/>
    <cellStyle name="Currency 5 2 2 3 2 8 3" xfId="11242" xr:uid="{38DAA3BC-D847-4826-A9C6-8AB1CF7E4F87}"/>
    <cellStyle name="Currency 5 2 2 3 2 8 3 2" xfId="23882" xr:uid="{FEEACAB0-61EC-4969-9ADB-A6D8B3D2EE0C}"/>
    <cellStyle name="Currency 5 2 2 3 2 8 4" xfId="19671" xr:uid="{E44B6B7A-89CA-4545-AD00-B29B9439B0DC}"/>
    <cellStyle name="Currency 5 2 2 3 2 9" xfId="4648" xr:uid="{00000000-0005-0000-0000-0000DD0B0000}"/>
    <cellStyle name="Currency 5 2 2 3 2 9 2" xfId="13077" xr:uid="{E3DC1AEF-B311-46A4-8C11-8D30115C304D}"/>
    <cellStyle name="Currency 5 2 2 3 2 9 3" xfId="25710" xr:uid="{2D2C0CEB-5D07-4DFC-AC21-56CC27209D0B}"/>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B66B001C-E173-4518-9DDC-6AE0F373FCB9}"/>
    <cellStyle name="Currency 5 2 2 3 3 2 2 3" xfId="28268" xr:uid="{25451BDD-7341-4A58-A6EA-A73168AC009B}"/>
    <cellStyle name="Currency 5 2 2 3 3 2 3" xfId="11417" xr:uid="{E18C1001-91AB-467A-A345-C79FEDF37EF2}"/>
    <cellStyle name="Currency 5 2 2 3 3 2 3 2" xfId="24057" xr:uid="{EB110984-00FC-4610-B0DC-415FCC82E345}"/>
    <cellStyle name="Currency 5 2 2 3 3 2 4" xfId="19846" xr:uid="{0DC5A796-8656-42BE-86B7-8D52EAD0FF2C}"/>
    <cellStyle name="Currency 5 2 2 3 3 3" xfId="5061" xr:uid="{00000000-0005-0000-0000-0000E10B0000}"/>
    <cellStyle name="Currency 5 2 2 3 3 3 2" xfId="13490" xr:uid="{FEB8C9AC-268F-417D-81F3-86BD23397EBE}"/>
    <cellStyle name="Currency 5 2 2 3 3 3 3" xfId="26123" xr:uid="{DD869D9A-2BF1-4316-9E25-6A0EDA92340F}"/>
    <cellStyle name="Currency 5 2 2 3 3 4" xfId="9272" xr:uid="{8494B0D2-243D-42B7-9F0B-2F2F3F83F807}"/>
    <cellStyle name="Currency 5 2 2 3 3 4 2" xfId="21912" xr:uid="{A8CD729B-49A1-447E-9099-EA7C6A4ADD66}"/>
    <cellStyle name="Currency 5 2 2 3 3 5" xfId="17701" xr:uid="{8EB09251-C9E9-4D16-99E9-FB890BC32487}"/>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DEF7F9AF-1841-4D76-AD2A-5B66A0BF6673}"/>
    <cellStyle name="Currency 5 2 2 3 4 2 2 3" xfId="28681" xr:uid="{C3FAD38A-3EC5-44F8-94D7-05193C4E3059}"/>
    <cellStyle name="Currency 5 2 2 3 4 2 3" xfId="11830" xr:uid="{370F0740-8FA3-4223-B6DE-82F8669DF9CD}"/>
    <cellStyle name="Currency 5 2 2 3 4 2 3 2" xfId="24470" xr:uid="{50B94D88-C727-42D1-ACC5-527A25866CB5}"/>
    <cellStyle name="Currency 5 2 2 3 4 2 4" xfId="20259" xr:uid="{954C3E0B-9455-4EBC-BA48-02615BCB70CA}"/>
    <cellStyle name="Currency 5 2 2 3 4 3" xfId="5474" xr:uid="{00000000-0005-0000-0000-0000E50B0000}"/>
    <cellStyle name="Currency 5 2 2 3 4 3 2" xfId="13903" xr:uid="{0522F702-7AD9-4D72-9329-D86022A7B7CC}"/>
    <cellStyle name="Currency 5 2 2 3 4 3 3" xfId="26536" xr:uid="{2505026A-9FEE-44EA-A11C-25B565857C80}"/>
    <cellStyle name="Currency 5 2 2 3 4 4" xfId="9685" xr:uid="{195F79EA-4196-4D0D-8249-1C1F33F90DAA}"/>
    <cellStyle name="Currency 5 2 2 3 4 4 2" xfId="22325" xr:uid="{6F39C300-E195-45F5-837C-3538A3C33523}"/>
    <cellStyle name="Currency 5 2 2 3 4 5" xfId="18114" xr:uid="{C67AA400-377C-496E-9DC2-B6058DFC9265}"/>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198E82E7-B1E1-4838-85EF-E2D837FF44F6}"/>
    <cellStyle name="Currency 5 2 2 3 5 2 2 3" xfId="29094" xr:uid="{DC94EF9C-6AFA-4545-AEC1-A3EF2025E8EE}"/>
    <cellStyle name="Currency 5 2 2 3 5 2 3" xfId="12243" xr:uid="{238C3FCD-29DA-42F9-8EA5-AE8AA4080D4C}"/>
    <cellStyle name="Currency 5 2 2 3 5 2 3 2" xfId="24883" xr:uid="{914855DF-13CF-4357-97F1-0662EC3231B0}"/>
    <cellStyle name="Currency 5 2 2 3 5 2 4" xfId="20672" xr:uid="{3DBE7906-D8B8-4B2C-AEF5-AC9C35391167}"/>
    <cellStyle name="Currency 5 2 2 3 5 3" xfId="5887" xr:uid="{00000000-0005-0000-0000-0000E90B0000}"/>
    <cellStyle name="Currency 5 2 2 3 5 3 2" xfId="14316" xr:uid="{5BC024F6-60F8-4516-9B92-1E8081D2F0CD}"/>
    <cellStyle name="Currency 5 2 2 3 5 3 3" xfId="26949" xr:uid="{60CEF096-0FCC-49A0-9276-C5CBAB47B51A}"/>
    <cellStyle name="Currency 5 2 2 3 5 4" xfId="10098" xr:uid="{981C114E-908F-4DA8-81F4-339E68978932}"/>
    <cellStyle name="Currency 5 2 2 3 5 4 2" xfId="22738" xr:uid="{BF87DAA1-EA5D-4B8E-A0BA-0E38085C6685}"/>
    <cellStyle name="Currency 5 2 2 3 5 5" xfId="18527" xr:uid="{90DB529C-96C0-46EE-A722-4BDFE77F3977}"/>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FBCE6E86-01AC-418F-87CD-CA6FF7F92DA4}"/>
    <cellStyle name="Currency 5 2 2 3 6 2 2 3" xfId="29507" xr:uid="{9E0EA45C-8230-4444-87EE-CFE28AA60C0D}"/>
    <cellStyle name="Currency 5 2 2 3 6 2 3" xfId="12656" xr:uid="{769A239E-9805-4F25-993E-8CD584A4E8AA}"/>
    <cellStyle name="Currency 5 2 2 3 6 2 3 2" xfId="25296" xr:uid="{E6AF51AE-72DD-4A55-ACED-4DE81926DFC4}"/>
    <cellStyle name="Currency 5 2 2 3 6 2 4" xfId="21085" xr:uid="{453389D8-0A64-4323-B804-496732ECC2D7}"/>
    <cellStyle name="Currency 5 2 2 3 6 3" xfId="6300" xr:uid="{00000000-0005-0000-0000-0000ED0B0000}"/>
    <cellStyle name="Currency 5 2 2 3 6 3 2" xfId="14729" xr:uid="{2502DC97-D8B3-45C8-92C9-5F5B39FA1E32}"/>
    <cellStyle name="Currency 5 2 2 3 6 3 3" xfId="27362" xr:uid="{36D9279E-B601-42B4-908A-2BB3962D44FD}"/>
    <cellStyle name="Currency 5 2 2 3 6 4" xfId="10511" xr:uid="{10446E9B-7D96-4FB8-A255-8CC7277AAA76}"/>
    <cellStyle name="Currency 5 2 2 3 6 4 2" xfId="23151" xr:uid="{A4E777B6-AC26-47FF-89D6-1645F35FC077}"/>
    <cellStyle name="Currency 5 2 2 3 6 5" xfId="18940" xr:uid="{AED95531-1540-4A0B-AB7A-445C1C6B6CDE}"/>
    <cellStyle name="Currency 5 2 2 3 7" xfId="2427" xr:uid="{00000000-0005-0000-0000-0000EE0B0000}"/>
    <cellStyle name="Currency 5 2 2 3 7 2" xfId="6713" xr:uid="{00000000-0005-0000-0000-0000EF0B0000}"/>
    <cellStyle name="Currency 5 2 2 3 7 2 2" xfId="15142" xr:uid="{192D79ED-809F-4A9C-BC22-258FAC361423}"/>
    <cellStyle name="Currency 5 2 2 3 7 2 3" xfId="27775" xr:uid="{BC117BCA-E728-44F1-AA04-009B4EE9E8E7}"/>
    <cellStyle name="Currency 5 2 2 3 7 3" xfId="10924" xr:uid="{C976BCAB-0CF5-4DFF-9E53-BDC448BF0D7C}"/>
    <cellStyle name="Currency 5 2 2 3 7 3 2" xfId="23564" xr:uid="{ACFADEBD-890B-464A-BD12-57FBC209F56F}"/>
    <cellStyle name="Currency 5 2 2 3 7 4" xfId="19353" xr:uid="{EC8ED420-566C-4445-B03C-564DA4A21481}"/>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7A9F2BCD-5692-4E6C-B174-E49A9B61C84F}"/>
    <cellStyle name="Currency 5 2 2 3 9 2 3" xfId="28092" xr:uid="{673B06CD-969C-4712-9C85-52C6A90749D5}"/>
    <cellStyle name="Currency 5 2 2 3 9 3" xfId="11241" xr:uid="{863F3D51-A682-491C-BFD7-F1A6E11F8D4A}"/>
    <cellStyle name="Currency 5 2 2 3 9 3 2" xfId="23881" xr:uid="{D3D9560F-6DA4-4F60-9E1C-E2C4C085585D}"/>
    <cellStyle name="Currency 5 2 2 3 9 4" xfId="19670" xr:uid="{182A4C5E-C230-4A97-BDF4-1197F96B7CF9}"/>
    <cellStyle name="Currency 5 2 2 4" xfId="202" xr:uid="{00000000-0005-0000-0000-0000F30B0000}"/>
    <cellStyle name="Currency 5 2 2 4 10" xfId="8860" xr:uid="{9BF2932C-367F-40B9-9F2B-232BAB3098C7}"/>
    <cellStyle name="Currency 5 2 2 4 10 2" xfId="21500" xr:uid="{84F6674C-04AF-4416-9967-6F7D25AB855F}"/>
    <cellStyle name="Currency 5 2 2 4 11" xfId="17289" xr:uid="{DE9E7920-24C7-4814-9A9C-8EB1B6C25CFB}"/>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D1E8D8C0-8979-43F9-9C9C-C85BD767C7D8}"/>
    <cellStyle name="Currency 5 2 2 4 2 2 2 3" xfId="28270" xr:uid="{4DC5264B-936B-4792-9D7D-DD9B581B5EB5}"/>
    <cellStyle name="Currency 5 2 2 4 2 2 3" xfId="11419" xr:uid="{2E240FC5-20D3-4C9A-8240-76E2286D4F93}"/>
    <cellStyle name="Currency 5 2 2 4 2 2 3 2" xfId="24059" xr:uid="{85F9B6BB-1DCC-4F6D-8B93-9E6D3FFC513F}"/>
    <cellStyle name="Currency 5 2 2 4 2 2 4" xfId="19848" xr:uid="{27BE0454-50F8-4837-A8F6-15B82439591E}"/>
    <cellStyle name="Currency 5 2 2 4 2 3" xfId="5063" xr:uid="{00000000-0005-0000-0000-0000F70B0000}"/>
    <cellStyle name="Currency 5 2 2 4 2 3 2" xfId="13492" xr:uid="{81B3C22A-704B-4C21-9CC8-C48EDC97D22A}"/>
    <cellStyle name="Currency 5 2 2 4 2 3 3" xfId="26125" xr:uid="{0F60CF7F-EA36-4C18-B147-F019A41527A1}"/>
    <cellStyle name="Currency 5 2 2 4 2 4" xfId="9274" xr:uid="{B10F8E57-6118-4FA5-BB60-C3856DBC463A}"/>
    <cellStyle name="Currency 5 2 2 4 2 4 2" xfId="21914" xr:uid="{68C07A8C-23FD-480D-B6B5-9E0D91129FD1}"/>
    <cellStyle name="Currency 5 2 2 4 2 5" xfId="17703" xr:uid="{EF51E2CF-275C-49A2-B7AC-01DBFAE586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53DBE45D-15A6-49F0-B7F3-57728FBE07BF}"/>
    <cellStyle name="Currency 5 2 2 4 3 2 2 3" xfId="28683" xr:uid="{F2695274-7ECD-42E2-A6AC-9D88358F6B43}"/>
    <cellStyle name="Currency 5 2 2 4 3 2 3" xfId="11832" xr:uid="{02A4EB37-3752-4B11-8D88-658FB8F72410}"/>
    <cellStyle name="Currency 5 2 2 4 3 2 3 2" xfId="24472" xr:uid="{A39F3C5A-8BD8-4B77-BFD4-C27BE3098A68}"/>
    <cellStyle name="Currency 5 2 2 4 3 2 4" xfId="20261" xr:uid="{CB5CE7B3-6A93-4A90-9F1A-6FA1E8F0E1C8}"/>
    <cellStyle name="Currency 5 2 2 4 3 3" xfId="5476" xr:uid="{00000000-0005-0000-0000-0000FB0B0000}"/>
    <cellStyle name="Currency 5 2 2 4 3 3 2" xfId="13905" xr:uid="{CC0463EF-1F9F-4477-94F9-6C7B6812D025}"/>
    <cellStyle name="Currency 5 2 2 4 3 3 3" xfId="26538" xr:uid="{D52B24A4-23BC-490A-939E-E81E4BB164D8}"/>
    <cellStyle name="Currency 5 2 2 4 3 4" xfId="9687" xr:uid="{4C3D1918-7FD8-469E-98E1-C8B515C2ED42}"/>
    <cellStyle name="Currency 5 2 2 4 3 4 2" xfId="22327" xr:uid="{8FDEF0A3-6633-4693-8916-C6146438A294}"/>
    <cellStyle name="Currency 5 2 2 4 3 5" xfId="18116" xr:uid="{BD6931CF-EED9-4583-93DF-3F6FFEC48858}"/>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D459941F-090B-4714-86B6-1D289FF2E6C1}"/>
    <cellStyle name="Currency 5 2 2 4 4 2 2 3" xfId="29096" xr:uid="{46CB1F56-4184-4F7D-90B7-E7F9638D1F27}"/>
    <cellStyle name="Currency 5 2 2 4 4 2 3" xfId="12245" xr:uid="{7590C180-F0E4-41CD-AA44-CCF6ABDEC127}"/>
    <cellStyle name="Currency 5 2 2 4 4 2 3 2" xfId="24885" xr:uid="{1757078A-C966-4E18-BA86-87F7436EA1E5}"/>
    <cellStyle name="Currency 5 2 2 4 4 2 4" xfId="20674" xr:uid="{C656CB08-AA1E-475B-A644-9B923AC1F31F}"/>
    <cellStyle name="Currency 5 2 2 4 4 3" xfId="5889" xr:uid="{00000000-0005-0000-0000-0000FF0B0000}"/>
    <cellStyle name="Currency 5 2 2 4 4 3 2" xfId="14318" xr:uid="{8E2DBD2F-86AD-460D-B78C-FE6C40453C77}"/>
    <cellStyle name="Currency 5 2 2 4 4 3 3" xfId="26951" xr:uid="{7B8C1BCF-CD55-409D-BF4F-4A4EA060A004}"/>
    <cellStyle name="Currency 5 2 2 4 4 4" xfId="10100" xr:uid="{B3D4E84D-F372-4674-B80E-03C7D5D8E4EF}"/>
    <cellStyle name="Currency 5 2 2 4 4 4 2" xfId="22740" xr:uid="{DEE46DA9-2868-41D7-9FAA-16778BAC3199}"/>
    <cellStyle name="Currency 5 2 2 4 4 5" xfId="18529" xr:uid="{C2A92B9A-7FB3-4E0D-8750-E640E40EDC2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240B822A-5582-43FF-9FA5-419597651C01}"/>
    <cellStyle name="Currency 5 2 2 4 5 2 2 3" xfId="29509" xr:uid="{AC69C2ED-893E-4B40-BD4F-C13E643D2DBE}"/>
    <cellStyle name="Currency 5 2 2 4 5 2 3" xfId="12658" xr:uid="{480427E5-14A6-4691-8423-F5EDDE08CABF}"/>
    <cellStyle name="Currency 5 2 2 4 5 2 3 2" xfId="25298" xr:uid="{FFEE7DE0-D312-42D5-A8A7-296341082882}"/>
    <cellStyle name="Currency 5 2 2 4 5 2 4" xfId="21087" xr:uid="{5D06FEA4-F56C-4F7B-AD82-6EB7776573CD}"/>
    <cellStyle name="Currency 5 2 2 4 5 3" xfId="6302" xr:uid="{00000000-0005-0000-0000-0000030C0000}"/>
    <cellStyle name="Currency 5 2 2 4 5 3 2" xfId="14731" xr:uid="{B29476E0-0139-4A16-8DC4-EC2DA9EA4615}"/>
    <cellStyle name="Currency 5 2 2 4 5 3 3" xfId="27364" xr:uid="{D75D6EA0-CDFE-406F-81B7-DECE597A474E}"/>
    <cellStyle name="Currency 5 2 2 4 5 4" xfId="10513" xr:uid="{19A0F258-C010-419A-B7E9-2167D9616823}"/>
    <cellStyle name="Currency 5 2 2 4 5 4 2" xfId="23153" xr:uid="{29A2CDF6-8F9D-451C-A157-09680A9063C5}"/>
    <cellStyle name="Currency 5 2 2 4 5 5" xfId="18942" xr:uid="{FC78117D-24D3-4679-BBBA-3A546D6882A3}"/>
    <cellStyle name="Currency 5 2 2 4 6" xfId="2429" xr:uid="{00000000-0005-0000-0000-0000040C0000}"/>
    <cellStyle name="Currency 5 2 2 4 6 2" xfId="6715" xr:uid="{00000000-0005-0000-0000-0000050C0000}"/>
    <cellStyle name="Currency 5 2 2 4 6 2 2" xfId="15144" xr:uid="{D87ACD90-D281-4032-BF0C-8035C6B1ECED}"/>
    <cellStyle name="Currency 5 2 2 4 6 2 3" xfId="27777" xr:uid="{04F03CC7-BDEE-4213-B55F-6610FA6F9D62}"/>
    <cellStyle name="Currency 5 2 2 4 6 3" xfId="10926" xr:uid="{07196A09-B896-4ECC-AA7C-2BFFED072EE0}"/>
    <cellStyle name="Currency 5 2 2 4 6 3 2" xfId="23566" xr:uid="{A0C2B4A0-5BA4-40E4-9A04-D33D70F70563}"/>
    <cellStyle name="Currency 5 2 2 4 6 4" xfId="19355" xr:uid="{A1FF4938-A8C2-48EC-A2CC-9B1099EF7396}"/>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CBB30572-BD4A-464F-9EAC-4438462CE00A}"/>
    <cellStyle name="Currency 5 2 2 4 8 2 3" xfId="28094" xr:uid="{F404FCC7-FB15-427C-B667-9B4501136E21}"/>
    <cellStyle name="Currency 5 2 2 4 8 3" xfId="11243" xr:uid="{582A9EBD-3D6B-4C40-A924-EB2C48C51A33}"/>
    <cellStyle name="Currency 5 2 2 4 8 3 2" xfId="23883" xr:uid="{9B8F72B3-4AEC-412F-8E38-6ADDBBC1D3CE}"/>
    <cellStyle name="Currency 5 2 2 4 8 4" xfId="19672" xr:uid="{2E115A18-9850-48A4-B62E-E338B3AE8661}"/>
    <cellStyle name="Currency 5 2 2 4 9" xfId="4649" xr:uid="{00000000-0005-0000-0000-0000090C0000}"/>
    <cellStyle name="Currency 5 2 2 4 9 2" xfId="13078" xr:uid="{4CFBB54E-1D31-4F55-8CC6-F9EAB45213F1}"/>
    <cellStyle name="Currency 5 2 2 4 9 3" xfId="25711" xr:uid="{5A6C2064-EA1F-4CAD-8B8E-6458560B861E}"/>
    <cellStyle name="Currency 5 2 2 5" xfId="203" xr:uid="{00000000-0005-0000-0000-00000A0C0000}"/>
    <cellStyle name="Currency 5 2 2 5 10" xfId="8861" xr:uid="{8328793E-A8F2-44DB-95CB-70032FAF9A39}"/>
    <cellStyle name="Currency 5 2 2 5 10 2" xfId="21501" xr:uid="{8C649EAB-C926-4B0F-81AC-13B002167314}"/>
    <cellStyle name="Currency 5 2 2 5 11" xfId="17290" xr:uid="{F4BB2AE0-E239-4068-86D6-B547DF03F538}"/>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7B8DD54F-B05B-4EC9-BA9B-F2041C6F7B9F}"/>
    <cellStyle name="Currency 5 2 2 5 2 2 2 3" xfId="28271" xr:uid="{E85B10E2-5A13-4160-8BF9-A611EA5B0B3D}"/>
    <cellStyle name="Currency 5 2 2 5 2 2 3" xfId="11420" xr:uid="{FDDB607D-E26A-49AB-8A43-3CC52C09E079}"/>
    <cellStyle name="Currency 5 2 2 5 2 2 3 2" xfId="24060" xr:uid="{9E066508-E948-40E8-917C-980DC4693E72}"/>
    <cellStyle name="Currency 5 2 2 5 2 2 4" xfId="19849" xr:uid="{E7260BF7-57CA-4C27-B5B1-5CB7B627A0E9}"/>
    <cellStyle name="Currency 5 2 2 5 2 3" xfId="5064" xr:uid="{00000000-0005-0000-0000-00000E0C0000}"/>
    <cellStyle name="Currency 5 2 2 5 2 3 2" xfId="13493" xr:uid="{6A74D653-DB88-41AD-A864-42D6964A9626}"/>
    <cellStyle name="Currency 5 2 2 5 2 3 3" xfId="26126" xr:uid="{D6D451BC-EAD6-417F-88A5-5082CF97CD23}"/>
    <cellStyle name="Currency 5 2 2 5 2 4" xfId="9275" xr:uid="{1F1A0046-9CF3-4C00-B9F2-C08E1CE58AC8}"/>
    <cellStyle name="Currency 5 2 2 5 2 4 2" xfId="21915" xr:uid="{3B35E85E-1D40-49C8-8E9F-ADD0AF759E72}"/>
    <cellStyle name="Currency 5 2 2 5 2 5" xfId="17704" xr:uid="{C26FEF78-13D9-490F-A256-6A460137566D}"/>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A60BF9AC-23E1-47CD-9CBF-212E3DB5C47F}"/>
    <cellStyle name="Currency 5 2 2 5 3 2 2 3" xfId="28684" xr:uid="{288292E6-1A44-4CDB-B066-77D08C271204}"/>
    <cellStyle name="Currency 5 2 2 5 3 2 3" xfId="11833" xr:uid="{CF5D441B-196D-4254-A454-761E726BE4F3}"/>
    <cellStyle name="Currency 5 2 2 5 3 2 3 2" xfId="24473" xr:uid="{0C3BA282-EF0D-4D2E-A143-68F40D1E3C3B}"/>
    <cellStyle name="Currency 5 2 2 5 3 2 4" xfId="20262" xr:uid="{F18EE64F-56C1-4892-AAA7-DFA5FFE23619}"/>
    <cellStyle name="Currency 5 2 2 5 3 3" xfId="5477" xr:uid="{00000000-0005-0000-0000-0000120C0000}"/>
    <cellStyle name="Currency 5 2 2 5 3 3 2" xfId="13906" xr:uid="{DAD8CA7D-9815-4EA3-8582-0D38ED1EA4D7}"/>
    <cellStyle name="Currency 5 2 2 5 3 3 3" xfId="26539" xr:uid="{487C88E5-183C-480D-AD3A-5664856D6461}"/>
    <cellStyle name="Currency 5 2 2 5 3 4" xfId="9688" xr:uid="{0B37DC13-E8AC-465C-8268-32E937FF89B9}"/>
    <cellStyle name="Currency 5 2 2 5 3 4 2" xfId="22328" xr:uid="{42491CEE-4DF6-4DBB-A052-49B33F16BC5B}"/>
    <cellStyle name="Currency 5 2 2 5 3 5" xfId="18117" xr:uid="{B5DB9364-CCF6-4F4E-9AD5-F12A71478BA6}"/>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7AA753E2-2E2E-4117-81DE-E37CE9054922}"/>
    <cellStyle name="Currency 5 2 2 5 4 2 2 3" xfId="29097" xr:uid="{BA4EA3E1-151C-4902-A633-A87C188793CC}"/>
    <cellStyle name="Currency 5 2 2 5 4 2 3" xfId="12246" xr:uid="{C1D05C1D-92A7-4C3B-84A2-1C14BFA6C67F}"/>
    <cellStyle name="Currency 5 2 2 5 4 2 3 2" xfId="24886" xr:uid="{B71B9085-C6F4-496C-9776-D115FCB9BC52}"/>
    <cellStyle name="Currency 5 2 2 5 4 2 4" xfId="20675" xr:uid="{2918000A-4A79-4FCE-A144-18A8292E3B6A}"/>
    <cellStyle name="Currency 5 2 2 5 4 3" xfId="5890" xr:uid="{00000000-0005-0000-0000-0000160C0000}"/>
    <cellStyle name="Currency 5 2 2 5 4 3 2" xfId="14319" xr:uid="{5C3B67CA-352C-42CB-AB57-A590111870FB}"/>
    <cellStyle name="Currency 5 2 2 5 4 3 3" xfId="26952" xr:uid="{20EF2B44-66DB-494E-AFA4-654679C78F4D}"/>
    <cellStyle name="Currency 5 2 2 5 4 4" xfId="10101" xr:uid="{1B417263-59D1-4BCB-80A8-E0B41FE06486}"/>
    <cellStyle name="Currency 5 2 2 5 4 4 2" xfId="22741" xr:uid="{AF9EDAA2-7946-44BC-B313-A8B260C23AC0}"/>
    <cellStyle name="Currency 5 2 2 5 4 5" xfId="18530" xr:uid="{9B26DB1F-B001-4030-B8EC-6D0852471359}"/>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1658CA2E-51B8-491C-9AAB-4DA06BCF9997}"/>
    <cellStyle name="Currency 5 2 2 5 5 2 2 3" xfId="29510" xr:uid="{E0542634-2983-4B86-B820-415DD69C8A4D}"/>
    <cellStyle name="Currency 5 2 2 5 5 2 3" xfId="12659" xr:uid="{5DB5789C-BA0E-4C43-BA10-7644AC98D622}"/>
    <cellStyle name="Currency 5 2 2 5 5 2 3 2" xfId="25299" xr:uid="{43D59C20-6535-42CC-87B1-8945B782D213}"/>
    <cellStyle name="Currency 5 2 2 5 5 2 4" xfId="21088" xr:uid="{8FDEE3FE-AAF6-40C5-B304-A77CDF2FCE70}"/>
    <cellStyle name="Currency 5 2 2 5 5 3" xfId="6303" xr:uid="{00000000-0005-0000-0000-00001A0C0000}"/>
    <cellStyle name="Currency 5 2 2 5 5 3 2" xfId="14732" xr:uid="{F94777B3-6000-4D52-8450-59224ACC3221}"/>
    <cellStyle name="Currency 5 2 2 5 5 3 3" xfId="27365" xr:uid="{CBBFB8DE-6E87-418F-A69E-28246953D9CF}"/>
    <cellStyle name="Currency 5 2 2 5 5 4" xfId="10514" xr:uid="{6DB4BDA0-8F0A-40F6-A54D-F27EC4D86430}"/>
    <cellStyle name="Currency 5 2 2 5 5 4 2" xfId="23154" xr:uid="{AE60F4EF-A101-42F0-9C95-7804AD66236F}"/>
    <cellStyle name="Currency 5 2 2 5 5 5" xfId="18943" xr:uid="{11898007-EA11-4B7E-9417-3EC9D65DAB0B}"/>
    <cellStyle name="Currency 5 2 2 5 6" xfId="2430" xr:uid="{00000000-0005-0000-0000-00001B0C0000}"/>
    <cellStyle name="Currency 5 2 2 5 6 2" xfId="6716" xr:uid="{00000000-0005-0000-0000-00001C0C0000}"/>
    <cellStyle name="Currency 5 2 2 5 6 2 2" xfId="15145" xr:uid="{4D6A524E-57F4-416F-9D62-E58F618DCBF5}"/>
    <cellStyle name="Currency 5 2 2 5 6 2 3" xfId="27778" xr:uid="{20BFD169-50C8-4479-A4D0-F6BCFF54AD0A}"/>
    <cellStyle name="Currency 5 2 2 5 6 3" xfId="10927" xr:uid="{82BF6E72-0975-4EEF-BBBF-90F3D9ECAEC0}"/>
    <cellStyle name="Currency 5 2 2 5 6 3 2" xfId="23567" xr:uid="{C0F9FA6D-4BC6-43F3-B22C-A1547E92BE37}"/>
    <cellStyle name="Currency 5 2 2 5 6 4" xfId="19356" xr:uid="{E7ED8DF1-1A61-454E-A607-2890985717BD}"/>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874B34F8-1476-4E5A-9B02-40156D5A39C2}"/>
    <cellStyle name="Currency 5 2 2 5 8 2 3" xfId="28095" xr:uid="{398EDB95-4A45-4C02-83BA-DA6847C19317}"/>
    <cellStyle name="Currency 5 2 2 5 8 3" xfId="11244" xr:uid="{3CD9E99F-9F31-4B7C-BE42-E72D291C63DF}"/>
    <cellStyle name="Currency 5 2 2 5 8 3 2" xfId="23884" xr:uid="{44A8DC55-FC95-4A23-8309-2D64E80B8DE4}"/>
    <cellStyle name="Currency 5 2 2 5 8 4" xfId="19673" xr:uid="{B66B7F3F-F402-4BA4-B441-B57DC57EB22A}"/>
    <cellStyle name="Currency 5 2 2 5 9" xfId="4650" xr:uid="{00000000-0005-0000-0000-0000200C0000}"/>
    <cellStyle name="Currency 5 2 2 5 9 2" xfId="13079" xr:uid="{9199B94D-70C5-449F-9F75-C3F7B2216290}"/>
    <cellStyle name="Currency 5 2 2 5 9 3" xfId="25712" xr:uid="{A1CB19B0-D64C-4027-AD5B-C300DF5F8408}"/>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F2199226-CA16-419B-B56C-3F6B47204199}"/>
    <cellStyle name="Currency 5 2 4 10 3" xfId="25713" xr:uid="{9BEB9AE3-0CA6-4C69-9FAA-985399834877}"/>
    <cellStyle name="Currency 5 2 4 11" xfId="8862" xr:uid="{E7E94FC1-CF02-488F-9446-2F7217EFC7C6}"/>
    <cellStyle name="Currency 5 2 4 11 2" xfId="21502" xr:uid="{EAE8D349-3CD1-4FC5-84E4-B15BFA495D13}"/>
    <cellStyle name="Currency 5 2 4 12" xfId="17291" xr:uid="{4E0574CF-13B5-482A-A9B0-3AAF125192C7}"/>
    <cellStyle name="Currency 5 2 4 2" xfId="206" xr:uid="{00000000-0005-0000-0000-0000250C0000}"/>
    <cellStyle name="Currency 5 2 4 2 10" xfId="8863" xr:uid="{D5410BAD-366E-4647-A29C-77BA5347D199}"/>
    <cellStyle name="Currency 5 2 4 2 10 2" xfId="21503" xr:uid="{195906EA-6153-4182-BAF1-684A062C040D}"/>
    <cellStyle name="Currency 5 2 4 2 11" xfId="17292" xr:uid="{BF3135AB-8046-44BE-A6A6-22C186C6C83F}"/>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C9085617-831A-4966-84FF-A142DFAC172D}"/>
    <cellStyle name="Currency 5 2 4 2 2 2 2 3" xfId="28273" xr:uid="{39B66FE6-7BD9-42C3-86BB-87351190DF69}"/>
    <cellStyle name="Currency 5 2 4 2 2 2 3" xfId="11422" xr:uid="{A6540BA3-EC9D-4D5C-B47B-4FF0D73B2CAC}"/>
    <cellStyle name="Currency 5 2 4 2 2 2 3 2" xfId="24062" xr:uid="{CA5808B7-C7E5-4F7B-97A4-57245C2F6C72}"/>
    <cellStyle name="Currency 5 2 4 2 2 2 4" xfId="19851" xr:uid="{022D61DA-E6AF-407E-B1AC-7C0A90E2ADDB}"/>
    <cellStyle name="Currency 5 2 4 2 2 3" xfId="5066" xr:uid="{00000000-0005-0000-0000-0000290C0000}"/>
    <cellStyle name="Currency 5 2 4 2 2 3 2" xfId="13495" xr:uid="{8C689925-37E2-4EEA-B9F9-F6559DB3584F}"/>
    <cellStyle name="Currency 5 2 4 2 2 3 3" xfId="26128" xr:uid="{05409166-8192-44DA-87B2-2F69E4FD8ADA}"/>
    <cellStyle name="Currency 5 2 4 2 2 4" xfId="9277" xr:uid="{DB03385C-2484-4E83-8BE2-CC913DED27BC}"/>
    <cellStyle name="Currency 5 2 4 2 2 4 2" xfId="21917" xr:uid="{52224BA3-426D-47B3-AA83-229CD9D892EE}"/>
    <cellStyle name="Currency 5 2 4 2 2 5" xfId="17706" xr:uid="{23EC9A07-C394-429F-BEDD-13B75DF51543}"/>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3C31A7F1-E334-4E42-98C4-8E654E4362AA}"/>
    <cellStyle name="Currency 5 2 4 2 3 2 2 3" xfId="28686" xr:uid="{C70F7E4B-5AE9-43D4-A7B9-35F9605A8A44}"/>
    <cellStyle name="Currency 5 2 4 2 3 2 3" xfId="11835" xr:uid="{C6F1267F-BCB7-4A6A-8BA1-5A4882684B70}"/>
    <cellStyle name="Currency 5 2 4 2 3 2 3 2" xfId="24475" xr:uid="{AC4DB47A-5CB7-4D14-823B-2C30AD0B64C4}"/>
    <cellStyle name="Currency 5 2 4 2 3 2 4" xfId="20264" xr:uid="{96EB6579-D69F-4712-BBBC-6B6BE28E62F4}"/>
    <cellStyle name="Currency 5 2 4 2 3 3" xfId="5479" xr:uid="{00000000-0005-0000-0000-00002D0C0000}"/>
    <cellStyle name="Currency 5 2 4 2 3 3 2" xfId="13908" xr:uid="{1098E15D-F36B-44BA-B25F-AD6F0254A55D}"/>
    <cellStyle name="Currency 5 2 4 2 3 3 3" xfId="26541" xr:uid="{FD44537C-4BEC-4E33-B4F3-6E30540E9327}"/>
    <cellStyle name="Currency 5 2 4 2 3 4" xfId="9690" xr:uid="{6A4B3F6C-5E96-4831-95D6-5A5FD0DDB431}"/>
    <cellStyle name="Currency 5 2 4 2 3 4 2" xfId="22330" xr:uid="{EF6CB37F-3197-44BF-B4EC-0AF1B5A3C002}"/>
    <cellStyle name="Currency 5 2 4 2 3 5" xfId="18119" xr:uid="{B07A8366-27A6-4724-AC2D-B869F41246A1}"/>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8E2F6A6E-A916-4D49-8EE8-CF3C7474408D}"/>
    <cellStyle name="Currency 5 2 4 2 4 2 2 3" xfId="29099" xr:uid="{C8CDB822-B3FE-4CCC-B5EE-C776A2168667}"/>
    <cellStyle name="Currency 5 2 4 2 4 2 3" xfId="12248" xr:uid="{9FA9FAD7-2FB5-45A2-9E88-0BD0159D2757}"/>
    <cellStyle name="Currency 5 2 4 2 4 2 3 2" xfId="24888" xr:uid="{B7D332B5-27D4-4E13-9872-507C536AE757}"/>
    <cellStyle name="Currency 5 2 4 2 4 2 4" xfId="20677" xr:uid="{C331423B-296C-40D3-A913-C7C9FC157BBF}"/>
    <cellStyle name="Currency 5 2 4 2 4 3" xfId="5892" xr:uid="{00000000-0005-0000-0000-0000310C0000}"/>
    <cellStyle name="Currency 5 2 4 2 4 3 2" xfId="14321" xr:uid="{EC2493FD-CC25-409A-AC1C-BBF0486863EB}"/>
    <cellStyle name="Currency 5 2 4 2 4 3 3" xfId="26954" xr:uid="{53F072FF-2B62-454A-90E7-EC9E559EA844}"/>
    <cellStyle name="Currency 5 2 4 2 4 4" xfId="10103" xr:uid="{19B3A030-1D1E-4C21-B8EF-31A30CFD15E6}"/>
    <cellStyle name="Currency 5 2 4 2 4 4 2" xfId="22743" xr:uid="{458F4171-DF03-4896-8186-095409F133C7}"/>
    <cellStyle name="Currency 5 2 4 2 4 5" xfId="18532" xr:uid="{E0FF3769-A9BD-41CA-8479-0FB4F49A4E96}"/>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A90D79E4-183A-4607-B977-B692B256F00F}"/>
    <cellStyle name="Currency 5 2 4 2 5 2 2 3" xfId="29512" xr:uid="{6A74298C-37DC-4430-AECC-247D9CB4A9E5}"/>
    <cellStyle name="Currency 5 2 4 2 5 2 3" xfId="12661" xr:uid="{F33905B3-2CDE-474E-963D-427F645340B2}"/>
    <cellStyle name="Currency 5 2 4 2 5 2 3 2" xfId="25301" xr:uid="{98EE123F-742E-401B-8BE0-D113FA53A4D3}"/>
    <cellStyle name="Currency 5 2 4 2 5 2 4" xfId="21090" xr:uid="{9D0E2D91-802F-472A-956C-FEAE0F52FFFE}"/>
    <cellStyle name="Currency 5 2 4 2 5 3" xfId="6305" xr:uid="{00000000-0005-0000-0000-0000350C0000}"/>
    <cellStyle name="Currency 5 2 4 2 5 3 2" xfId="14734" xr:uid="{8464C6A2-01FA-43A6-A1E7-77D1E0393252}"/>
    <cellStyle name="Currency 5 2 4 2 5 3 3" xfId="27367" xr:uid="{987DE216-8EB3-4283-8EC8-F1FCF0568F1D}"/>
    <cellStyle name="Currency 5 2 4 2 5 4" xfId="10516" xr:uid="{C8C6E8A4-8F88-46C2-8D98-A6CE3604CFDB}"/>
    <cellStyle name="Currency 5 2 4 2 5 4 2" xfId="23156" xr:uid="{F639E241-6B01-412C-AA87-347A42B9A87C}"/>
    <cellStyle name="Currency 5 2 4 2 5 5" xfId="18945" xr:uid="{C8027A72-5E44-4ECC-A556-C36F5F24D946}"/>
    <cellStyle name="Currency 5 2 4 2 6" xfId="2432" xr:uid="{00000000-0005-0000-0000-0000360C0000}"/>
    <cellStyle name="Currency 5 2 4 2 6 2" xfId="6718" xr:uid="{00000000-0005-0000-0000-0000370C0000}"/>
    <cellStyle name="Currency 5 2 4 2 6 2 2" xfId="15147" xr:uid="{2125840C-66B2-480C-91E6-51D1B2579688}"/>
    <cellStyle name="Currency 5 2 4 2 6 2 3" xfId="27780" xr:uid="{54B89F5B-115A-406F-AFB5-68D39730A005}"/>
    <cellStyle name="Currency 5 2 4 2 6 3" xfId="10929" xr:uid="{F52ECE0A-ADA1-4055-9971-E4D0218F864C}"/>
    <cellStyle name="Currency 5 2 4 2 6 3 2" xfId="23569" xr:uid="{6833B642-63D9-4567-B176-5107C0EA24D6}"/>
    <cellStyle name="Currency 5 2 4 2 6 4" xfId="19358" xr:uid="{D1A174A1-4F58-468D-A287-1ACF8ECC1C78}"/>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4FC1F547-9FC6-45D1-B625-DE355187DBB1}"/>
    <cellStyle name="Currency 5 2 4 2 8 2 3" xfId="28097" xr:uid="{B4B168D0-A25F-4F44-8BE2-1A90E9C60546}"/>
    <cellStyle name="Currency 5 2 4 2 8 3" xfId="11246" xr:uid="{2CFBFEBA-297F-4C02-AB7B-4FB928E72B36}"/>
    <cellStyle name="Currency 5 2 4 2 8 3 2" xfId="23886" xr:uid="{AF24EC7D-FB71-4B28-8CAD-A19022C7D01A}"/>
    <cellStyle name="Currency 5 2 4 2 8 4" xfId="19675" xr:uid="{F48944BD-BF99-48C2-88D0-6BEE8E2A73D0}"/>
    <cellStyle name="Currency 5 2 4 2 9" xfId="4652" xr:uid="{00000000-0005-0000-0000-00003B0C0000}"/>
    <cellStyle name="Currency 5 2 4 2 9 2" xfId="13081" xr:uid="{97333B3D-B32F-481C-A223-560E1CF36DA7}"/>
    <cellStyle name="Currency 5 2 4 2 9 3" xfId="25714" xr:uid="{1E14EB6E-FCAE-4F3E-9578-00B0C6D0119B}"/>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93256BFD-C73A-4B19-81F2-A02AA21A6D61}"/>
    <cellStyle name="Currency 5 2 4 3 2 2 3" xfId="28272" xr:uid="{C68095FB-0717-46EA-B6E5-C207CCBA565A}"/>
    <cellStyle name="Currency 5 2 4 3 2 3" xfId="11421" xr:uid="{2EEDDFEB-50BF-4CA4-B1D8-277637D36992}"/>
    <cellStyle name="Currency 5 2 4 3 2 3 2" xfId="24061" xr:uid="{6C75B6B1-5717-4EAC-B8F3-3BA31DABF2BD}"/>
    <cellStyle name="Currency 5 2 4 3 2 4" xfId="19850" xr:uid="{A55A10DA-AE2B-4F3B-909C-C93D858C7364}"/>
    <cellStyle name="Currency 5 2 4 3 3" xfId="5065" xr:uid="{00000000-0005-0000-0000-00003F0C0000}"/>
    <cellStyle name="Currency 5 2 4 3 3 2" xfId="13494" xr:uid="{9DA092BB-D5CD-4CA0-8B5B-201D436F0487}"/>
    <cellStyle name="Currency 5 2 4 3 3 3" xfId="26127" xr:uid="{1462DB40-5BD6-4461-81B8-FF4EF7D0D7C0}"/>
    <cellStyle name="Currency 5 2 4 3 4" xfId="9276" xr:uid="{1369B126-D0D0-4E2F-8772-B4CFC4EC0312}"/>
    <cellStyle name="Currency 5 2 4 3 4 2" xfId="21916" xr:uid="{EA36D08B-BDE9-4776-A2DA-31E6050829DF}"/>
    <cellStyle name="Currency 5 2 4 3 5" xfId="17705" xr:uid="{3098DF95-D2D8-4F1A-A238-6A12558EC2D1}"/>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68A607B3-D90F-4363-AFBF-CFE69E1EDB5C}"/>
    <cellStyle name="Currency 5 2 4 4 2 2 3" xfId="28685" xr:uid="{D0CD91FF-9920-4DE6-95BC-D7EDF6834115}"/>
    <cellStyle name="Currency 5 2 4 4 2 3" xfId="11834" xr:uid="{A27B8DAE-8A21-47B4-9854-39FC61A0A5AE}"/>
    <cellStyle name="Currency 5 2 4 4 2 3 2" xfId="24474" xr:uid="{69034682-0C63-4833-B8DF-714838D24E0A}"/>
    <cellStyle name="Currency 5 2 4 4 2 4" xfId="20263" xr:uid="{01F3E678-7DB9-40DD-8D68-1FE1BA2A294A}"/>
    <cellStyle name="Currency 5 2 4 4 3" xfId="5478" xr:uid="{00000000-0005-0000-0000-0000430C0000}"/>
    <cellStyle name="Currency 5 2 4 4 3 2" xfId="13907" xr:uid="{438816DC-D308-458F-81DB-933DA122AD4B}"/>
    <cellStyle name="Currency 5 2 4 4 3 3" xfId="26540" xr:uid="{6F138AC2-2E83-420B-ABD7-AEE0B932CD81}"/>
    <cellStyle name="Currency 5 2 4 4 4" xfId="9689" xr:uid="{6D331406-D6F1-4033-8F76-D24AAE608B96}"/>
    <cellStyle name="Currency 5 2 4 4 4 2" xfId="22329" xr:uid="{20CBF325-93A6-43D8-B840-369A407E4CAE}"/>
    <cellStyle name="Currency 5 2 4 4 5" xfId="18118" xr:uid="{DA12B581-A0FD-4C12-AAAF-7FC3120A595B}"/>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0A115383-8B24-44CB-ABE8-66A77D3D7ED2}"/>
    <cellStyle name="Currency 5 2 4 5 2 2 3" xfId="29098" xr:uid="{3417DA17-C5EF-497B-9E5A-23976941A036}"/>
    <cellStyle name="Currency 5 2 4 5 2 3" xfId="12247" xr:uid="{73C5F0B2-28E3-4354-93A0-18218F73804D}"/>
    <cellStyle name="Currency 5 2 4 5 2 3 2" xfId="24887" xr:uid="{75440979-FE30-4540-992E-7F994061B04B}"/>
    <cellStyle name="Currency 5 2 4 5 2 4" xfId="20676" xr:uid="{B990DCF8-694C-476A-9A30-8887B28627EF}"/>
    <cellStyle name="Currency 5 2 4 5 3" xfId="5891" xr:uid="{00000000-0005-0000-0000-0000470C0000}"/>
    <cellStyle name="Currency 5 2 4 5 3 2" xfId="14320" xr:uid="{D43E2FBC-74E4-4DF6-BB7B-5A5818EB4947}"/>
    <cellStyle name="Currency 5 2 4 5 3 3" xfId="26953" xr:uid="{08E4A017-6062-4807-A29A-4B1F8E451BE4}"/>
    <cellStyle name="Currency 5 2 4 5 4" xfId="10102" xr:uid="{E6F30442-59BB-4E28-9BCE-E9EFCA6DF631}"/>
    <cellStyle name="Currency 5 2 4 5 4 2" xfId="22742" xr:uid="{16CEDBC7-BF8A-44C3-BEB8-83CCBC785774}"/>
    <cellStyle name="Currency 5 2 4 5 5" xfId="18531" xr:uid="{282E5A48-A136-4673-8B85-285BD5B1AAC6}"/>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1543E54E-C1B0-4B65-9001-629DACE9B81C}"/>
    <cellStyle name="Currency 5 2 4 6 2 2 3" xfId="29511" xr:uid="{1492C23A-B208-4C89-A2FD-12C10E2A3DEA}"/>
    <cellStyle name="Currency 5 2 4 6 2 3" xfId="12660" xr:uid="{01050418-53B5-4430-8AFF-F86DFB9E5B14}"/>
    <cellStyle name="Currency 5 2 4 6 2 3 2" xfId="25300" xr:uid="{AB6096A3-A52E-4038-B1E8-CEA5A677BD58}"/>
    <cellStyle name="Currency 5 2 4 6 2 4" xfId="21089" xr:uid="{F6E9318C-1F9D-41DC-A1F6-693FEBD498F9}"/>
    <cellStyle name="Currency 5 2 4 6 3" xfId="6304" xr:uid="{00000000-0005-0000-0000-00004B0C0000}"/>
    <cellStyle name="Currency 5 2 4 6 3 2" xfId="14733" xr:uid="{F23BE978-2CE7-41FA-9E25-41B3675E1A4E}"/>
    <cellStyle name="Currency 5 2 4 6 3 3" xfId="27366" xr:uid="{DD7CC238-D3B4-4165-A956-7161F6B9FB71}"/>
    <cellStyle name="Currency 5 2 4 6 4" xfId="10515" xr:uid="{EC1C1AE4-706F-465A-B0F9-281471FCB9A8}"/>
    <cellStyle name="Currency 5 2 4 6 4 2" xfId="23155" xr:uid="{04A178F1-89E9-4EF9-816C-466B8E472CD8}"/>
    <cellStyle name="Currency 5 2 4 6 5" xfId="18944" xr:uid="{5531D719-9942-483F-9B04-41FCC9F3CC64}"/>
    <cellStyle name="Currency 5 2 4 7" xfId="2431" xr:uid="{00000000-0005-0000-0000-00004C0C0000}"/>
    <cellStyle name="Currency 5 2 4 7 2" xfId="6717" xr:uid="{00000000-0005-0000-0000-00004D0C0000}"/>
    <cellStyle name="Currency 5 2 4 7 2 2" xfId="15146" xr:uid="{4AB0327C-C30B-4C5C-AE84-303B0068B302}"/>
    <cellStyle name="Currency 5 2 4 7 2 3" xfId="27779" xr:uid="{79B6BD52-400A-4310-ACC0-373024FF496B}"/>
    <cellStyle name="Currency 5 2 4 7 3" xfId="10928" xr:uid="{4BB3186C-5AD9-4DE6-BE3B-5A91EA1AC3E8}"/>
    <cellStyle name="Currency 5 2 4 7 3 2" xfId="23568" xr:uid="{5D680008-998F-42EF-AD18-7C29E5945959}"/>
    <cellStyle name="Currency 5 2 4 7 4" xfId="19357" xr:uid="{5EACE89F-1755-4760-B9D9-9F34D41AB8EA}"/>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90567AEC-1907-4E92-8694-5FBDD5C12B2C}"/>
    <cellStyle name="Currency 5 2 4 9 2 3" xfId="28096" xr:uid="{D4C66E9C-CBEB-4267-A569-8DC3AF712AF2}"/>
    <cellStyle name="Currency 5 2 4 9 3" xfId="11245" xr:uid="{963EAD07-A347-4EBE-8D8A-2FFC4792D49D}"/>
    <cellStyle name="Currency 5 2 4 9 3 2" xfId="23885" xr:uid="{B6D9A603-BBAC-4C4B-A43B-9E7244926B02}"/>
    <cellStyle name="Currency 5 2 4 9 4" xfId="19674" xr:uid="{5493D37F-FAED-4EF1-8CF0-BDD0256E5FAF}"/>
    <cellStyle name="Currency 5 2 5" xfId="207" xr:uid="{00000000-0005-0000-0000-0000510C0000}"/>
    <cellStyle name="Currency 5 2 5 10" xfId="8864" xr:uid="{CA94EBC0-6E74-45BF-A1E7-4E97B284DF27}"/>
    <cellStyle name="Currency 5 2 5 10 2" xfId="21504" xr:uid="{7192D222-145C-48DA-9235-6BC20D33CC33}"/>
    <cellStyle name="Currency 5 2 5 11" xfId="17293" xr:uid="{DACB3A70-7CA3-4C23-B41C-9BF3B7D85D8A}"/>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7EA4806A-DC26-4463-B9CE-1E1F78B4C72F}"/>
    <cellStyle name="Currency 5 2 5 2 2 2 3" xfId="28274" xr:uid="{01CFB5F2-B8D5-402F-9D21-720DC623C38F}"/>
    <cellStyle name="Currency 5 2 5 2 2 3" xfId="11423" xr:uid="{794C45E6-EDCA-41A2-9F97-A462A71B0BF6}"/>
    <cellStyle name="Currency 5 2 5 2 2 3 2" xfId="24063" xr:uid="{DEB8D5D6-7609-4245-A986-A1814ED2F998}"/>
    <cellStyle name="Currency 5 2 5 2 2 4" xfId="19852" xr:uid="{AB6F25D4-DBA4-441F-A6CB-1CA5660F1B39}"/>
    <cellStyle name="Currency 5 2 5 2 3" xfId="5067" xr:uid="{00000000-0005-0000-0000-0000550C0000}"/>
    <cellStyle name="Currency 5 2 5 2 3 2" xfId="13496" xr:uid="{BC4D945A-994B-4F49-AD76-2CC5649004A0}"/>
    <cellStyle name="Currency 5 2 5 2 3 3" xfId="26129" xr:uid="{9B4D28FB-EE9D-44CE-B526-4B667720FF9E}"/>
    <cellStyle name="Currency 5 2 5 2 4" xfId="9278" xr:uid="{5CD463F8-64E9-4D2E-9218-E24D276EFB3E}"/>
    <cellStyle name="Currency 5 2 5 2 4 2" xfId="21918" xr:uid="{F594BD1C-0834-4C35-8090-2EA3DBEC4E69}"/>
    <cellStyle name="Currency 5 2 5 2 5" xfId="17707" xr:uid="{F97768E2-9A8B-46AF-A7DF-094F65AB081D}"/>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DF925F01-DCCB-4417-ACE9-0D7317A6F4F6}"/>
    <cellStyle name="Currency 5 2 5 3 2 2 3" xfId="28687" xr:uid="{87190FAC-E265-492D-ACDF-EF70B75E3EB4}"/>
    <cellStyle name="Currency 5 2 5 3 2 3" xfId="11836" xr:uid="{0CB81563-F9F0-4EC1-8F8E-6858748CF47A}"/>
    <cellStyle name="Currency 5 2 5 3 2 3 2" xfId="24476" xr:uid="{01C0E4F2-9BC8-4C88-BC4D-D06E4BAE74D4}"/>
    <cellStyle name="Currency 5 2 5 3 2 4" xfId="20265" xr:uid="{1B4A0F94-BF69-4784-85A5-ED8A5D53770A}"/>
    <cellStyle name="Currency 5 2 5 3 3" xfId="5480" xr:uid="{00000000-0005-0000-0000-0000590C0000}"/>
    <cellStyle name="Currency 5 2 5 3 3 2" xfId="13909" xr:uid="{1B1459C6-C0AF-49D6-8D42-92B65E7AFD81}"/>
    <cellStyle name="Currency 5 2 5 3 3 3" xfId="26542" xr:uid="{7570483B-96D3-4CDB-A901-5151DDD80F9A}"/>
    <cellStyle name="Currency 5 2 5 3 4" xfId="9691" xr:uid="{8FC96ECA-5901-451D-A705-9A9F7253BF35}"/>
    <cellStyle name="Currency 5 2 5 3 4 2" xfId="22331" xr:uid="{93128C28-A7D3-4C40-964B-0F8C2322697B}"/>
    <cellStyle name="Currency 5 2 5 3 5" xfId="18120" xr:uid="{541C5486-7C7F-4107-952D-3157FDC44EDB}"/>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0B58FC8B-92F3-4360-9507-3497857939FC}"/>
    <cellStyle name="Currency 5 2 5 4 2 2 3" xfId="29100" xr:uid="{BCE4EA6F-6A84-4B29-974C-F8B0736183B8}"/>
    <cellStyle name="Currency 5 2 5 4 2 3" xfId="12249" xr:uid="{09A4D2AB-A5A2-41C8-AC7A-35B8C35A005C}"/>
    <cellStyle name="Currency 5 2 5 4 2 3 2" xfId="24889" xr:uid="{CB446256-B8D7-45C6-9D13-12043C4033F1}"/>
    <cellStyle name="Currency 5 2 5 4 2 4" xfId="20678" xr:uid="{B0A3DE8B-3934-414A-AB04-758AB057D80C}"/>
    <cellStyle name="Currency 5 2 5 4 3" xfId="5893" xr:uid="{00000000-0005-0000-0000-00005D0C0000}"/>
    <cellStyle name="Currency 5 2 5 4 3 2" xfId="14322" xr:uid="{59A8F97A-B36E-4728-ABE8-02BE470AD575}"/>
    <cellStyle name="Currency 5 2 5 4 3 3" xfId="26955" xr:uid="{BA6B0063-3816-4899-B969-3497FFDF82FB}"/>
    <cellStyle name="Currency 5 2 5 4 4" xfId="10104" xr:uid="{899FDA3D-321E-45CE-9BB7-0A99393BB727}"/>
    <cellStyle name="Currency 5 2 5 4 4 2" xfId="22744" xr:uid="{5C9E5A37-0AB9-420A-9FE0-C7F2D8838710}"/>
    <cellStyle name="Currency 5 2 5 4 5" xfId="18533" xr:uid="{5FB17137-46A9-4EB5-AC0B-3A53022E3F11}"/>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381043AB-0B48-4EE6-B008-5E2232C1AF78}"/>
    <cellStyle name="Currency 5 2 5 5 2 2 3" xfId="29513" xr:uid="{133D4FB8-F5CD-4D9B-AD2B-69FD8FB02DB6}"/>
    <cellStyle name="Currency 5 2 5 5 2 3" xfId="12662" xr:uid="{83C3B70F-0E31-45FE-8752-565BEF888A95}"/>
    <cellStyle name="Currency 5 2 5 5 2 3 2" xfId="25302" xr:uid="{09EF9856-133A-4F8C-A8A9-8B7BC81A4434}"/>
    <cellStyle name="Currency 5 2 5 5 2 4" xfId="21091" xr:uid="{D53EEB01-B51C-493B-8606-A329DBFDDAA6}"/>
    <cellStyle name="Currency 5 2 5 5 3" xfId="6306" xr:uid="{00000000-0005-0000-0000-0000610C0000}"/>
    <cellStyle name="Currency 5 2 5 5 3 2" xfId="14735" xr:uid="{A8299760-1692-4429-AE71-0EBA790665F6}"/>
    <cellStyle name="Currency 5 2 5 5 3 3" xfId="27368" xr:uid="{AEE89488-6106-4E4D-A91D-95A0F0A12FFE}"/>
    <cellStyle name="Currency 5 2 5 5 4" xfId="10517" xr:uid="{49381299-D106-4A15-80D3-C783D28E878F}"/>
    <cellStyle name="Currency 5 2 5 5 4 2" xfId="23157" xr:uid="{CE189587-7CA1-4FC8-98FC-F2A76C09C056}"/>
    <cellStyle name="Currency 5 2 5 5 5" xfId="18946" xr:uid="{8D0E5C55-2410-4785-B91F-923AF6D514C4}"/>
    <cellStyle name="Currency 5 2 5 6" xfId="2433" xr:uid="{00000000-0005-0000-0000-0000620C0000}"/>
    <cellStyle name="Currency 5 2 5 6 2" xfId="6719" xr:uid="{00000000-0005-0000-0000-0000630C0000}"/>
    <cellStyle name="Currency 5 2 5 6 2 2" xfId="15148" xr:uid="{6026D0CD-2116-4BAA-9FB9-93F0B1532AD6}"/>
    <cellStyle name="Currency 5 2 5 6 2 3" xfId="27781" xr:uid="{3AF6D907-9A5A-43C1-BAA6-5D6E092BDD17}"/>
    <cellStyle name="Currency 5 2 5 6 3" xfId="10930" xr:uid="{045822A7-33C2-4A34-962D-7DF9B4FFA2EC}"/>
    <cellStyle name="Currency 5 2 5 6 3 2" xfId="23570" xr:uid="{8608884F-1507-4C77-BD50-C82407D011F8}"/>
    <cellStyle name="Currency 5 2 5 6 4" xfId="19359" xr:uid="{CCDD9C6F-B2B0-4F26-9AB6-0D53951DCAE6}"/>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A75B6D77-463E-46C3-B44E-1B2367DBE410}"/>
    <cellStyle name="Currency 5 2 5 8 2 3" xfId="28098" xr:uid="{D92D4648-11E9-4502-825F-9940A5053415}"/>
    <cellStyle name="Currency 5 2 5 8 3" xfId="11247" xr:uid="{744E0588-417C-451A-9870-18DA6199249D}"/>
    <cellStyle name="Currency 5 2 5 8 3 2" xfId="23887" xr:uid="{06AEBC3D-A143-4F28-B142-6B04824E64CE}"/>
    <cellStyle name="Currency 5 2 5 8 4" xfId="19676" xr:uid="{B0CEC66D-4A48-4A2E-B9B0-B4AB265E754A}"/>
    <cellStyle name="Currency 5 2 5 9" xfId="4653" xr:uid="{00000000-0005-0000-0000-0000670C0000}"/>
    <cellStyle name="Currency 5 2 5 9 2" xfId="13082" xr:uid="{666133CD-36A1-4AEA-A295-ADDFABBFBF73}"/>
    <cellStyle name="Currency 5 2 5 9 3" xfId="25715" xr:uid="{1D451E0D-6FC3-4A55-90EF-99B8D67FDB01}"/>
    <cellStyle name="Currency 5 2 6" xfId="208" xr:uid="{00000000-0005-0000-0000-0000680C0000}"/>
    <cellStyle name="Currency 5 2 6 10" xfId="8865" xr:uid="{35DE4A34-5AC7-48B6-9B90-23CDF154ECB1}"/>
    <cellStyle name="Currency 5 2 6 10 2" xfId="21505" xr:uid="{CAFF557D-E932-4025-B68F-4BCA8E190543}"/>
    <cellStyle name="Currency 5 2 6 11" xfId="17294" xr:uid="{7DE7C883-B6FC-47F6-B732-6FE99D26FB90}"/>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BDBDDBDE-A296-48AF-AF3C-227A1FA7A73A}"/>
    <cellStyle name="Currency 5 2 6 2 2 2 3" xfId="28275" xr:uid="{88522D8C-DCE5-4561-8725-2A55B52BF195}"/>
    <cellStyle name="Currency 5 2 6 2 2 3" xfId="11424" xr:uid="{5FC737FA-251C-4987-A59A-EAC83208848C}"/>
    <cellStyle name="Currency 5 2 6 2 2 3 2" xfId="24064" xr:uid="{432DFF4B-F406-4C1C-8137-B778AF38489F}"/>
    <cellStyle name="Currency 5 2 6 2 2 4" xfId="19853" xr:uid="{9ADA6E4E-A1D3-4FCF-BF5C-D48DBD8DF941}"/>
    <cellStyle name="Currency 5 2 6 2 3" xfId="5068" xr:uid="{00000000-0005-0000-0000-00006C0C0000}"/>
    <cellStyle name="Currency 5 2 6 2 3 2" xfId="13497" xr:uid="{9CBE7617-4640-4182-841D-08DA6A2F2399}"/>
    <cellStyle name="Currency 5 2 6 2 3 3" xfId="26130" xr:uid="{74097FAE-53F2-4210-B8C0-F7834AC6633B}"/>
    <cellStyle name="Currency 5 2 6 2 4" xfId="9279" xr:uid="{FB2F5E69-AE31-4050-9DD8-12E6ED481CBE}"/>
    <cellStyle name="Currency 5 2 6 2 4 2" xfId="21919" xr:uid="{5D00C971-3C1F-404A-95D2-2055B52E633A}"/>
    <cellStyle name="Currency 5 2 6 2 5" xfId="17708" xr:uid="{FAA5022B-1A2E-4429-BC8B-BD4216B5E13A}"/>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75181207-7781-44CB-87CA-E8A397293B12}"/>
    <cellStyle name="Currency 5 2 6 3 2 2 3" xfId="28688" xr:uid="{D6FE763F-A7D2-41E8-84AD-2844B31F1754}"/>
    <cellStyle name="Currency 5 2 6 3 2 3" xfId="11837" xr:uid="{49B16AC5-401C-4C90-B996-A5EBDD2139F8}"/>
    <cellStyle name="Currency 5 2 6 3 2 3 2" xfId="24477" xr:uid="{320FCE38-8C27-478D-B1C8-A9CF08F600FF}"/>
    <cellStyle name="Currency 5 2 6 3 2 4" xfId="20266" xr:uid="{9551524A-1F9E-4069-BC29-16451AF71A22}"/>
    <cellStyle name="Currency 5 2 6 3 3" xfId="5481" xr:uid="{00000000-0005-0000-0000-0000700C0000}"/>
    <cellStyle name="Currency 5 2 6 3 3 2" xfId="13910" xr:uid="{541D2A3C-9653-4A32-B6FB-5FF157B5E3AC}"/>
    <cellStyle name="Currency 5 2 6 3 3 3" xfId="26543" xr:uid="{4CFE3396-E85F-4971-A3F1-6A59FDB27E5B}"/>
    <cellStyle name="Currency 5 2 6 3 4" xfId="9692" xr:uid="{60C6A77F-39E8-4902-B8A8-E3E11458CF44}"/>
    <cellStyle name="Currency 5 2 6 3 4 2" xfId="22332" xr:uid="{30EFE0B0-71CE-4EA2-9E5D-607223C64666}"/>
    <cellStyle name="Currency 5 2 6 3 5" xfId="18121" xr:uid="{3E060907-4E41-45D7-9B5A-1FADD38F3267}"/>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A7984CA2-FDD0-4E67-9638-88E064E75C3B}"/>
    <cellStyle name="Currency 5 2 6 4 2 2 3" xfId="29101" xr:uid="{C51A0DAD-4260-4804-A4AD-626757A4DD5E}"/>
    <cellStyle name="Currency 5 2 6 4 2 3" xfId="12250" xr:uid="{B76CE2AD-ACF3-47E1-8537-80098F1AF7CB}"/>
    <cellStyle name="Currency 5 2 6 4 2 3 2" xfId="24890" xr:uid="{857C3C87-8151-4E03-A604-1F46A3E005F7}"/>
    <cellStyle name="Currency 5 2 6 4 2 4" xfId="20679" xr:uid="{DB0CE40C-B88A-4806-9E0A-3AB494A55EC1}"/>
    <cellStyle name="Currency 5 2 6 4 3" xfId="5894" xr:uid="{00000000-0005-0000-0000-0000740C0000}"/>
    <cellStyle name="Currency 5 2 6 4 3 2" xfId="14323" xr:uid="{D31C4544-FA5A-468C-A98C-F143CA156A47}"/>
    <cellStyle name="Currency 5 2 6 4 3 3" xfId="26956" xr:uid="{3E9672EF-0A57-49CE-B128-B95E9376C2D6}"/>
    <cellStyle name="Currency 5 2 6 4 4" xfId="10105" xr:uid="{C436FBFA-EA43-4E93-8746-A2D7EF50F178}"/>
    <cellStyle name="Currency 5 2 6 4 4 2" xfId="22745" xr:uid="{C03CCC67-E65A-407D-802A-6832132F9528}"/>
    <cellStyle name="Currency 5 2 6 4 5" xfId="18534" xr:uid="{30FA09C5-E150-4B2C-BD8D-B639CA2ADE68}"/>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4AE16F33-60DC-49F9-AECD-9982CFCAC09E}"/>
    <cellStyle name="Currency 5 2 6 5 2 2 3" xfId="29514" xr:uid="{7423F90E-D670-4C21-94EA-922F0C56BD98}"/>
    <cellStyle name="Currency 5 2 6 5 2 3" xfId="12663" xr:uid="{5106C623-7132-47BC-88CF-8DA6462AB771}"/>
    <cellStyle name="Currency 5 2 6 5 2 3 2" xfId="25303" xr:uid="{F2AC7C47-3DEB-4F8C-85ED-7A69FD3F50E6}"/>
    <cellStyle name="Currency 5 2 6 5 2 4" xfId="21092" xr:uid="{3EA8C5ED-F217-493A-B654-FBB1CCEB9262}"/>
    <cellStyle name="Currency 5 2 6 5 3" xfId="6307" xr:uid="{00000000-0005-0000-0000-0000780C0000}"/>
    <cellStyle name="Currency 5 2 6 5 3 2" xfId="14736" xr:uid="{5F544B83-9273-41E2-A228-153FE1169B0D}"/>
    <cellStyle name="Currency 5 2 6 5 3 3" xfId="27369" xr:uid="{DFE9CDA0-4458-40B9-8B31-F64B6BA8A4CD}"/>
    <cellStyle name="Currency 5 2 6 5 4" xfId="10518" xr:uid="{D78A75DE-DD51-490D-B58F-A32596623C49}"/>
    <cellStyle name="Currency 5 2 6 5 4 2" xfId="23158" xr:uid="{51950E0C-0553-46D5-BFED-94FF1ABD9413}"/>
    <cellStyle name="Currency 5 2 6 5 5" xfId="18947" xr:uid="{66BE519D-5988-4BF2-B373-FB9CA5E811AF}"/>
    <cellStyle name="Currency 5 2 6 6" xfId="2434" xr:uid="{00000000-0005-0000-0000-0000790C0000}"/>
    <cellStyle name="Currency 5 2 6 6 2" xfId="6720" xr:uid="{00000000-0005-0000-0000-00007A0C0000}"/>
    <cellStyle name="Currency 5 2 6 6 2 2" xfId="15149" xr:uid="{C8DE8682-BE92-40AF-A0D6-92D7FB49B932}"/>
    <cellStyle name="Currency 5 2 6 6 2 3" xfId="27782" xr:uid="{04201B22-514D-4258-9C37-776A393178CD}"/>
    <cellStyle name="Currency 5 2 6 6 3" xfId="10931" xr:uid="{D9979FBB-6A9F-4959-ABA3-620EF7C2324C}"/>
    <cellStyle name="Currency 5 2 6 6 3 2" xfId="23571" xr:uid="{FD2D544F-A67B-407E-97BF-9EB3E65AFD0C}"/>
    <cellStyle name="Currency 5 2 6 6 4" xfId="19360" xr:uid="{FC504272-E135-4D3A-8BE0-23293B94295D}"/>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451E3008-944E-4DA8-A4AA-0B223E25967A}"/>
    <cellStyle name="Currency 5 2 6 8 2 3" xfId="28099" xr:uid="{18D82C0E-2107-4A02-8903-C3F1CAB42CDA}"/>
    <cellStyle name="Currency 5 2 6 8 3" xfId="11248" xr:uid="{27B78EAB-AEF8-4694-9819-ACDB5D0D6377}"/>
    <cellStyle name="Currency 5 2 6 8 3 2" xfId="23888" xr:uid="{C905503A-B485-4D73-8F35-77BF1D0B71F7}"/>
    <cellStyle name="Currency 5 2 6 8 4" xfId="19677" xr:uid="{33F982DD-9AD4-46B4-822A-89DA0C8E1936}"/>
    <cellStyle name="Currency 5 2 6 9" xfId="4654" xr:uid="{00000000-0005-0000-0000-00007E0C0000}"/>
    <cellStyle name="Currency 5 2 6 9 2" xfId="13083" xr:uid="{B40954F4-B4C2-4DDE-B260-A2BA362C1BC9}"/>
    <cellStyle name="Currency 5 2 6 9 3" xfId="25716" xr:uid="{1522DDCF-38CC-49AD-8500-D9C49D289843}"/>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0190FC27-02DB-45B8-80CD-72A8268AA87A}"/>
    <cellStyle name="Currency 5 3 2 10 2 3" xfId="28100" xr:uid="{739BCF15-9374-41C5-8710-A279DCF781B9}"/>
    <cellStyle name="Currency 5 3 2 10 3" xfId="11249" xr:uid="{BC8E5B16-2A3C-451E-B72A-B494A77C577D}"/>
    <cellStyle name="Currency 5 3 2 10 3 2" xfId="23889" xr:uid="{9BE099A7-C0BA-40F6-BD85-F81A46E67526}"/>
    <cellStyle name="Currency 5 3 2 10 4" xfId="19678" xr:uid="{C41A67E2-B7C9-496F-930C-C76289DBEC43}"/>
    <cellStyle name="Currency 5 3 2 11" xfId="4655" xr:uid="{00000000-0005-0000-0000-0000840C0000}"/>
    <cellStyle name="Currency 5 3 2 11 2" xfId="13084" xr:uid="{3F776597-562D-4E0B-83F9-16279FD415F6}"/>
    <cellStyle name="Currency 5 3 2 11 3" xfId="25717" xr:uid="{5CC59125-D4FD-4FF2-AD9D-E70490677285}"/>
    <cellStyle name="Currency 5 3 2 12" xfId="8866" xr:uid="{C0E55FAD-5FB4-455F-A645-F215F8D17DEE}"/>
    <cellStyle name="Currency 5 3 2 12 2" xfId="21506" xr:uid="{001FD4E8-67D2-413F-A0A3-0AFB5DB9045E}"/>
    <cellStyle name="Currency 5 3 2 13" xfId="17295" xr:uid="{FC5F6B81-FC75-4F3A-9E1C-F9B1B33163B1}"/>
    <cellStyle name="Currency 5 3 2 2" xfId="211" xr:uid="{00000000-0005-0000-0000-0000850C0000}"/>
    <cellStyle name="Currency 5 3 2 2 10" xfId="4656" xr:uid="{00000000-0005-0000-0000-0000860C0000}"/>
    <cellStyle name="Currency 5 3 2 2 10 2" xfId="13085" xr:uid="{7A3A79DE-241A-4245-B7F4-EA882F5EB6CF}"/>
    <cellStyle name="Currency 5 3 2 2 10 3" xfId="25718" xr:uid="{448268F5-99DD-4603-8D84-7301BDAE51F6}"/>
    <cellStyle name="Currency 5 3 2 2 11" xfId="8867" xr:uid="{432ABFB7-2180-482C-BCFF-9AC4A3F21751}"/>
    <cellStyle name="Currency 5 3 2 2 11 2" xfId="21507" xr:uid="{C2BF78ED-2218-4611-BC9C-CC9A9642374E}"/>
    <cellStyle name="Currency 5 3 2 2 12" xfId="17296" xr:uid="{320DE9C7-E345-4501-AEAA-7BB0D715E292}"/>
    <cellStyle name="Currency 5 3 2 2 2" xfId="212" xr:uid="{00000000-0005-0000-0000-0000870C0000}"/>
    <cellStyle name="Currency 5 3 2 2 2 10" xfId="8868" xr:uid="{BCA2056B-45B6-4399-816A-1F9B5F9962AF}"/>
    <cellStyle name="Currency 5 3 2 2 2 10 2" xfId="21508" xr:uid="{A584398E-F62E-4F80-B9BA-BDBC01D01704}"/>
    <cellStyle name="Currency 5 3 2 2 2 11" xfId="17297" xr:uid="{3D3F83EA-FDF5-4DE8-A4BF-05C3CD1D526D}"/>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CC699763-5E22-479D-8897-5B5E08E225E8}"/>
    <cellStyle name="Currency 5 3 2 2 2 2 2 2 3" xfId="28278" xr:uid="{F7136031-6490-441E-BA94-B15874A5235A}"/>
    <cellStyle name="Currency 5 3 2 2 2 2 2 3" xfId="11427" xr:uid="{EC17B9AF-D2C3-47A8-9643-B79EDB4846E9}"/>
    <cellStyle name="Currency 5 3 2 2 2 2 2 3 2" xfId="24067" xr:uid="{1EC569C4-4032-454A-B65A-A7FA2651BCE0}"/>
    <cellStyle name="Currency 5 3 2 2 2 2 2 4" xfId="19856" xr:uid="{07C908A3-F404-457B-9DFA-F71B8BFB209C}"/>
    <cellStyle name="Currency 5 3 2 2 2 2 3" xfId="5071" xr:uid="{00000000-0005-0000-0000-00008B0C0000}"/>
    <cellStyle name="Currency 5 3 2 2 2 2 3 2" xfId="13500" xr:uid="{C43474E8-7E67-429C-B8B0-4D045AD2E9F3}"/>
    <cellStyle name="Currency 5 3 2 2 2 2 3 3" xfId="26133" xr:uid="{573ACCD2-C6BD-41F6-B63E-3DD931F22B60}"/>
    <cellStyle name="Currency 5 3 2 2 2 2 4" xfId="9282" xr:uid="{17C71DAB-E3FF-491C-B5ED-438EEC8C6F1E}"/>
    <cellStyle name="Currency 5 3 2 2 2 2 4 2" xfId="21922" xr:uid="{BA2A9BB5-8EDD-487B-83AE-9715B5A730A6}"/>
    <cellStyle name="Currency 5 3 2 2 2 2 5" xfId="17711" xr:uid="{3B833799-845E-460C-AD06-752B08294A74}"/>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47F72652-8AA8-451F-9C80-F0CE3DF10528}"/>
    <cellStyle name="Currency 5 3 2 2 2 3 2 2 3" xfId="28691" xr:uid="{26508CF0-179E-451E-9F36-698BFBC542A0}"/>
    <cellStyle name="Currency 5 3 2 2 2 3 2 3" xfId="11840" xr:uid="{F82EC369-8B9F-4158-A6B0-C88F9EC571DD}"/>
    <cellStyle name="Currency 5 3 2 2 2 3 2 3 2" xfId="24480" xr:uid="{EB0E4E35-8F4F-4D15-8272-0A810D7B0312}"/>
    <cellStyle name="Currency 5 3 2 2 2 3 2 4" xfId="20269" xr:uid="{F2905421-E98E-47E8-90E6-5D39EF757568}"/>
    <cellStyle name="Currency 5 3 2 2 2 3 3" xfId="5484" xr:uid="{00000000-0005-0000-0000-00008F0C0000}"/>
    <cellStyle name="Currency 5 3 2 2 2 3 3 2" xfId="13913" xr:uid="{36D6B5BD-CEAC-4C1E-9972-2541CC404D41}"/>
    <cellStyle name="Currency 5 3 2 2 2 3 3 3" xfId="26546" xr:uid="{D2C8F232-3331-4EE7-895A-49F1B5F442C6}"/>
    <cellStyle name="Currency 5 3 2 2 2 3 4" xfId="9695" xr:uid="{20BAB6CE-D310-42DC-97C3-68A0D0148DA7}"/>
    <cellStyle name="Currency 5 3 2 2 2 3 4 2" xfId="22335" xr:uid="{23A7D5E2-C265-45D4-A90B-54EA74FBCF7D}"/>
    <cellStyle name="Currency 5 3 2 2 2 3 5" xfId="18124" xr:uid="{61D0CE26-7320-4652-AB9E-E04AD867465A}"/>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FD9AB479-F857-4572-B344-5468EA4C40E9}"/>
    <cellStyle name="Currency 5 3 2 2 2 4 2 2 3" xfId="29104" xr:uid="{CBAB15F8-F751-492C-85C5-57EB35835B42}"/>
    <cellStyle name="Currency 5 3 2 2 2 4 2 3" xfId="12253" xr:uid="{AD86DC1C-676E-4C46-B744-F74DD0611867}"/>
    <cellStyle name="Currency 5 3 2 2 2 4 2 3 2" xfId="24893" xr:uid="{47C6675C-4535-474A-A695-E7F2E474F9CC}"/>
    <cellStyle name="Currency 5 3 2 2 2 4 2 4" xfId="20682" xr:uid="{D052B767-4279-4681-821A-722DD8733BE4}"/>
    <cellStyle name="Currency 5 3 2 2 2 4 3" xfId="5897" xr:uid="{00000000-0005-0000-0000-0000930C0000}"/>
    <cellStyle name="Currency 5 3 2 2 2 4 3 2" xfId="14326" xr:uid="{1B620460-3E81-4FE7-921D-F51FD8542BA7}"/>
    <cellStyle name="Currency 5 3 2 2 2 4 3 3" xfId="26959" xr:uid="{EE0899F6-C32B-420F-903E-4226F5EB3F22}"/>
    <cellStyle name="Currency 5 3 2 2 2 4 4" xfId="10108" xr:uid="{C81F6A00-D076-4D2D-A584-140930F8788B}"/>
    <cellStyle name="Currency 5 3 2 2 2 4 4 2" xfId="22748" xr:uid="{0B86919B-B7AB-4CDA-A936-E763CA192788}"/>
    <cellStyle name="Currency 5 3 2 2 2 4 5" xfId="18537" xr:uid="{D556944C-38B4-424C-823F-A8A6F0B1BF6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6A218A78-4C60-4C68-B808-C373AE622345}"/>
    <cellStyle name="Currency 5 3 2 2 2 5 2 2 3" xfId="29517" xr:uid="{85DDC759-2CE2-45A3-9ECE-B880C34117E2}"/>
    <cellStyle name="Currency 5 3 2 2 2 5 2 3" xfId="12666" xr:uid="{55838F0F-B0D2-48B9-86D9-3DC968CBC53E}"/>
    <cellStyle name="Currency 5 3 2 2 2 5 2 3 2" xfId="25306" xr:uid="{FF67488D-E0BF-4857-BFA8-EEA5DB6B7F2B}"/>
    <cellStyle name="Currency 5 3 2 2 2 5 2 4" xfId="21095" xr:uid="{3DE2428A-5AE6-42CC-8327-161ED2F3F2ED}"/>
    <cellStyle name="Currency 5 3 2 2 2 5 3" xfId="6310" xr:uid="{00000000-0005-0000-0000-0000970C0000}"/>
    <cellStyle name="Currency 5 3 2 2 2 5 3 2" xfId="14739" xr:uid="{5F04186B-953C-4386-A0CA-955C9398FE9C}"/>
    <cellStyle name="Currency 5 3 2 2 2 5 3 3" xfId="27372" xr:uid="{B1CF7C9B-F8B0-41CE-B00A-C5C53DD6FEF7}"/>
    <cellStyle name="Currency 5 3 2 2 2 5 4" xfId="10521" xr:uid="{18ACE8B6-7C1E-4F7D-A4FA-11BC19CD21C3}"/>
    <cellStyle name="Currency 5 3 2 2 2 5 4 2" xfId="23161" xr:uid="{A6E4B830-78B3-44AE-9188-5FF538E1AB24}"/>
    <cellStyle name="Currency 5 3 2 2 2 5 5" xfId="18950" xr:uid="{648DFCA9-5DD8-4966-AAAA-638577FC175A}"/>
    <cellStyle name="Currency 5 3 2 2 2 6" xfId="2437" xr:uid="{00000000-0005-0000-0000-0000980C0000}"/>
    <cellStyle name="Currency 5 3 2 2 2 6 2" xfId="6723" xr:uid="{00000000-0005-0000-0000-0000990C0000}"/>
    <cellStyle name="Currency 5 3 2 2 2 6 2 2" xfId="15152" xr:uid="{69F4A8C6-7195-4EFA-A139-9762238A28A0}"/>
    <cellStyle name="Currency 5 3 2 2 2 6 2 3" xfId="27785" xr:uid="{C303ED02-78C4-4BC8-937B-F8D7206379D8}"/>
    <cellStyle name="Currency 5 3 2 2 2 6 3" xfId="10934" xr:uid="{98C759BD-0F70-4526-943A-7CE3A2D19080}"/>
    <cellStyle name="Currency 5 3 2 2 2 6 3 2" xfId="23574" xr:uid="{1F0D8DC3-BDCB-4504-AF31-8CB85D6D9541}"/>
    <cellStyle name="Currency 5 3 2 2 2 6 4" xfId="19363" xr:uid="{4B7093B0-BE14-41B8-B458-531FC3CB6596}"/>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4B2D8BB3-9D1A-464C-B026-AD0AFB545BF4}"/>
    <cellStyle name="Currency 5 3 2 2 2 8 2 3" xfId="28102" xr:uid="{FF7ABDD4-C9A4-4A03-8B0F-EBD4C2F6660D}"/>
    <cellStyle name="Currency 5 3 2 2 2 8 3" xfId="11251" xr:uid="{A8A0B526-5B59-438E-8821-63C0F71B6902}"/>
    <cellStyle name="Currency 5 3 2 2 2 8 3 2" xfId="23891" xr:uid="{FB786D11-2421-456D-B7DF-59ABDB4784A6}"/>
    <cellStyle name="Currency 5 3 2 2 2 8 4" xfId="19680" xr:uid="{7315A0EA-DE0C-4692-B0DF-B950F30CEB58}"/>
    <cellStyle name="Currency 5 3 2 2 2 9" xfId="4657" xr:uid="{00000000-0005-0000-0000-00009D0C0000}"/>
    <cellStyle name="Currency 5 3 2 2 2 9 2" xfId="13086" xr:uid="{6EF82A42-CA0E-479F-BCCC-67A3FEE6F1D9}"/>
    <cellStyle name="Currency 5 3 2 2 2 9 3" xfId="25719" xr:uid="{3E0005FF-953B-4464-B6A5-F57F336EF773}"/>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5FCE3D78-24AA-47A4-8B7C-E5597DC94C19}"/>
    <cellStyle name="Currency 5 3 2 2 3 2 2 3" xfId="28277" xr:uid="{83005A1F-5209-4162-835B-70BB5E6091A9}"/>
    <cellStyle name="Currency 5 3 2 2 3 2 3" xfId="11426" xr:uid="{292E32CC-2B4C-4C65-A8FB-FBC029E6CB55}"/>
    <cellStyle name="Currency 5 3 2 2 3 2 3 2" xfId="24066" xr:uid="{D1313538-5456-40BF-9E1B-661859E8E496}"/>
    <cellStyle name="Currency 5 3 2 2 3 2 4" xfId="19855" xr:uid="{D40E8677-1082-4F74-AC8D-846E0C14D839}"/>
    <cellStyle name="Currency 5 3 2 2 3 3" xfId="5070" xr:uid="{00000000-0005-0000-0000-0000A10C0000}"/>
    <cellStyle name="Currency 5 3 2 2 3 3 2" xfId="13499" xr:uid="{0B56C1AB-D9DD-4382-8003-8D2C2F648AE8}"/>
    <cellStyle name="Currency 5 3 2 2 3 3 3" xfId="26132" xr:uid="{EDF3A351-F8B1-4DE7-A5B8-170FB5AA6E84}"/>
    <cellStyle name="Currency 5 3 2 2 3 4" xfId="9281" xr:uid="{F8B6B261-19BF-40DB-8CD5-42196F06B5FE}"/>
    <cellStyle name="Currency 5 3 2 2 3 4 2" xfId="21921" xr:uid="{ED6F6AA6-53D0-4B0E-B18B-EF42F8D18915}"/>
    <cellStyle name="Currency 5 3 2 2 3 5" xfId="17710" xr:uid="{1A280FA7-80BC-4293-B479-EECB5596A3EB}"/>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FD5ADB29-9FD2-4D49-8662-43722CDD24E7}"/>
    <cellStyle name="Currency 5 3 2 2 4 2 2 3" xfId="28690" xr:uid="{4DB13EF7-2BCF-464A-BBF1-D0F3D2618F33}"/>
    <cellStyle name="Currency 5 3 2 2 4 2 3" xfId="11839" xr:uid="{1722FE4E-C71B-4CF6-9180-C708BBD71E23}"/>
    <cellStyle name="Currency 5 3 2 2 4 2 3 2" xfId="24479" xr:uid="{917E6FD2-2A7D-47CE-8BF7-F992E874ABF7}"/>
    <cellStyle name="Currency 5 3 2 2 4 2 4" xfId="20268" xr:uid="{2A380BC7-F5BA-49B9-A945-1D01ACB9533B}"/>
    <cellStyle name="Currency 5 3 2 2 4 3" xfId="5483" xr:uid="{00000000-0005-0000-0000-0000A50C0000}"/>
    <cellStyle name="Currency 5 3 2 2 4 3 2" xfId="13912" xr:uid="{32678AD5-6D65-4951-9C6E-F987B7335F9F}"/>
    <cellStyle name="Currency 5 3 2 2 4 3 3" xfId="26545" xr:uid="{C60B049B-B0C1-47D9-8FC5-08180ADF91D3}"/>
    <cellStyle name="Currency 5 3 2 2 4 4" xfId="9694" xr:uid="{EA58D972-2631-4E83-86D2-6C7631A59924}"/>
    <cellStyle name="Currency 5 3 2 2 4 4 2" xfId="22334" xr:uid="{F11A00BB-54FF-4203-95B9-383FCB66F7F7}"/>
    <cellStyle name="Currency 5 3 2 2 4 5" xfId="18123" xr:uid="{4678CC7D-A04A-4B09-BECC-8E8F56AE04CD}"/>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B576085D-F9E8-4A24-A16C-32D9F9C7E05B}"/>
    <cellStyle name="Currency 5 3 2 2 5 2 2 3" xfId="29103" xr:uid="{AD7D7A51-09CD-4DB9-9ECF-B83FB983CCCF}"/>
    <cellStyle name="Currency 5 3 2 2 5 2 3" xfId="12252" xr:uid="{49EA658C-3111-4D6B-8698-D0438AEF5C88}"/>
    <cellStyle name="Currency 5 3 2 2 5 2 3 2" xfId="24892" xr:uid="{0B96E413-58E5-44E2-BAE8-BD0718EA32E3}"/>
    <cellStyle name="Currency 5 3 2 2 5 2 4" xfId="20681" xr:uid="{81CAD631-9313-4A57-B759-F0745B28AB81}"/>
    <cellStyle name="Currency 5 3 2 2 5 3" xfId="5896" xr:uid="{00000000-0005-0000-0000-0000A90C0000}"/>
    <cellStyle name="Currency 5 3 2 2 5 3 2" xfId="14325" xr:uid="{D07DF8E2-5F02-49A5-BF44-30C6C2CD1488}"/>
    <cellStyle name="Currency 5 3 2 2 5 3 3" xfId="26958" xr:uid="{7DC0D1C8-4F5C-4605-8BA5-0AB941434781}"/>
    <cellStyle name="Currency 5 3 2 2 5 4" xfId="10107" xr:uid="{DDB3633A-C5B8-4EDD-9D0F-6E3F15B1ED98}"/>
    <cellStyle name="Currency 5 3 2 2 5 4 2" xfId="22747" xr:uid="{53F30710-126E-46B2-8791-B671B013FA80}"/>
    <cellStyle name="Currency 5 3 2 2 5 5" xfId="18536" xr:uid="{61B3221C-887A-45B0-A994-89EDDBE53D0B}"/>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FDDDD7F6-423C-422F-9FD7-13BEB01B5C41}"/>
    <cellStyle name="Currency 5 3 2 2 6 2 2 3" xfId="29516" xr:uid="{9854AB60-6C7D-43A9-9499-A95F563CDECA}"/>
    <cellStyle name="Currency 5 3 2 2 6 2 3" xfId="12665" xr:uid="{2F72A48E-82A0-4F1C-9863-5A88A5BDF849}"/>
    <cellStyle name="Currency 5 3 2 2 6 2 3 2" xfId="25305" xr:uid="{82EAE0FD-3E50-4EF5-9EA2-E4BBF838F046}"/>
    <cellStyle name="Currency 5 3 2 2 6 2 4" xfId="21094" xr:uid="{952D7ECA-FDCF-49E2-BD31-E6C51FBC2D57}"/>
    <cellStyle name="Currency 5 3 2 2 6 3" xfId="6309" xr:uid="{00000000-0005-0000-0000-0000AD0C0000}"/>
    <cellStyle name="Currency 5 3 2 2 6 3 2" xfId="14738" xr:uid="{11E1095D-A530-4DFA-A44F-270410960BAF}"/>
    <cellStyle name="Currency 5 3 2 2 6 3 3" xfId="27371" xr:uid="{45CFEA3C-ACB5-4C31-97E0-FD110AC93F94}"/>
    <cellStyle name="Currency 5 3 2 2 6 4" xfId="10520" xr:uid="{B9CAB3CD-7C7F-46FE-8F66-7B254D869EEE}"/>
    <cellStyle name="Currency 5 3 2 2 6 4 2" xfId="23160" xr:uid="{D6FE82B8-0E3D-4BFC-A462-78AB7835E724}"/>
    <cellStyle name="Currency 5 3 2 2 6 5" xfId="18949" xr:uid="{CE601D47-10D1-43A9-9C46-32CB03DBFF4A}"/>
    <cellStyle name="Currency 5 3 2 2 7" xfId="2436" xr:uid="{00000000-0005-0000-0000-0000AE0C0000}"/>
    <cellStyle name="Currency 5 3 2 2 7 2" xfId="6722" xr:uid="{00000000-0005-0000-0000-0000AF0C0000}"/>
    <cellStyle name="Currency 5 3 2 2 7 2 2" xfId="15151" xr:uid="{C2B08A1E-152B-408B-9F50-3C5636C1E9A5}"/>
    <cellStyle name="Currency 5 3 2 2 7 2 3" xfId="27784" xr:uid="{3E5B3E73-DEFC-4A7A-850D-BAFCF665893C}"/>
    <cellStyle name="Currency 5 3 2 2 7 3" xfId="10933" xr:uid="{11459307-1BF3-4CC9-9F6D-02419327989A}"/>
    <cellStyle name="Currency 5 3 2 2 7 3 2" xfId="23573" xr:uid="{4CDBABA5-4262-405B-B18C-1853EE20C4AD}"/>
    <cellStyle name="Currency 5 3 2 2 7 4" xfId="19362" xr:uid="{089A716A-0113-4AE3-981E-7AB027436254}"/>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5B866140-F284-4B5C-B8C6-FB77695A77F6}"/>
    <cellStyle name="Currency 5 3 2 2 9 2 3" xfId="28101" xr:uid="{E66152CB-26C1-496F-A8BB-3FA69FCEF8EA}"/>
    <cellStyle name="Currency 5 3 2 2 9 3" xfId="11250" xr:uid="{B9D0DC2C-32FB-45C9-B1B6-E4D147AE5012}"/>
    <cellStyle name="Currency 5 3 2 2 9 3 2" xfId="23890" xr:uid="{7F8360A4-732F-4D91-94BE-EAF884ED2D95}"/>
    <cellStyle name="Currency 5 3 2 2 9 4" xfId="19679" xr:uid="{E573CAED-43C1-4ABB-9C2B-00C8D959E02A}"/>
    <cellStyle name="Currency 5 3 2 3" xfId="213" xr:uid="{00000000-0005-0000-0000-0000B30C0000}"/>
    <cellStyle name="Currency 5 3 2 3 10" xfId="8869" xr:uid="{803ACFCC-C6D0-41A1-9EFA-C63CFB006C01}"/>
    <cellStyle name="Currency 5 3 2 3 10 2" xfId="21509" xr:uid="{9C6E1821-E219-431E-9430-B25D5755AF69}"/>
    <cellStyle name="Currency 5 3 2 3 11" xfId="17298" xr:uid="{F8B5F6A5-2D86-4A4B-8577-80BE4CE47CB8}"/>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082EAC4F-B9DF-4E7F-B446-B0852EE9D027}"/>
    <cellStyle name="Currency 5 3 2 3 2 2 2 3" xfId="28279" xr:uid="{DCBFE585-C054-491B-BAA3-2691E121FA23}"/>
    <cellStyle name="Currency 5 3 2 3 2 2 3" xfId="11428" xr:uid="{681C538C-1A69-4B27-8175-B9F6CBF6A829}"/>
    <cellStyle name="Currency 5 3 2 3 2 2 3 2" xfId="24068" xr:uid="{456EF105-E113-4628-8AC1-0E12C6D5FA77}"/>
    <cellStyle name="Currency 5 3 2 3 2 2 4" xfId="19857" xr:uid="{1B11B84C-C9C7-489A-BF2C-DFFE962777F9}"/>
    <cellStyle name="Currency 5 3 2 3 2 3" xfId="5072" xr:uid="{00000000-0005-0000-0000-0000B70C0000}"/>
    <cellStyle name="Currency 5 3 2 3 2 3 2" xfId="13501" xr:uid="{DC980E18-ED45-4DFD-B783-337034B53B54}"/>
    <cellStyle name="Currency 5 3 2 3 2 3 3" xfId="26134" xr:uid="{EC87B7F4-F1EF-4C34-B482-07276CB12820}"/>
    <cellStyle name="Currency 5 3 2 3 2 4" xfId="9283" xr:uid="{F5E5DE75-F2C1-436C-8B27-24B43E4FF81C}"/>
    <cellStyle name="Currency 5 3 2 3 2 4 2" xfId="21923" xr:uid="{AFF4E79C-2D13-49E9-8921-8A19ABB6454E}"/>
    <cellStyle name="Currency 5 3 2 3 2 5" xfId="17712" xr:uid="{22A9D78D-24E1-42FD-B142-8691769696ED}"/>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B348F003-3784-4B80-A212-B086A0C7AA7F}"/>
    <cellStyle name="Currency 5 3 2 3 3 2 2 3" xfId="28692" xr:uid="{14361BC1-1081-4A70-94FE-0A3571B81A03}"/>
    <cellStyle name="Currency 5 3 2 3 3 2 3" xfId="11841" xr:uid="{3D2ED914-A751-47DA-AB99-781595195D65}"/>
    <cellStyle name="Currency 5 3 2 3 3 2 3 2" xfId="24481" xr:uid="{497CB30A-0010-4BCB-9DBC-579FDAE0A211}"/>
    <cellStyle name="Currency 5 3 2 3 3 2 4" xfId="20270" xr:uid="{75FA9CBC-B9B7-4217-B301-2EE8BABC68BF}"/>
    <cellStyle name="Currency 5 3 2 3 3 3" xfId="5485" xr:uid="{00000000-0005-0000-0000-0000BB0C0000}"/>
    <cellStyle name="Currency 5 3 2 3 3 3 2" xfId="13914" xr:uid="{85F30A09-2813-4A25-8BF1-C2530BED13E5}"/>
    <cellStyle name="Currency 5 3 2 3 3 3 3" xfId="26547" xr:uid="{D649E729-D226-49C1-B567-5BCAB0743F5E}"/>
    <cellStyle name="Currency 5 3 2 3 3 4" xfId="9696" xr:uid="{79F377FA-D4B9-481D-9F0D-DCBB9B7DD46F}"/>
    <cellStyle name="Currency 5 3 2 3 3 4 2" xfId="22336" xr:uid="{B3B8D29B-43E4-4BF7-9444-97FD03DDEEB7}"/>
    <cellStyle name="Currency 5 3 2 3 3 5" xfId="18125" xr:uid="{C4AB6F29-E7CC-44F8-A889-F94D0537B398}"/>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71A04EDC-C4EB-4ED9-8B7E-E236C6E6ADA9}"/>
    <cellStyle name="Currency 5 3 2 3 4 2 2 3" xfId="29105" xr:uid="{DB9D3B05-1A51-4A3C-9E0D-C458C632564C}"/>
    <cellStyle name="Currency 5 3 2 3 4 2 3" xfId="12254" xr:uid="{A466D3F5-253C-4231-9816-9DAC25C9AB82}"/>
    <cellStyle name="Currency 5 3 2 3 4 2 3 2" xfId="24894" xr:uid="{45F94741-033C-462C-B603-1335F3FE9EC7}"/>
    <cellStyle name="Currency 5 3 2 3 4 2 4" xfId="20683" xr:uid="{AC66FFFC-B389-4C46-A551-D3BC88B0FE91}"/>
    <cellStyle name="Currency 5 3 2 3 4 3" xfId="5898" xr:uid="{00000000-0005-0000-0000-0000BF0C0000}"/>
    <cellStyle name="Currency 5 3 2 3 4 3 2" xfId="14327" xr:uid="{F11A248B-4009-4665-81B2-3FDB44D86CCF}"/>
    <cellStyle name="Currency 5 3 2 3 4 3 3" xfId="26960" xr:uid="{2B4B6E65-B47B-4EA1-AD43-FB16230E2F38}"/>
    <cellStyle name="Currency 5 3 2 3 4 4" xfId="10109" xr:uid="{354B34EC-9170-47DF-817A-E4EFAEADF87F}"/>
    <cellStyle name="Currency 5 3 2 3 4 4 2" xfId="22749" xr:uid="{187551D6-B1E2-4B12-BAE3-4DC38B6B77DF}"/>
    <cellStyle name="Currency 5 3 2 3 4 5" xfId="18538" xr:uid="{CD4C72F2-DB1F-48E1-9FC4-9E3AC11CBDAF}"/>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AA7CC1DC-AE52-4E20-8FB3-F4E4066C6720}"/>
    <cellStyle name="Currency 5 3 2 3 5 2 2 3" xfId="29518" xr:uid="{AA86C2D7-A50F-4C06-B8F1-87EF25689CB6}"/>
    <cellStyle name="Currency 5 3 2 3 5 2 3" xfId="12667" xr:uid="{32C3FB4B-ED80-441E-852F-972C8C398872}"/>
    <cellStyle name="Currency 5 3 2 3 5 2 3 2" xfId="25307" xr:uid="{4BA2F1FB-6645-412F-A29E-FA5B0E305C36}"/>
    <cellStyle name="Currency 5 3 2 3 5 2 4" xfId="21096" xr:uid="{A6EEED25-69CD-487B-AFD4-FA80C47275D7}"/>
    <cellStyle name="Currency 5 3 2 3 5 3" xfId="6311" xr:uid="{00000000-0005-0000-0000-0000C30C0000}"/>
    <cellStyle name="Currency 5 3 2 3 5 3 2" xfId="14740" xr:uid="{D70F34CC-4A98-490C-8C22-577B9909CFB3}"/>
    <cellStyle name="Currency 5 3 2 3 5 3 3" xfId="27373" xr:uid="{53276B30-ED2B-4CF2-BB58-912720C11581}"/>
    <cellStyle name="Currency 5 3 2 3 5 4" xfId="10522" xr:uid="{6816E47C-432A-4855-B344-04186E2BE956}"/>
    <cellStyle name="Currency 5 3 2 3 5 4 2" xfId="23162" xr:uid="{01D9BEF6-0D35-4643-9D33-1C2BE6E75F6C}"/>
    <cellStyle name="Currency 5 3 2 3 5 5" xfId="18951" xr:uid="{51D1264C-08E6-4167-A48A-F775389DFFB3}"/>
    <cellStyle name="Currency 5 3 2 3 6" xfId="2438" xr:uid="{00000000-0005-0000-0000-0000C40C0000}"/>
    <cellStyle name="Currency 5 3 2 3 6 2" xfId="6724" xr:uid="{00000000-0005-0000-0000-0000C50C0000}"/>
    <cellStyle name="Currency 5 3 2 3 6 2 2" xfId="15153" xr:uid="{E9EFF76C-05E2-41D2-9F8C-D31109E2AD49}"/>
    <cellStyle name="Currency 5 3 2 3 6 2 3" xfId="27786" xr:uid="{80790487-979C-4770-81A0-DF3124B2CD9E}"/>
    <cellStyle name="Currency 5 3 2 3 6 3" xfId="10935" xr:uid="{E55E7E6D-C48E-4FD7-A420-30FCF8A19E62}"/>
    <cellStyle name="Currency 5 3 2 3 6 3 2" xfId="23575" xr:uid="{9F108CB8-BF08-403E-B3F6-A4251E0CFE97}"/>
    <cellStyle name="Currency 5 3 2 3 6 4" xfId="19364" xr:uid="{55F244D7-5C59-4FB8-A355-E7A8016E6475}"/>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5E59222A-C8B5-4FFE-851B-63C852E9393D}"/>
    <cellStyle name="Currency 5 3 2 3 8 2 3" xfId="28103" xr:uid="{25161D8E-8A3D-4995-8987-3F2452F763C4}"/>
    <cellStyle name="Currency 5 3 2 3 8 3" xfId="11252" xr:uid="{BDEAF638-5174-4ECE-A992-5EF6E46E78B9}"/>
    <cellStyle name="Currency 5 3 2 3 8 3 2" xfId="23892" xr:uid="{87E545A3-F995-4A9E-A17D-F0019C852887}"/>
    <cellStyle name="Currency 5 3 2 3 8 4" xfId="19681" xr:uid="{63D7FA90-1D14-4A85-93F9-52D8B5DDBCA9}"/>
    <cellStyle name="Currency 5 3 2 3 9" xfId="4658" xr:uid="{00000000-0005-0000-0000-0000C90C0000}"/>
    <cellStyle name="Currency 5 3 2 3 9 2" xfId="13087" xr:uid="{C7912210-353D-4B31-A19B-D77BAAA2DD47}"/>
    <cellStyle name="Currency 5 3 2 3 9 3" xfId="25720" xr:uid="{9AF3B989-AD9A-43C6-81C3-B429507A626F}"/>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95140142-433C-460C-9778-068A4C9744FA}"/>
    <cellStyle name="Currency 5 3 2 4 2 2 3" xfId="28276" xr:uid="{6DFC1157-FDF1-47A9-8CCF-9C52581D8B91}"/>
    <cellStyle name="Currency 5 3 2 4 2 3" xfId="11425" xr:uid="{527416AF-4EC3-4026-B099-4604DFA17B07}"/>
    <cellStyle name="Currency 5 3 2 4 2 3 2" xfId="24065" xr:uid="{217E9F7D-3C89-470D-BB09-60A9821D8F42}"/>
    <cellStyle name="Currency 5 3 2 4 2 4" xfId="19854" xr:uid="{A2EB2580-F0A4-4D17-8507-E04EBF537C12}"/>
    <cellStyle name="Currency 5 3 2 4 3" xfId="5069" xr:uid="{00000000-0005-0000-0000-0000CD0C0000}"/>
    <cellStyle name="Currency 5 3 2 4 3 2" xfId="13498" xr:uid="{32804003-8A4B-42D8-8221-4DC7A6DED535}"/>
    <cellStyle name="Currency 5 3 2 4 3 3" xfId="26131" xr:uid="{08F2FD3C-7B1F-4D9B-B2F1-7BD042C553C7}"/>
    <cellStyle name="Currency 5 3 2 4 4" xfId="9280" xr:uid="{613C173D-6383-4F78-AA39-75C812EC5FD3}"/>
    <cellStyle name="Currency 5 3 2 4 4 2" xfId="21920" xr:uid="{68E36C1E-7776-44D7-A5AA-FD648F5E873A}"/>
    <cellStyle name="Currency 5 3 2 4 5" xfId="17709" xr:uid="{31D71171-9AEA-4940-B3CD-3E752C2268BF}"/>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5EA01608-DDCD-45A9-A788-0ADCAEF00A98}"/>
    <cellStyle name="Currency 5 3 2 5 2 2 3" xfId="28689" xr:uid="{451D5ACC-9492-4F14-89EA-5DC6C78F616A}"/>
    <cellStyle name="Currency 5 3 2 5 2 3" xfId="11838" xr:uid="{B43EF36A-4BE6-463F-8C81-6C5014592A74}"/>
    <cellStyle name="Currency 5 3 2 5 2 3 2" xfId="24478" xr:uid="{7F4A7C27-1CF0-42FF-A019-D45C351CADFD}"/>
    <cellStyle name="Currency 5 3 2 5 2 4" xfId="20267" xr:uid="{BBE3DACF-CB00-4205-A642-403798574CA2}"/>
    <cellStyle name="Currency 5 3 2 5 3" xfId="5482" xr:uid="{00000000-0005-0000-0000-0000D10C0000}"/>
    <cellStyle name="Currency 5 3 2 5 3 2" xfId="13911" xr:uid="{20C472E5-B185-4CAC-985F-D38709C58A6F}"/>
    <cellStyle name="Currency 5 3 2 5 3 3" xfId="26544" xr:uid="{D0220F82-F11D-43C3-9C26-7B601B217CF3}"/>
    <cellStyle name="Currency 5 3 2 5 4" xfId="9693" xr:uid="{F94AB014-935B-474D-852B-385AF471B0C2}"/>
    <cellStyle name="Currency 5 3 2 5 4 2" xfId="22333" xr:uid="{01C01855-563E-4D71-A864-7343CF3E1E3A}"/>
    <cellStyle name="Currency 5 3 2 5 5" xfId="18122" xr:uid="{4169E517-10CB-485F-8D72-0C01AE33AB20}"/>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83F599B8-F5EE-443B-8A12-4E8D82EB5D07}"/>
    <cellStyle name="Currency 5 3 2 6 2 2 3" xfId="29102" xr:uid="{585037D0-04F2-46C7-9FED-3216F87D9347}"/>
    <cellStyle name="Currency 5 3 2 6 2 3" xfId="12251" xr:uid="{BEA0E6D1-ECE9-4F8E-8CAC-DAC1633BF77A}"/>
    <cellStyle name="Currency 5 3 2 6 2 3 2" xfId="24891" xr:uid="{97EBCB58-9388-420C-BFEF-800C0E6047C3}"/>
    <cellStyle name="Currency 5 3 2 6 2 4" xfId="20680" xr:uid="{8210C347-F429-44DC-AC4A-77DCA238839B}"/>
    <cellStyle name="Currency 5 3 2 6 3" xfId="5895" xr:uid="{00000000-0005-0000-0000-0000D50C0000}"/>
    <cellStyle name="Currency 5 3 2 6 3 2" xfId="14324" xr:uid="{8CD49495-FB68-4BB0-93F6-F07B2121B20C}"/>
    <cellStyle name="Currency 5 3 2 6 3 3" xfId="26957" xr:uid="{3657ACC9-C4EB-41F0-A5E2-102F2F442F61}"/>
    <cellStyle name="Currency 5 3 2 6 4" xfId="10106" xr:uid="{8ACD007A-1DF6-46F7-9FEB-A28C68D52737}"/>
    <cellStyle name="Currency 5 3 2 6 4 2" xfId="22746" xr:uid="{35473FA0-6462-45EB-9E3E-BAD5B54E68A4}"/>
    <cellStyle name="Currency 5 3 2 6 5" xfId="18535" xr:uid="{7BE2B052-6F3C-456D-B059-2ECB5FCFABD0}"/>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274F2EE4-AA11-411D-94B0-622FF489394D}"/>
    <cellStyle name="Currency 5 3 2 7 2 2 3" xfId="29515" xr:uid="{25A0C6E2-C351-4C80-AF4E-366462FE2C59}"/>
    <cellStyle name="Currency 5 3 2 7 2 3" xfId="12664" xr:uid="{9DD98223-63A0-4692-9D4E-C03D291DE84C}"/>
    <cellStyle name="Currency 5 3 2 7 2 3 2" xfId="25304" xr:uid="{2F5B731C-E510-4E29-A76C-59434F27C2F8}"/>
    <cellStyle name="Currency 5 3 2 7 2 4" xfId="21093" xr:uid="{393C2091-37EA-4A58-9199-F113012AF734}"/>
    <cellStyle name="Currency 5 3 2 7 3" xfId="6308" xr:uid="{00000000-0005-0000-0000-0000D90C0000}"/>
    <cellStyle name="Currency 5 3 2 7 3 2" xfId="14737" xr:uid="{87B181EA-F16E-4939-BEB2-BE9B3739184A}"/>
    <cellStyle name="Currency 5 3 2 7 3 3" xfId="27370" xr:uid="{4EF9E748-D17E-420D-AA02-DFA9F59E6B4D}"/>
    <cellStyle name="Currency 5 3 2 7 4" xfId="10519" xr:uid="{56125613-3C44-4A1F-991A-52F85DEE8934}"/>
    <cellStyle name="Currency 5 3 2 7 4 2" xfId="23159" xr:uid="{AB46E454-E438-41BB-ACE8-EE45ADA8B514}"/>
    <cellStyle name="Currency 5 3 2 7 5" xfId="18948" xr:uid="{19D0D5CD-9EAB-4C75-87EE-04CC067A1DA1}"/>
    <cellStyle name="Currency 5 3 2 8" xfId="2435" xr:uid="{00000000-0005-0000-0000-0000DA0C0000}"/>
    <cellStyle name="Currency 5 3 2 8 2" xfId="6721" xr:uid="{00000000-0005-0000-0000-0000DB0C0000}"/>
    <cellStyle name="Currency 5 3 2 8 2 2" xfId="15150" xr:uid="{E71E5A1B-F173-4B8B-9329-61972AEDFDC2}"/>
    <cellStyle name="Currency 5 3 2 8 2 3" xfId="27783" xr:uid="{8C89146C-D739-48A0-8360-E6CCD75087B9}"/>
    <cellStyle name="Currency 5 3 2 8 3" xfId="10932" xr:uid="{FCDEC5AB-CC1E-4A7D-809A-005F640A5C3A}"/>
    <cellStyle name="Currency 5 3 2 8 3 2" xfId="23572" xr:uid="{4B984FD0-26A4-4998-93A3-9D9AA8504E59}"/>
    <cellStyle name="Currency 5 3 2 8 4" xfId="19361" xr:uid="{58DF2480-1532-4370-A199-FD9BD17B75F4}"/>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FA7851A0-34FB-467F-B253-0D758B5F9749}"/>
    <cellStyle name="Currency 5 3 3 10 3" xfId="25721" xr:uid="{94EE09BE-39A0-41ED-AF41-A7F94C56B8E2}"/>
    <cellStyle name="Currency 5 3 3 11" xfId="8870" xr:uid="{AC545794-E45A-4B40-964F-7966A10276DD}"/>
    <cellStyle name="Currency 5 3 3 11 2" xfId="21510" xr:uid="{F8446E15-C46F-4642-A108-5606A2750BB0}"/>
    <cellStyle name="Currency 5 3 3 12" xfId="17299" xr:uid="{EC5893A0-ABFD-4627-83CD-5F76047F9CE7}"/>
    <cellStyle name="Currency 5 3 3 2" xfId="215" xr:uid="{00000000-0005-0000-0000-0000DF0C0000}"/>
    <cellStyle name="Currency 5 3 3 2 10" xfId="8871" xr:uid="{248D5161-D199-4574-A2B9-D68EEE187EB7}"/>
    <cellStyle name="Currency 5 3 3 2 10 2" xfId="21511" xr:uid="{351FB372-A68C-4A77-8196-4D53E26A59AC}"/>
    <cellStyle name="Currency 5 3 3 2 11" xfId="17300" xr:uid="{33C8E695-4A88-4271-81EC-F7A053AA1A69}"/>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C2E2AE35-C46A-432F-A06C-06A73933D36B}"/>
    <cellStyle name="Currency 5 3 3 2 2 2 2 3" xfId="28281" xr:uid="{175F0C69-179B-49A4-84A5-A9E03A2484F1}"/>
    <cellStyle name="Currency 5 3 3 2 2 2 3" xfId="11430" xr:uid="{5079D7CD-687E-4860-81BB-06EE31D12BFE}"/>
    <cellStyle name="Currency 5 3 3 2 2 2 3 2" xfId="24070" xr:uid="{770E5B8C-5716-4E19-9F9F-BB3E1BEE73AE}"/>
    <cellStyle name="Currency 5 3 3 2 2 2 4" xfId="19859" xr:uid="{A3F563C3-822D-47D7-8DF1-E80CE46A5BD7}"/>
    <cellStyle name="Currency 5 3 3 2 2 3" xfId="5074" xr:uid="{00000000-0005-0000-0000-0000E30C0000}"/>
    <cellStyle name="Currency 5 3 3 2 2 3 2" xfId="13503" xr:uid="{7743693D-0507-4963-8E6A-C6816F16EC6A}"/>
    <cellStyle name="Currency 5 3 3 2 2 3 3" xfId="26136" xr:uid="{D9B6BEBC-5EF9-47D3-9D50-FDD514085CEC}"/>
    <cellStyle name="Currency 5 3 3 2 2 4" xfId="9285" xr:uid="{0CF1FC0A-A07D-4155-9F50-A1DE516C441A}"/>
    <cellStyle name="Currency 5 3 3 2 2 4 2" xfId="21925" xr:uid="{CE75F72F-3FA5-410E-99FE-5EA1FDA0D540}"/>
    <cellStyle name="Currency 5 3 3 2 2 5" xfId="17714" xr:uid="{BAEE3954-55BA-4506-89CF-1E2FE9CDC9A1}"/>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6EDC0C3B-2C0D-4D8C-B2C6-B5F5ADFA60DD}"/>
    <cellStyle name="Currency 5 3 3 2 3 2 2 3" xfId="28694" xr:uid="{53E97176-5676-4FF2-A8C1-904A7B136DA1}"/>
    <cellStyle name="Currency 5 3 3 2 3 2 3" xfId="11843" xr:uid="{1DC0AFC1-2303-469D-AD4B-B67023F33AB0}"/>
    <cellStyle name="Currency 5 3 3 2 3 2 3 2" xfId="24483" xr:uid="{56261FF9-E4C1-448B-A29B-68F0F38AE1B5}"/>
    <cellStyle name="Currency 5 3 3 2 3 2 4" xfId="20272" xr:uid="{1F655774-FA92-4232-90B6-3576D924B4F4}"/>
    <cellStyle name="Currency 5 3 3 2 3 3" xfId="5487" xr:uid="{00000000-0005-0000-0000-0000E70C0000}"/>
    <cellStyle name="Currency 5 3 3 2 3 3 2" xfId="13916" xr:uid="{7C313C7F-31D3-4E54-9367-A2CF019A5852}"/>
    <cellStyle name="Currency 5 3 3 2 3 3 3" xfId="26549" xr:uid="{FF96E0C9-8759-43E8-81D2-6344BA2A42E3}"/>
    <cellStyle name="Currency 5 3 3 2 3 4" xfId="9698" xr:uid="{6D60BE66-0F8F-47B8-B486-6C3FA64E17E3}"/>
    <cellStyle name="Currency 5 3 3 2 3 4 2" xfId="22338" xr:uid="{5CC9D63C-2487-439B-A292-5384579414BF}"/>
    <cellStyle name="Currency 5 3 3 2 3 5" xfId="18127" xr:uid="{B832BCAD-B011-4472-89C9-E30D95C07FC6}"/>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6F2F5D39-61C9-46B3-8306-6400F1D4EA3B}"/>
    <cellStyle name="Currency 5 3 3 2 4 2 2 3" xfId="29107" xr:uid="{1A43D5CB-4084-4B83-BD6D-39382E3CC5DA}"/>
    <cellStyle name="Currency 5 3 3 2 4 2 3" xfId="12256" xr:uid="{3ADA8600-7EBD-45A4-9DFE-1E340DA50113}"/>
    <cellStyle name="Currency 5 3 3 2 4 2 3 2" xfId="24896" xr:uid="{B0AF0A1F-07A0-48D5-BC8B-4CBE06362059}"/>
    <cellStyle name="Currency 5 3 3 2 4 2 4" xfId="20685" xr:uid="{0FAB4985-DA74-4FC4-B2D8-16532E345543}"/>
    <cellStyle name="Currency 5 3 3 2 4 3" xfId="5900" xr:uid="{00000000-0005-0000-0000-0000EB0C0000}"/>
    <cellStyle name="Currency 5 3 3 2 4 3 2" xfId="14329" xr:uid="{9451531A-2C09-4765-91FC-C97C0A430471}"/>
    <cellStyle name="Currency 5 3 3 2 4 3 3" xfId="26962" xr:uid="{DBC01CFF-67DE-4514-B183-3BD58626233F}"/>
    <cellStyle name="Currency 5 3 3 2 4 4" xfId="10111" xr:uid="{F8B8CE4E-C282-4F90-9DDA-F5C4FA344ADC}"/>
    <cellStyle name="Currency 5 3 3 2 4 4 2" xfId="22751" xr:uid="{C05D8E1B-DB4A-4CA5-AFC6-8D72968F6465}"/>
    <cellStyle name="Currency 5 3 3 2 4 5" xfId="18540" xr:uid="{4B91EA9C-FB89-4610-B009-43AA2BA25828}"/>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E5E6445D-2027-46CA-9110-1AC12FA9E4B7}"/>
    <cellStyle name="Currency 5 3 3 2 5 2 2 3" xfId="29520" xr:uid="{DD7D8FD3-2CB0-4713-8D4D-90E3E098F793}"/>
    <cellStyle name="Currency 5 3 3 2 5 2 3" xfId="12669" xr:uid="{503801E6-A08F-45EB-8203-677BA189CC85}"/>
    <cellStyle name="Currency 5 3 3 2 5 2 3 2" xfId="25309" xr:uid="{8312EF54-D552-4B58-809E-8A54F2267634}"/>
    <cellStyle name="Currency 5 3 3 2 5 2 4" xfId="21098" xr:uid="{CC1B0257-EAC0-4DA3-A3DC-5393A363D0CC}"/>
    <cellStyle name="Currency 5 3 3 2 5 3" xfId="6313" xr:uid="{00000000-0005-0000-0000-0000EF0C0000}"/>
    <cellStyle name="Currency 5 3 3 2 5 3 2" xfId="14742" xr:uid="{BA0A792B-BBE1-439F-A100-E6140116428D}"/>
    <cellStyle name="Currency 5 3 3 2 5 3 3" xfId="27375" xr:uid="{D1AD2E37-E773-4FBE-8DD4-233A749BE1EA}"/>
    <cellStyle name="Currency 5 3 3 2 5 4" xfId="10524" xr:uid="{DEA5C3C3-DF37-467F-B496-267547A90ACC}"/>
    <cellStyle name="Currency 5 3 3 2 5 4 2" xfId="23164" xr:uid="{1B13D270-DC23-4014-9005-B6F921E5FFEC}"/>
    <cellStyle name="Currency 5 3 3 2 5 5" xfId="18953" xr:uid="{0F53FD05-1F3D-416E-A6DE-97688BBC88F4}"/>
    <cellStyle name="Currency 5 3 3 2 6" xfId="2440" xr:uid="{00000000-0005-0000-0000-0000F00C0000}"/>
    <cellStyle name="Currency 5 3 3 2 6 2" xfId="6726" xr:uid="{00000000-0005-0000-0000-0000F10C0000}"/>
    <cellStyle name="Currency 5 3 3 2 6 2 2" xfId="15155" xr:uid="{59037388-A80C-4246-AC67-3503B4DC3EA8}"/>
    <cellStyle name="Currency 5 3 3 2 6 2 3" xfId="27788" xr:uid="{939D4603-7DAD-441D-97B1-0182AF310FE0}"/>
    <cellStyle name="Currency 5 3 3 2 6 3" xfId="10937" xr:uid="{C3FF80B6-840A-4D17-8922-BA3E0A1199FA}"/>
    <cellStyle name="Currency 5 3 3 2 6 3 2" xfId="23577" xr:uid="{0620A47F-A29B-4CD8-9394-22F3E6B75319}"/>
    <cellStyle name="Currency 5 3 3 2 6 4" xfId="19366" xr:uid="{46AAEE15-86AA-4C67-B224-35188F50668E}"/>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0674BBF0-CF9D-4D97-AA77-C4F2440C9299}"/>
    <cellStyle name="Currency 5 3 3 2 8 2 3" xfId="28105" xr:uid="{1963FA45-A834-4166-B55A-DAC0AF149851}"/>
    <cellStyle name="Currency 5 3 3 2 8 3" xfId="11254" xr:uid="{1C409942-0F34-4424-8FDE-669A69252EE3}"/>
    <cellStyle name="Currency 5 3 3 2 8 3 2" xfId="23894" xr:uid="{9009D807-F7B4-49BF-843D-DACFB2BF3DF6}"/>
    <cellStyle name="Currency 5 3 3 2 8 4" xfId="19683" xr:uid="{9C7113A2-F249-4F0C-B431-C27DF58E7518}"/>
    <cellStyle name="Currency 5 3 3 2 9" xfId="4660" xr:uid="{00000000-0005-0000-0000-0000F50C0000}"/>
    <cellStyle name="Currency 5 3 3 2 9 2" xfId="13089" xr:uid="{295B638D-83D4-498A-85ED-D7A4F39EE60B}"/>
    <cellStyle name="Currency 5 3 3 2 9 3" xfId="25722" xr:uid="{37925520-DE3E-498B-B242-D4B8934037A8}"/>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6D522FF8-96FA-4413-A76B-C02C5B0ABE65}"/>
    <cellStyle name="Currency 5 3 3 3 2 2 3" xfId="28280" xr:uid="{6F2B345A-6450-4915-BE41-27B2346F666C}"/>
    <cellStyle name="Currency 5 3 3 3 2 3" xfId="11429" xr:uid="{FEA92E86-5F9A-45EE-9104-0AC52F754787}"/>
    <cellStyle name="Currency 5 3 3 3 2 3 2" xfId="24069" xr:uid="{1C07E503-0278-4DDD-983F-D32737E6D031}"/>
    <cellStyle name="Currency 5 3 3 3 2 4" xfId="19858" xr:uid="{703AF234-C2D6-4FF3-A4F7-A49D933D2F90}"/>
    <cellStyle name="Currency 5 3 3 3 3" xfId="5073" xr:uid="{00000000-0005-0000-0000-0000F90C0000}"/>
    <cellStyle name="Currency 5 3 3 3 3 2" xfId="13502" xr:uid="{2AE68363-8471-49C0-8E52-ED9B49968B94}"/>
    <cellStyle name="Currency 5 3 3 3 3 3" xfId="26135" xr:uid="{C9EE3B97-B4D9-4914-9D3A-145B905D3F90}"/>
    <cellStyle name="Currency 5 3 3 3 4" xfId="9284" xr:uid="{B9F80864-82E7-4664-92D5-F76928E70A5D}"/>
    <cellStyle name="Currency 5 3 3 3 4 2" xfId="21924" xr:uid="{B95B3155-489F-4720-AB18-FCCFFE932A6D}"/>
    <cellStyle name="Currency 5 3 3 3 5" xfId="17713" xr:uid="{8EA90D42-88EC-47F3-8407-A2FCB9CA28EA}"/>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34674BBB-724D-4D67-AB90-7167DA329FF2}"/>
    <cellStyle name="Currency 5 3 3 4 2 2 3" xfId="28693" xr:uid="{CE1BF630-349D-4BB2-90E7-15BEB1A60AAC}"/>
    <cellStyle name="Currency 5 3 3 4 2 3" xfId="11842" xr:uid="{72E2B97B-EAC7-4BE1-8174-84CF086E132D}"/>
    <cellStyle name="Currency 5 3 3 4 2 3 2" xfId="24482" xr:uid="{12AF888D-9F69-406A-B31B-C6E5A00FF83A}"/>
    <cellStyle name="Currency 5 3 3 4 2 4" xfId="20271" xr:uid="{409A6A38-CCE4-49A1-8CD1-5F8797AE5AB6}"/>
    <cellStyle name="Currency 5 3 3 4 3" xfId="5486" xr:uid="{00000000-0005-0000-0000-0000FD0C0000}"/>
    <cellStyle name="Currency 5 3 3 4 3 2" xfId="13915" xr:uid="{F716CB3F-E43E-4B22-A796-0C48641AB2C1}"/>
    <cellStyle name="Currency 5 3 3 4 3 3" xfId="26548" xr:uid="{8B44583A-1EEA-4057-9817-FD0D82DD4BD0}"/>
    <cellStyle name="Currency 5 3 3 4 4" xfId="9697" xr:uid="{1B52AAA1-FA99-4B5C-AEA5-409F347D322A}"/>
    <cellStyle name="Currency 5 3 3 4 4 2" xfId="22337" xr:uid="{79FD0120-2DD5-4AAF-8317-3B433D8473F0}"/>
    <cellStyle name="Currency 5 3 3 4 5" xfId="18126" xr:uid="{A6A20B00-F716-4C32-901C-451ED1FB2D89}"/>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CC2C8B68-B71C-452C-B200-736DDD3208D0}"/>
    <cellStyle name="Currency 5 3 3 5 2 2 3" xfId="29106" xr:uid="{D22C0C11-3130-4B03-BC7F-E270C531DBF9}"/>
    <cellStyle name="Currency 5 3 3 5 2 3" xfId="12255" xr:uid="{9B70703C-DC45-4B60-9C37-AC0B1F56F3A4}"/>
    <cellStyle name="Currency 5 3 3 5 2 3 2" xfId="24895" xr:uid="{ACDF0CAF-1116-40E9-9DD6-107EBDFB7420}"/>
    <cellStyle name="Currency 5 3 3 5 2 4" xfId="20684" xr:uid="{AADF3A5F-1F79-4503-88FC-070BE46CFB03}"/>
    <cellStyle name="Currency 5 3 3 5 3" xfId="5899" xr:uid="{00000000-0005-0000-0000-0000010D0000}"/>
    <cellStyle name="Currency 5 3 3 5 3 2" xfId="14328" xr:uid="{A9FE3624-8BB8-4697-9FCF-69C291B619B3}"/>
    <cellStyle name="Currency 5 3 3 5 3 3" xfId="26961" xr:uid="{DABB7C8B-AF1E-4FFA-A7B3-F2E96290A158}"/>
    <cellStyle name="Currency 5 3 3 5 4" xfId="10110" xr:uid="{B504679C-7C4A-4233-B599-5CB94CFAFF49}"/>
    <cellStyle name="Currency 5 3 3 5 4 2" xfId="22750" xr:uid="{B7A35D59-0171-4E8E-BCA2-8C9394A10703}"/>
    <cellStyle name="Currency 5 3 3 5 5" xfId="18539" xr:uid="{4237E41F-D0F9-4586-8AF8-EAC5ACB7CAC3}"/>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6F10F862-3698-416C-AAF6-0FB11C4294AF}"/>
    <cellStyle name="Currency 5 3 3 6 2 2 3" xfId="29519" xr:uid="{B4CD16EF-D13C-4C6B-BDCA-6C0B217063EC}"/>
    <cellStyle name="Currency 5 3 3 6 2 3" xfId="12668" xr:uid="{22187FBA-F12E-4293-AF16-9192EB2CDBD4}"/>
    <cellStyle name="Currency 5 3 3 6 2 3 2" xfId="25308" xr:uid="{7DDC4C94-19D2-4EC6-BC58-A50B82637960}"/>
    <cellStyle name="Currency 5 3 3 6 2 4" xfId="21097" xr:uid="{A9F0A9DB-7729-4BFF-9888-B807C0FFBCC5}"/>
    <cellStyle name="Currency 5 3 3 6 3" xfId="6312" xr:uid="{00000000-0005-0000-0000-0000050D0000}"/>
    <cellStyle name="Currency 5 3 3 6 3 2" xfId="14741" xr:uid="{952F6CA9-5D1C-400F-B03E-9D9C73E785A3}"/>
    <cellStyle name="Currency 5 3 3 6 3 3" xfId="27374" xr:uid="{B6CD8EDA-6903-4255-870E-5097C0BA5FEB}"/>
    <cellStyle name="Currency 5 3 3 6 4" xfId="10523" xr:uid="{C0B40B1D-CF38-4FF7-B6C6-0C97A14A5713}"/>
    <cellStyle name="Currency 5 3 3 6 4 2" xfId="23163" xr:uid="{F0565784-5A1D-4DBE-B07E-6681920BC4F0}"/>
    <cellStyle name="Currency 5 3 3 6 5" xfId="18952" xr:uid="{51B82F16-97F5-4FC2-AD60-7CC603DDC7B6}"/>
    <cellStyle name="Currency 5 3 3 7" xfId="2439" xr:uid="{00000000-0005-0000-0000-0000060D0000}"/>
    <cellStyle name="Currency 5 3 3 7 2" xfId="6725" xr:uid="{00000000-0005-0000-0000-0000070D0000}"/>
    <cellStyle name="Currency 5 3 3 7 2 2" xfId="15154" xr:uid="{E516D56A-CB27-4D96-BDF5-4CB7B4092EC7}"/>
    <cellStyle name="Currency 5 3 3 7 2 3" xfId="27787" xr:uid="{F2A61DDC-5840-47AA-9EBF-48EF580166E9}"/>
    <cellStyle name="Currency 5 3 3 7 3" xfId="10936" xr:uid="{C55A2FA4-9D6D-47C5-BE45-B5E9A8F6DE08}"/>
    <cellStyle name="Currency 5 3 3 7 3 2" xfId="23576" xr:uid="{8519976A-9623-4FCA-9D2F-3672AB4EE29D}"/>
    <cellStyle name="Currency 5 3 3 7 4" xfId="19365" xr:uid="{CC206886-CE92-4312-90D9-F2A58174D74D}"/>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32CB0A55-ECB2-4770-8EE7-06A15D28A8D9}"/>
    <cellStyle name="Currency 5 3 3 9 2 3" xfId="28104" xr:uid="{62073BF1-492E-47FC-9C96-FEE344387BE1}"/>
    <cellStyle name="Currency 5 3 3 9 3" xfId="11253" xr:uid="{50EA8C83-5F89-4FF7-8D69-D1FA3C88406F}"/>
    <cellStyle name="Currency 5 3 3 9 3 2" xfId="23893" xr:uid="{32849AF1-78BB-4918-B620-A1FDB90AD716}"/>
    <cellStyle name="Currency 5 3 3 9 4" xfId="19682" xr:uid="{CE6F01EF-732A-48DF-A773-7CD811F3C4A9}"/>
    <cellStyle name="Currency 5 3 4" xfId="216" xr:uid="{00000000-0005-0000-0000-00000B0D0000}"/>
    <cellStyle name="Currency 5 3 4 10" xfId="8872" xr:uid="{EC1EA42C-8F61-441E-8F42-2B3FC5102CC9}"/>
    <cellStyle name="Currency 5 3 4 10 2" xfId="21512" xr:uid="{799022A7-8025-4DF9-909B-7F10E820C8E1}"/>
    <cellStyle name="Currency 5 3 4 11" xfId="17301" xr:uid="{620146EE-1532-42D7-BF09-6BE587BF1CB7}"/>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1B9C0F33-EC83-4872-B013-5FDA9AB886CF}"/>
    <cellStyle name="Currency 5 3 4 2 2 2 3" xfId="28282" xr:uid="{6B09F319-B558-48C2-B5CD-F3AE5C0788E6}"/>
    <cellStyle name="Currency 5 3 4 2 2 3" xfId="11431" xr:uid="{0E447795-3E86-41BD-BC27-D22F751E9FC8}"/>
    <cellStyle name="Currency 5 3 4 2 2 3 2" xfId="24071" xr:uid="{4836B4F3-EAD9-4C01-9052-1AA7BF70CA74}"/>
    <cellStyle name="Currency 5 3 4 2 2 4" xfId="19860" xr:uid="{4312B843-E6CC-40A9-B873-D492B7EB6E58}"/>
    <cellStyle name="Currency 5 3 4 2 3" xfId="5075" xr:uid="{00000000-0005-0000-0000-00000F0D0000}"/>
    <cellStyle name="Currency 5 3 4 2 3 2" xfId="13504" xr:uid="{C2398567-881F-4F6F-96A4-FD531C482696}"/>
    <cellStyle name="Currency 5 3 4 2 3 3" xfId="26137" xr:uid="{CBF0666F-DD7F-42D6-B430-482AF968E9A5}"/>
    <cellStyle name="Currency 5 3 4 2 4" xfId="9286" xr:uid="{94407DAB-7504-4212-8C24-BA1A349685F2}"/>
    <cellStyle name="Currency 5 3 4 2 4 2" xfId="21926" xr:uid="{C1A59707-1BF4-43C0-BC9E-06F7332FDF0A}"/>
    <cellStyle name="Currency 5 3 4 2 5" xfId="17715" xr:uid="{F27FBEBF-2551-45CE-9715-9A4E03F12785}"/>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9D7FCEBA-FC49-48A9-AB6A-4F0141CABF6B}"/>
    <cellStyle name="Currency 5 3 4 3 2 2 3" xfId="28695" xr:uid="{71485084-2A43-4334-86B1-62D622C49EAE}"/>
    <cellStyle name="Currency 5 3 4 3 2 3" xfId="11844" xr:uid="{923ED691-3CCD-4DF1-A7A5-5D28C54FCB17}"/>
    <cellStyle name="Currency 5 3 4 3 2 3 2" xfId="24484" xr:uid="{887FFE4C-7D9E-4382-A042-3E9F7AB56881}"/>
    <cellStyle name="Currency 5 3 4 3 2 4" xfId="20273" xr:uid="{AA006F48-9182-47EF-8625-1C60CFF92816}"/>
    <cellStyle name="Currency 5 3 4 3 3" xfId="5488" xr:uid="{00000000-0005-0000-0000-0000130D0000}"/>
    <cellStyle name="Currency 5 3 4 3 3 2" xfId="13917" xr:uid="{42860D43-9697-4AFD-9E6A-29CE1363805F}"/>
    <cellStyle name="Currency 5 3 4 3 3 3" xfId="26550" xr:uid="{33BCFD5B-236B-4942-B91F-C29557093306}"/>
    <cellStyle name="Currency 5 3 4 3 4" xfId="9699" xr:uid="{21B85EA0-3777-4E46-BF8D-5296C92224CD}"/>
    <cellStyle name="Currency 5 3 4 3 4 2" xfId="22339" xr:uid="{798B381D-B7D6-4BC4-9EC6-812A15CDE115}"/>
    <cellStyle name="Currency 5 3 4 3 5" xfId="18128" xr:uid="{D5D76BC4-BC0D-42CD-BC6A-59B893E64BBE}"/>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2F0AE765-2791-430C-A9C1-76336D81E220}"/>
    <cellStyle name="Currency 5 3 4 4 2 2 3" xfId="29108" xr:uid="{6EAA2155-B449-41A2-86B9-4183729E1CB0}"/>
    <cellStyle name="Currency 5 3 4 4 2 3" xfId="12257" xr:uid="{AACA8BC3-42C3-448F-A249-09E1E394A919}"/>
    <cellStyle name="Currency 5 3 4 4 2 3 2" xfId="24897" xr:uid="{8194ACE9-50FE-487E-B036-380CF4559DDA}"/>
    <cellStyle name="Currency 5 3 4 4 2 4" xfId="20686" xr:uid="{1D2DEF38-D67B-433E-8226-930690980DB9}"/>
    <cellStyle name="Currency 5 3 4 4 3" xfId="5901" xr:uid="{00000000-0005-0000-0000-0000170D0000}"/>
    <cellStyle name="Currency 5 3 4 4 3 2" xfId="14330" xr:uid="{C00D39FE-0851-4232-BB8E-B3EA66C52C5C}"/>
    <cellStyle name="Currency 5 3 4 4 3 3" xfId="26963" xr:uid="{21819152-DE46-436A-B5E1-6BE3D686ED0F}"/>
    <cellStyle name="Currency 5 3 4 4 4" xfId="10112" xr:uid="{2DF1F3D1-3041-47B8-979C-AEBA64ED91A7}"/>
    <cellStyle name="Currency 5 3 4 4 4 2" xfId="22752" xr:uid="{2AE65CDE-5755-49A3-96AD-15353CDD4D2D}"/>
    <cellStyle name="Currency 5 3 4 4 5" xfId="18541" xr:uid="{95B6D2A5-6A29-459B-BCD5-89531B96D79D}"/>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72580861-DA18-4238-845F-2EF1946E507D}"/>
    <cellStyle name="Currency 5 3 4 5 2 2 3" xfId="29521" xr:uid="{0B284E55-EF04-4A9E-9AEA-3D2E1505D652}"/>
    <cellStyle name="Currency 5 3 4 5 2 3" xfId="12670" xr:uid="{08948679-31F5-4E10-A1FE-56C52E5D79CE}"/>
    <cellStyle name="Currency 5 3 4 5 2 3 2" xfId="25310" xr:uid="{A5137D1B-141F-464A-8237-0D6AA22F7E3D}"/>
    <cellStyle name="Currency 5 3 4 5 2 4" xfId="21099" xr:uid="{20513811-A961-4147-96E0-4D49AE302396}"/>
    <cellStyle name="Currency 5 3 4 5 3" xfId="6314" xr:uid="{00000000-0005-0000-0000-00001B0D0000}"/>
    <cellStyle name="Currency 5 3 4 5 3 2" xfId="14743" xr:uid="{A9EA4C30-CFB4-4FA7-889C-4914C68F9EB3}"/>
    <cellStyle name="Currency 5 3 4 5 3 3" xfId="27376" xr:uid="{6F318294-5C92-4488-BFE6-FDCD1883358B}"/>
    <cellStyle name="Currency 5 3 4 5 4" xfId="10525" xr:uid="{D842350B-5D41-477A-8494-20B36F11B6A3}"/>
    <cellStyle name="Currency 5 3 4 5 4 2" xfId="23165" xr:uid="{CA04B287-82C4-45C2-BD31-6F029B991B32}"/>
    <cellStyle name="Currency 5 3 4 5 5" xfId="18954" xr:uid="{B89B4DC1-6671-4DEA-9D97-85FAC08F4A1E}"/>
    <cellStyle name="Currency 5 3 4 6" xfId="2441" xr:uid="{00000000-0005-0000-0000-00001C0D0000}"/>
    <cellStyle name="Currency 5 3 4 6 2" xfId="6727" xr:uid="{00000000-0005-0000-0000-00001D0D0000}"/>
    <cellStyle name="Currency 5 3 4 6 2 2" xfId="15156" xr:uid="{C2778EB2-20F2-4B28-B9F2-D4E0F1CEF115}"/>
    <cellStyle name="Currency 5 3 4 6 2 3" xfId="27789" xr:uid="{0FCE314B-B4DE-4777-88D0-9984D5A0ACFC}"/>
    <cellStyle name="Currency 5 3 4 6 3" xfId="10938" xr:uid="{F17D08DA-ECA2-4DD7-B124-A1223BD23C6B}"/>
    <cellStyle name="Currency 5 3 4 6 3 2" xfId="23578" xr:uid="{BD0E61D5-8E84-4F3E-BC1B-6917B5FFE32A}"/>
    <cellStyle name="Currency 5 3 4 6 4" xfId="19367" xr:uid="{6BBFE45C-F257-4DA7-A025-C310A62881C0}"/>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D6E76410-789F-4D63-8F5F-810D4FBE19FA}"/>
    <cellStyle name="Currency 5 3 4 8 2 3" xfId="28106" xr:uid="{EE0E988A-E368-44C5-9530-A525EB07FC9B}"/>
    <cellStyle name="Currency 5 3 4 8 3" xfId="11255" xr:uid="{F0D1D94C-7FAE-4D9B-B79B-8B0932D0ABAA}"/>
    <cellStyle name="Currency 5 3 4 8 3 2" xfId="23895" xr:uid="{F5FA9495-FD79-454C-B622-A23035C9DFA5}"/>
    <cellStyle name="Currency 5 3 4 8 4" xfId="19684" xr:uid="{4C222412-2FD3-47A7-B4F4-06FAB196C8DF}"/>
    <cellStyle name="Currency 5 3 4 9" xfId="4661" xr:uid="{00000000-0005-0000-0000-0000210D0000}"/>
    <cellStyle name="Currency 5 3 4 9 2" xfId="13090" xr:uid="{93F3E3CD-B6AB-454A-B5EB-F2932B2651F6}"/>
    <cellStyle name="Currency 5 3 4 9 3" xfId="25723" xr:uid="{F386AB83-B159-45C7-9C43-59E7C80B5F4C}"/>
    <cellStyle name="Currency 5 3 5" xfId="217" xr:uid="{00000000-0005-0000-0000-0000220D0000}"/>
    <cellStyle name="Currency 5 3 5 10" xfId="8873" xr:uid="{6EB595BB-29FF-414A-8CC7-473F78B8BA52}"/>
    <cellStyle name="Currency 5 3 5 10 2" xfId="21513" xr:uid="{DC9E275A-028B-4C74-9AE3-BF3520F5BC9A}"/>
    <cellStyle name="Currency 5 3 5 11" xfId="17302" xr:uid="{46372EBF-CD00-4911-9321-90069ACF9368}"/>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9ABC530C-4BB7-4CE4-A1EF-D81DEBB26C41}"/>
    <cellStyle name="Currency 5 3 5 2 2 2 3" xfId="28283" xr:uid="{CC8FE878-199F-4615-8B61-73E2D0A3DD3E}"/>
    <cellStyle name="Currency 5 3 5 2 2 3" xfId="11432" xr:uid="{4766BE6C-6554-41C7-919E-CE5A53DF0BB0}"/>
    <cellStyle name="Currency 5 3 5 2 2 3 2" xfId="24072" xr:uid="{1CD0212A-FC8C-40D3-B13A-028ECF5A9B57}"/>
    <cellStyle name="Currency 5 3 5 2 2 4" xfId="19861" xr:uid="{D3D49D80-49F6-4301-9CA3-6AFE17D8311C}"/>
    <cellStyle name="Currency 5 3 5 2 3" xfId="5076" xr:uid="{00000000-0005-0000-0000-0000260D0000}"/>
    <cellStyle name="Currency 5 3 5 2 3 2" xfId="13505" xr:uid="{645202D4-A90A-492C-A2A2-7C878CF8285F}"/>
    <cellStyle name="Currency 5 3 5 2 3 3" xfId="26138" xr:uid="{8B469E43-70FC-4E21-987D-92363148C65E}"/>
    <cellStyle name="Currency 5 3 5 2 4" xfId="9287" xr:uid="{D5BF9BED-EECD-49EA-BC9A-6C91EB9B0F65}"/>
    <cellStyle name="Currency 5 3 5 2 4 2" xfId="21927" xr:uid="{9CB2DE59-E2DA-441C-BA53-9DF69A481CB4}"/>
    <cellStyle name="Currency 5 3 5 2 5" xfId="17716" xr:uid="{9B6AEB02-F045-4EC3-A75B-DBDED1D7E4AD}"/>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14EAB4FB-C6D5-42BC-BBF3-038F45BBDF7F}"/>
    <cellStyle name="Currency 5 3 5 3 2 2 3" xfId="28696" xr:uid="{3AE97A46-B4BE-4F8F-90FE-31B77FD530E2}"/>
    <cellStyle name="Currency 5 3 5 3 2 3" xfId="11845" xr:uid="{C76661FE-3E09-40BE-AF6F-62D25DFE80A8}"/>
    <cellStyle name="Currency 5 3 5 3 2 3 2" xfId="24485" xr:uid="{8BEF3529-4EB4-4154-A1E8-38FDC3B137DB}"/>
    <cellStyle name="Currency 5 3 5 3 2 4" xfId="20274" xr:uid="{8688E263-9341-44E6-95C4-9D4FA463C208}"/>
    <cellStyle name="Currency 5 3 5 3 3" xfId="5489" xr:uid="{00000000-0005-0000-0000-00002A0D0000}"/>
    <cellStyle name="Currency 5 3 5 3 3 2" xfId="13918" xr:uid="{59460A25-DE7E-4249-B2DD-E0DA11083264}"/>
    <cellStyle name="Currency 5 3 5 3 3 3" xfId="26551" xr:uid="{EC218511-EAA4-41E5-A560-74336710A06A}"/>
    <cellStyle name="Currency 5 3 5 3 4" xfId="9700" xr:uid="{BB3D9C0F-68BE-41B6-8C23-8DBDDC477E5B}"/>
    <cellStyle name="Currency 5 3 5 3 4 2" xfId="22340" xr:uid="{BC8E3C90-3C4D-499F-9A04-15F93BA3B610}"/>
    <cellStyle name="Currency 5 3 5 3 5" xfId="18129" xr:uid="{312674F6-4E3A-4FD7-954D-26F12A366AAF}"/>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162F6DB7-C07E-4DC6-9056-9D0B35E33D69}"/>
    <cellStyle name="Currency 5 3 5 4 2 2 3" xfId="29109" xr:uid="{85CEF70A-F7CB-4CEF-9A38-684F1F148389}"/>
    <cellStyle name="Currency 5 3 5 4 2 3" xfId="12258" xr:uid="{C2DF76AD-84E3-42EE-924A-D5A6EC52E4E8}"/>
    <cellStyle name="Currency 5 3 5 4 2 3 2" xfId="24898" xr:uid="{EC48F361-B181-4BB0-936C-4E2B3437D002}"/>
    <cellStyle name="Currency 5 3 5 4 2 4" xfId="20687" xr:uid="{7541D6C4-A93F-4FF5-8F93-09251C7C0E08}"/>
    <cellStyle name="Currency 5 3 5 4 3" xfId="5902" xr:uid="{00000000-0005-0000-0000-00002E0D0000}"/>
    <cellStyle name="Currency 5 3 5 4 3 2" xfId="14331" xr:uid="{CF38DCE0-CF4C-4C28-A3C6-9DD3274D2628}"/>
    <cellStyle name="Currency 5 3 5 4 3 3" xfId="26964" xr:uid="{0AAF4741-44C1-46F9-BB61-C098C36F0D1C}"/>
    <cellStyle name="Currency 5 3 5 4 4" xfId="10113" xr:uid="{EFF8CCA5-8331-4279-9832-5F46A3E76374}"/>
    <cellStyle name="Currency 5 3 5 4 4 2" xfId="22753" xr:uid="{4A62A656-6A35-4F84-965A-EDDED6DA161F}"/>
    <cellStyle name="Currency 5 3 5 4 5" xfId="18542" xr:uid="{8E35F06C-01A7-449F-9226-3662F5DED41C}"/>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C7241522-3268-4694-AEBE-8A5286DAD855}"/>
    <cellStyle name="Currency 5 3 5 5 2 2 3" xfId="29522" xr:uid="{AC545AD9-7356-4769-8E95-0B19D2FC74B9}"/>
    <cellStyle name="Currency 5 3 5 5 2 3" xfId="12671" xr:uid="{6092669B-130C-4485-A06D-6E97CFE5AF2C}"/>
    <cellStyle name="Currency 5 3 5 5 2 3 2" xfId="25311" xr:uid="{2BB2861E-936A-4C63-ACD6-C41B0165F96D}"/>
    <cellStyle name="Currency 5 3 5 5 2 4" xfId="21100" xr:uid="{F086EADC-613C-4AC9-8076-6CC3AF610442}"/>
    <cellStyle name="Currency 5 3 5 5 3" xfId="6315" xr:uid="{00000000-0005-0000-0000-0000320D0000}"/>
    <cellStyle name="Currency 5 3 5 5 3 2" xfId="14744" xr:uid="{1484B3D3-3FD1-4C19-BB99-584BAD0158BB}"/>
    <cellStyle name="Currency 5 3 5 5 3 3" xfId="27377" xr:uid="{7E17796A-AA2D-492A-A2E0-577A3A2CFB1D}"/>
    <cellStyle name="Currency 5 3 5 5 4" xfId="10526" xr:uid="{993450F3-F028-44AB-9E6A-57611BAA9F64}"/>
    <cellStyle name="Currency 5 3 5 5 4 2" xfId="23166" xr:uid="{6C4DD5D5-4837-41D1-9B08-0B6E813694D3}"/>
    <cellStyle name="Currency 5 3 5 5 5" xfId="18955" xr:uid="{7EEB88A0-B243-4B2A-BD4C-CBF78C6512EA}"/>
    <cellStyle name="Currency 5 3 5 6" xfId="2442" xr:uid="{00000000-0005-0000-0000-0000330D0000}"/>
    <cellStyle name="Currency 5 3 5 6 2" xfId="6728" xr:uid="{00000000-0005-0000-0000-0000340D0000}"/>
    <cellStyle name="Currency 5 3 5 6 2 2" xfId="15157" xr:uid="{4EFA6711-4432-4101-8112-9709C5E61569}"/>
    <cellStyle name="Currency 5 3 5 6 2 3" xfId="27790" xr:uid="{6D3BF880-F9A7-4197-BCC8-CADC2574A285}"/>
    <cellStyle name="Currency 5 3 5 6 3" xfId="10939" xr:uid="{EC99F925-4432-4AC0-BCE3-5122FA400953}"/>
    <cellStyle name="Currency 5 3 5 6 3 2" xfId="23579" xr:uid="{99F9E964-50F7-4A17-92F0-CE447C136EC0}"/>
    <cellStyle name="Currency 5 3 5 6 4" xfId="19368" xr:uid="{CE8B0282-F636-4ACA-88C4-F5D0136192EE}"/>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D0B346E0-A22A-4990-9824-098F2F3EFB47}"/>
    <cellStyle name="Currency 5 3 5 8 2 3" xfId="28107" xr:uid="{5C46D090-10FE-4586-8D35-3E7E4BBE1E4C}"/>
    <cellStyle name="Currency 5 3 5 8 3" xfId="11256" xr:uid="{CF587033-4BAF-4270-9732-BB718C46AB9C}"/>
    <cellStyle name="Currency 5 3 5 8 3 2" xfId="23896" xr:uid="{E41712F0-2B6D-42FB-B9E0-8D9F7C191335}"/>
    <cellStyle name="Currency 5 3 5 8 4" xfId="19685" xr:uid="{5C9806EA-7865-4342-BDDE-FE8EC8E31C2D}"/>
    <cellStyle name="Currency 5 3 5 9" xfId="4662" xr:uid="{00000000-0005-0000-0000-0000380D0000}"/>
    <cellStyle name="Currency 5 3 5 9 2" xfId="13091" xr:uid="{16EB18B2-8B2E-48ED-840B-EB071CCDC224}"/>
    <cellStyle name="Currency 5 3 5 9 3" xfId="25724" xr:uid="{533D1048-296A-44B5-B974-E61CA3F86722}"/>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3EE3F595-E261-477E-B6FB-7EBB479BBE3B}"/>
    <cellStyle name="Currency 5 5 10 3" xfId="25725" xr:uid="{28AC478F-459A-45B0-8FC8-B7F5C6DF9912}"/>
    <cellStyle name="Currency 5 5 11" xfId="8874" xr:uid="{B05365E0-3201-432E-96C2-31C649E30190}"/>
    <cellStyle name="Currency 5 5 11 2" xfId="21514" xr:uid="{65B16A1D-5E37-45C2-81C0-87B276E660C3}"/>
    <cellStyle name="Currency 5 5 12" xfId="17303" xr:uid="{9378032D-C5A7-4B93-A03C-4CDD2087BA9E}"/>
    <cellStyle name="Currency 5 5 2" xfId="220" xr:uid="{00000000-0005-0000-0000-00003D0D0000}"/>
    <cellStyle name="Currency 5 5 2 10" xfId="8875" xr:uid="{BA11D1A7-237B-4514-BABD-9E8290FCC32A}"/>
    <cellStyle name="Currency 5 5 2 10 2" xfId="21515" xr:uid="{D017A969-77FE-416F-BE5B-35AE58D81BE1}"/>
    <cellStyle name="Currency 5 5 2 11" xfId="17304" xr:uid="{B4E613A6-C724-4F4B-9DE6-BC4E27ABF5A8}"/>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DF13A788-61A4-4DA4-8A67-A635A8EC9C48}"/>
    <cellStyle name="Currency 5 5 2 2 2 2 3" xfId="28285" xr:uid="{45C3CD16-2DE3-495B-9BB2-1B14169BB3BA}"/>
    <cellStyle name="Currency 5 5 2 2 2 3" xfId="11434" xr:uid="{3A41D6D4-7267-434C-89AD-7E932220211A}"/>
    <cellStyle name="Currency 5 5 2 2 2 3 2" xfId="24074" xr:uid="{0FC0761F-41F2-4569-AC96-A0B7DD75029B}"/>
    <cellStyle name="Currency 5 5 2 2 2 4" xfId="19863" xr:uid="{1E978277-65C8-43A3-8F4A-99AE61BFCA74}"/>
    <cellStyle name="Currency 5 5 2 2 3" xfId="5078" xr:uid="{00000000-0005-0000-0000-0000410D0000}"/>
    <cellStyle name="Currency 5 5 2 2 3 2" xfId="13507" xr:uid="{4736925A-D11E-42B4-A5CE-1E7AD2069452}"/>
    <cellStyle name="Currency 5 5 2 2 3 3" xfId="26140" xr:uid="{3C483071-F33A-4FA9-B4B2-678F6F2ABC63}"/>
    <cellStyle name="Currency 5 5 2 2 4" xfId="9289" xr:uid="{21A17902-C3BA-4918-80FE-63092A8AA9B7}"/>
    <cellStyle name="Currency 5 5 2 2 4 2" xfId="21929" xr:uid="{BBCBC687-9D58-4677-823F-5400296EF54B}"/>
    <cellStyle name="Currency 5 5 2 2 5" xfId="17718" xr:uid="{7D174810-A48C-409F-99AD-06CECA787687}"/>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5500A58B-D638-452B-9613-F244A55234E9}"/>
    <cellStyle name="Currency 5 5 2 3 2 2 3" xfId="28698" xr:uid="{B1FEDCA1-287C-47E7-B05A-543412568BD8}"/>
    <cellStyle name="Currency 5 5 2 3 2 3" xfId="11847" xr:uid="{C22E7108-C847-4F83-805B-33D6DE4A2968}"/>
    <cellStyle name="Currency 5 5 2 3 2 3 2" xfId="24487" xr:uid="{161F1EE8-6B2C-4A89-AC1B-ED7E3F129C2F}"/>
    <cellStyle name="Currency 5 5 2 3 2 4" xfId="20276" xr:uid="{E387CB0C-0461-40C9-A338-77324BB38FFF}"/>
    <cellStyle name="Currency 5 5 2 3 3" xfId="5491" xr:uid="{00000000-0005-0000-0000-0000450D0000}"/>
    <cellStyle name="Currency 5 5 2 3 3 2" xfId="13920" xr:uid="{99E0AB03-C277-447B-B2A1-13E488DC0B7A}"/>
    <cellStyle name="Currency 5 5 2 3 3 3" xfId="26553" xr:uid="{6C91AEAD-654B-4C93-A3A2-8297C38986C4}"/>
    <cellStyle name="Currency 5 5 2 3 4" xfId="9702" xr:uid="{E8478F74-D1D4-46FC-A948-B6906C6B5F1A}"/>
    <cellStyle name="Currency 5 5 2 3 4 2" xfId="22342" xr:uid="{92DC65D5-BC9D-4049-BBCA-FB19C1E3F763}"/>
    <cellStyle name="Currency 5 5 2 3 5" xfId="18131" xr:uid="{4EB397BC-DD31-4598-93F0-5460665BA742}"/>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5C4EF305-66DB-4C86-AC33-3687CB92C154}"/>
    <cellStyle name="Currency 5 5 2 4 2 2 3" xfId="29111" xr:uid="{7329852C-850B-4039-AC45-0BBCA2F2A334}"/>
    <cellStyle name="Currency 5 5 2 4 2 3" xfId="12260" xr:uid="{67A33F59-2840-49D5-A47D-7DAF0B068D2F}"/>
    <cellStyle name="Currency 5 5 2 4 2 3 2" xfId="24900" xr:uid="{57F130C7-3BE3-4368-9079-2F66B9C87792}"/>
    <cellStyle name="Currency 5 5 2 4 2 4" xfId="20689" xr:uid="{25A93DCE-5B88-4456-9B99-EE462939693F}"/>
    <cellStyle name="Currency 5 5 2 4 3" xfId="5904" xr:uid="{00000000-0005-0000-0000-0000490D0000}"/>
    <cellStyle name="Currency 5 5 2 4 3 2" xfId="14333" xr:uid="{812B47B7-FEC1-475C-8DCB-F74BA66600C1}"/>
    <cellStyle name="Currency 5 5 2 4 3 3" xfId="26966" xr:uid="{AA9AD312-0F7D-46F1-B2B0-CE9E3DF3DC86}"/>
    <cellStyle name="Currency 5 5 2 4 4" xfId="10115" xr:uid="{50A6661A-3415-4948-95A0-9D020EB839D7}"/>
    <cellStyle name="Currency 5 5 2 4 4 2" xfId="22755" xr:uid="{1FDD7D8A-AAF3-4675-8DC5-770510C74DA4}"/>
    <cellStyle name="Currency 5 5 2 4 5" xfId="18544" xr:uid="{F5181277-8FB6-45E4-A1EB-F4F52A7877AD}"/>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0D5BC98A-D4F0-4F38-81DF-051E4AA52585}"/>
    <cellStyle name="Currency 5 5 2 5 2 2 3" xfId="29524" xr:uid="{7B1A4FA4-B656-4AA3-BF17-250C0A94E0C5}"/>
    <cellStyle name="Currency 5 5 2 5 2 3" xfId="12673" xr:uid="{3AAAAA4E-FBF9-49FF-A6B4-0C57B4AA0E7C}"/>
    <cellStyle name="Currency 5 5 2 5 2 3 2" xfId="25313" xr:uid="{21DCAD53-6EFA-44CA-A097-D7A76F9CCAF0}"/>
    <cellStyle name="Currency 5 5 2 5 2 4" xfId="21102" xr:uid="{90FFE11F-E270-47A7-B821-1752E63733F9}"/>
    <cellStyle name="Currency 5 5 2 5 3" xfId="6317" xr:uid="{00000000-0005-0000-0000-00004D0D0000}"/>
    <cellStyle name="Currency 5 5 2 5 3 2" xfId="14746" xr:uid="{BFFF12DB-2DF2-4EFE-A8F3-65B0DD4B53AF}"/>
    <cellStyle name="Currency 5 5 2 5 3 3" xfId="27379" xr:uid="{3BF69B22-9E54-4AE5-9509-63AEE753ECBF}"/>
    <cellStyle name="Currency 5 5 2 5 4" xfId="10528" xr:uid="{C43BA35E-4B1F-4677-9D1B-90203900719F}"/>
    <cellStyle name="Currency 5 5 2 5 4 2" xfId="23168" xr:uid="{A9DDF41D-194E-4991-BAA9-8A26056A3BB3}"/>
    <cellStyle name="Currency 5 5 2 5 5" xfId="18957" xr:uid="{8D4FE3E7-A1C5-4CC8-88C9-30C266616D7C}"/>
    <cellStyle name="Currency 5 5 2 6" xfId="2444" xr:uid="{00000000-0005-0000-0000-00004E0D0000}"/>
    <cellStyle name="Currency 5 5 2 6 2" xfId="6730" xr:uid="{00000000-0005-0000-0000-00004F0D0000}"/>
    <cellStyle name="Currency 5 5 2 6 2 2" xfId="15159" xr:uid="{EE6A33CA-71B4-4B3A-86B5-C6DF15EC1D4A}"/>
    <cellStyle name="Currency 5 5 2 6 2 3" xfId="27792" xr:uid="{0297620C-B277-419B-B9DC-4529B8E68E35}"/>
    <cellStyle name="Currency 5 5 2 6 3" xfId="10941" xr:uid="{92C05897-C71D-4E1A-B436-EEA441203158}"/>
    <cellStyle name="Currency 5 5 2 6 3 2" xfId="23581" xr:uid="{2CA6ABFE-F73F-4482-A089-AD89716DBBF5}"/>
    <cellStyle name="Currency 5 5 2 6 4" xfId="19370" xr:uid="{B8970216-DA0B-4788-B20A-CF4C540AD4E8}"/>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D87EA988-4CD0-4204-BA0D-A1BBEC9E785A}"/>
    <cellStyle name="Currency 5 5 2 8 2 3" xfId="28109" xr:uid="{0E706D73-2F0A-4488-93D9-F065CEA47EBD}"/>
    <cellStyle name="Currency 5 5 2 8 3" xfId="11258" xr:uid="{4E57F1BC-E161-4194-A77A-213C22B084E5}"/>
    <cellStyle name="Currency 5 5 2 8 3 2" xfId="23898" xr:uid="{0F5A1CD4-8CBB-49A9-846B-4F9F19DCE572}"/>
    <cellStyle name="Currency 5 5 2 8 4" xfId="19687" xr:uid="{39573200-6EE6-44DF-8089-7D0A666E1FF4}"/>
    <cellStyle name="Currency 5 5 2 9" xfId="4664" xr:uid="{00000000-0005-0000-0000-0000530D0000}"/>
    <cellStyle name="Currency 5 5 2 9 2" xfId="13093" xr:uid="{55FBBD34-D5AD-4FBC-A5BD-3AFAF04FEA2A}"/>
    <cellStyle name="Currency 5 5 2 9 3" xfId="25726" xr:uid="{2AD043D5-57FA-4E9C-BB46-C2BC1CC51636}"/>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7FF9BABC-8B90-48C9-97F9-2B714AC2D294}"/>
    <cellStyle name="Currency 5 5 3 2 2 3" xfId="28284" xr:uid="{4D0263D3-9D9F-4C7C-99B0-B20CF8C9AA11}"/>
    <cellStyle name="Currency 5 5 3 2 3" xfId="11433" xr:uid="{66697741-6DBF-4ABB-B833-32BDE53FB230}"/>
    <cellStyle name="Currency 5 5 3 2 3 2" xfId="24073" xr:uid="{B25B52B7-59E3-479A-AEB2-A5DDB95E0849}"/>
    <cellStyle name="Currency 5 5 3 2 4" xfId="19862" xr:uid="{A827AB5F-1258-40D1-B91D-1E6E55451887}"/>
    <cellStyle name="Currency 5 5 3 3" xfId="5077" xr:uid="{00000000-0005-0000-0000-0000570D0000}"/>
    <cellStyle name="Currency 5 5 3 3 2" xfId="13506" xr:uid="{54F50C91-A9DA-485F-A509-74B81771D618}"/>
    <cellStyle name="Currency 5 5 3 3 3" xfId="26139" xr:uid="{40DB40BA-97F4-4797-AED8-C8D63E9A1AA3}"/>
    <cellStyle name="Currency 5 5 3 4" xfId="9288" xr:uid="{E5E53094-76F4-452D-AA9A-4B6C6CA1BB65}"/>
    <cellStyle name="Currency 5 5 3 4 2" xfId="21928" xr:uid="{05F838E0-63BF-4353-80DD-7353AF34DB8C}"/>
    <cellStyle name="Currency 5 5 3 5" xfId="17717" xr:uid="{F4E2114B-34D0-443F-B068-011D33F15B0F}"/>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F88A7240-DC7A-4F7E-AAD6-0B20BBE63C7B}"/>
    <cellStyle name="Currency 5 5 4 2 2 3" xfId="28697" xr:uid="{E899E566-3C5F-4CD2-AA0D-C5784C2DC0B6}"/>
    <cellStyle name="Currency 5 5 4 2 3" xfId="11846" xr:uid="{32B1ECC2-9C65-4F7F-8109-2380888D5394}"/>
    <cellStyle name="Currency 5 5 4 2 3 2" xfId="24486" xr:uid="{10149775-564E-42A3-BA9F-87A66B0A5D43}"/>
    <cellStyle name="Currency 5 5 4 2 4" xfId="20275" xr:uid="{6431F4B2-C1BB-4808-95AA-C0653DAEE37B}"/>
    <cellStyle name="Currency 5 5 4 3" xfId="5490" xr:uid="{00000000-0005-0000-0000-00005B0D0000}"/>
    <cellStyle name="Currency 5 5 4 3 2" xfId="13919" xr:uid="{71DA5A9E-4329-4831-AD33-419D2C103BA8}"/>
    <cellStyle name="Currency 5 5 4 3 3" xfId="26552" xr:uid="{29130CBC-0DF5-4B38-ADFD-CC4A2E7B0B5C}"/>
    <cellStyle name="Currency 5 5 4 4" xfId="9701" xr:uid="{B5931773-BF9B-4519-935B-7E4FA66D84FD}"/>
    <cellStyle name="Currency 5 5 4 4 2" xfId="22341" xr:uid="{8E53ED5C-7010-403F-892D-05E6BEBD37C3}"/>
    <cellStyle name="Currency 5 5 4 5" xfId="18130" xr:uid="{7BD49FE1-4EFB-4434-9AD3-D80EC2A2B6C7}"/>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2A3172FF-CB66-4A3E-B35B-31794C91CF15}"/>
    <cellStyle name="Currency 5 5 5 2 2 3" xfId="29110" xr:uid="{EFC07AE1-3E44-4226-9AB5-B45591A5AA1E}"/>
    <cellStyle name="Currency 5 5 5 2 3" xfId="12259" xr:uid="{C9CB16E3-9210-46B4-8970-60CFD3BD113C}"/>
    <cellStyle name="Currency 5 5 5 2 3 2" xfId="24899" xr:uid="{B6FF25AE-03C8-4ADC-957C-F0F33BC0B167}"/>
    <cellStyle name="Currency 5 5 5 2 4" xfId="20688" xr:uid="{2E94AE7B-1D0E-4811-AA7A-C57B35D02492}"/>
    <cellStyle name="Currency 5 5 5 3" xfId="5903" xr:uid="{00000000-0005-0000-0000-00005F0D0000}"/>
    <cellStyle name="Currency 5 5 5 3 2" xfId="14332" xr:uid="{99C49FFB-9C89-4F21-9642-787E4B88492F}"/>
    <cellStyle name="Currency 5 5 5 3 3" xfId="26965" xr:uid="{2A332664-0490-4914-B004-AEB252A3CC87}"/>
    <cellStyle name="Currency 5 5 5 4" xfId="10114" xr:uid="{C7B916B6-1537-4E35-896E-9E56399907DE}"/>
    <cellStyle name="Currency 5 5 5 4 2" xfId="22754" xr:uid="{38549D6B-3484-4AC5-BD8A-61CA329C361F}"/>
    <cellStyle name="Currency 5 5 5 5" xfId="18543" xr:uid="{0A72C86C-69E5-425E-9773-2B699F9D455C}"/>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9BB0DFFA-677B-4ADB-937C-52E2D760EF7D}"/>
    <cellStyle name="Currency 5 5 6 2 2 3" xfId="29523" xr:uid="{33391D67-678E-4E2E-8452-537F4FD9F657}"/>
    <cellStyle name="Currency 5 5 6 2 3" xfId="12672" xr:uid="{F53DA589-81CF-4509-BF56-78A1EB88B791}"/>
    <cellStyle name="Currency 5 5 6 2 3 2" xfId="25312" xr:uid="{9BC2FE0F-2D77-4598-B3A6-BBC49E1E7EBB}"/>
    <cellStyle name="Currency 5 5 6 2 4" xfId="21101" xr:uid="{DB220970-88D0-4772-82CE-490C0D1B300F}"/>
    <cellStyle name="Currency 5 5 6 3" xfId="6316" xr:uid="{00000000-0005-0000-0000-0000630D0000}"/>
    <cellStyle name="Currency 5 5 6 3 2" xfId="14745" xr:uid="{7DD275E5-DEC5-4BC9-A793-90BE4E620F13}"/>
    <cellStyle name="Currency 5 5 6 3 3" xfId="27378" xr:uid="{FAF5B93C-2445-4A89-8A2B-C7F5FA91ECE0}"/>
    <cellStyle name="Currency 5 5 6 4" xfId="10527" xr:uid="{861952AF-DA1B-48C1-8DE0-F0DB8A9239AF}"/>
    <cellStyle name="Currency 5 5 6 4 2" xfId="23167" xr:uid="{5433828E-53EA-4F35-888F-E9C02126AE8B}"/>
    <cellStyle name="Currency 5 5 6 5" xfId="18956" xr:uid="{27CD6431-088B-44D6-88B1-9C5D16F893B4}"/>
    <cellStyle name="Currency 5 5 7" xfId="2443" xr:uid="{00000000-0005-0000-0000-0000640D0000}"/>
    <cellStyle name="Currency 5 5 7 2" xfId="6729" xr:uid="{00000000-0005-0000-0000-0000650D0000}"/>
    <cellStyle name="Currency 5 5 7 2 2" xfId="15158" xr:uid="{8D0EE71B-A2D9-4945-976B-961B3936EB95}"/>
    <cellStyle name="Currency 5 5 7 2 3" xfId="27791" xr:uid="{B12E3B81-5A27-4311-8BC3-7E166DB74AA3}"/>
    <cellStyle name="Currency 5 5 7 3" xfId="10940" xr:uid="{32C239F1-7637-4F54-8AF6-9E30BB49E346}"/>
    <cellStyle name="Currency 5 5 7 3 2" xfId="23580" xr:uid="{D5193A30-316F-4FB8-A654-1E0C6BAD17E2}"/>
    <cellStyle name="Currency 5 5 7 4" xfId="19369" xr:uid="{4BC88FCA-86C8-4D91-83C0-BB83A82B417D}"/>
    <cellStyle name="Currency 5 5 8" xfId="2740" xr:uid="{00000000-0005-0000-0000-0000660D0000}"/>
    <cellStyle name="Currency 5 5 9" xfId="2821" xr:uid="{00000000-0005-0000-0000-0000670D0000}"/>
    <cellStyle name="Currency 5 5 9 2" xfId="7046" xr:uid="{00000000-0005-0000-0000-0000680D0000}"/>
    <cellStyle name="Currency 5 5 9 2 2" xfId="15475" xr:uid="{4EBA1109-C7EA-46B2-B1AF-EFC8ED45D9DD}"/>
    <cellStyle name="Currency 5 5 9 2 3" xfId="28108" xr:uid="{BB1B5456-F7D9-4CCD-9F70-ABDE3222294E}"/>
    <cellStyle name="Currency 5 5 9 3" xfId="11257" xr:uid="{83B0FA73-8C91-4CA2-8E14-80F73F6DD518}"/>
    <cellStyle name="Currency 5 5 9 3 2" xfId="23897" xr:uid="{E0F72B97-9206-41D6-83E1-9CBFE9829E90}"/>
    <cellStyle name="Currency 5 5 9 4" xfId="19686" xr:uid="{0B8C5582-FB0F-43C1-8247-CFBBCAB46657}"/>
    <cellStyle name="Currency 5 6" xfId="221" xr:uid="{00000000-0005-0000-0000-0000690D0000}"/>
    <cellStyle name="Currency 5 6 10" xfId="8876" xr:uid="{1056E7CF-25B4-4DD2-8F2E-8883C7B23503}"/>
    <cellStyle name="Currency 5 6 10 2" xfId="21516" xr:uid="{FDCF5148-35C2-4888-9E9B-E2DA0CBF997C}"/>
    <cellStyle name="Currency 5 6 11" xfId="17305" xr:uid="{E635D152-670C-4C77-A832-C90F61277CC4}"/>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90430D36-4227-41A7-9322-CC8BED786CD6}"/>
    <cellStyle name="Currency 5 6 2 2 2 3" xfId="28286" xr:uid="{5E342087-7B31-4A4E-AA1F-44686DD4D40A}"/>
    <cellStyle name="Currency 5 6 2 2 3" xfId="11435" xr:uid="{567D814F-7213-4C2E-9E1D-6C5A32295CBC}"/>
    <cellStyle name="Currency 5 6 2 2 3 2" xfId="24075" xr:uid="{2E179C88-9F57-4429-B394-0DA5B2C8F4B0}"/>
    <cellStyle name="Currency 5 6 2 2 4" xfId="19864" xr:uid="{EF515E26-2974-4258-B6D1-5969F6FEC7B7}"/>
    <cellStyle name="Currency 5 6 2 3" xfId="5079" xr:uid="{00000000-0005-0000-0000-00006D0D0000}"/>
    <cellStyle name="Currency 5 6 2 3 2" xfId="13508" xr:uid="{CAC9D800-92E7-4B93-AFD5-84A44B02071E}"/>
    <cellStyle name="Currency 5 6 2 3 3" xfId="26141" xr:uid="{C3977FA0-3BCA-436D-AC0B-9412470850C9}"/>
    <cellStyle name="Currency 5 6 2 4" xfId="9290" xr:uid="{C7C933AF-B592-4102-9AFF-B6768396DAF6}"/>
    <cellStyle name="Currency 5 6 2 4 2" xfId="21930" xr:uid="{2386E278-54DB-4140-B98C-6A1C7FC3F8EA}"/>
    <cellStyle name="Currency 5 6 2 5" xfId="17719" xr:uid="{5D2EE879-C4A1-4633-BF4D-36E5457D36BB}"/>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45FA9192-57F5-42C9-B969-22544045DA44}"/>
    <cellStyle name="Currency 5 6 3 2 2 3" xfId="28699" xr:uid="{61C66F23-02AC-4725-A8AA-4CA06657C748}"/>
    <cellStyle name="Currency 5 6 3 2 3" xfId="11848" xr:uid="{C29065BD-90C6-456D-A472-A3D32F01004B}"/>
    <cellStyle name="Currency 5 6 3 2 3 2" xfId="24488" xr:uid="{9BD23B8B-A9F3-4AEE-981A-CF1E0760F19B}"/>
    <cellStyle name="Currency 5 6 3 2 4" xfId="20277" xr:uid="{C82A5D34-E1A3-4982-97ED-304EEC8E659E}"/>
    <cellStyle name="Currency 5 6 3 3" xfId="5492" xr:uid="{00000000-0005-0000-0000-0000710D0000}"/>
    <cellStyle name="Currency 5 6 3 3 2" xfId="13921" xr:uid="{96BC6868-DDFC-4C47-997E-9640D4E1168C}"/>
    <cellStyle name="Currency 5 6 3 3 3" xfId="26554" xr:uid="{350253BF-6AB7-4E67-B2C3-FD048E6FA25E}"/>
    <cellStyle name="Currency 5 6 3 4" xfId="9703" xr:uid="{291F18F7-55D2-4B1E-A8EA-957C15168CF9}"/>
    <cellStyle name="Currency 5 6 3 4 2" xfId="22343" xr:uid="{E50FF9C9-8D4F-4B6C-96DA-211F80514316}"/>
    <cellStyle name="Currency 5 6 3 5" xfId="18132" xr:uid="{A37B919E-0338-438A-A5F1-37592D2ED16A}"/>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5C580BE8-A70A-4024-A792-B295B965EDD2}"/>
    <cellStyle name="Currency 5 6 4 2 2 3" xfId="29112" xr:uid="{EC9262B7-791E-4298-9D92-0611D9AF7EF9}"/>
    <cellStyle name="Currency 5 6 4 2 3" xfId="12261" xr:uid="{92B03C36-84FA-4A2E-94B9-667335F6877A}"/>
    <cellStyle name="Currency 5 6 4 2 3 2" xfId="24901" xr:uid="{C5F74CD5-E5FE-4DC3-9CD7-EE9257C9A447}"/>
    <cellStyle name="Currency 5 6 4 2 4" xfId="20690" xr:uid="{9593D64B-1835-49D3-9108-E4516DBE5BA7}"/>
    <cellStyle name="Currency 5 6 4 3" xfId="5905" xr:uid="{00000000-0005-0000-0000-0000750D0000}"/>
    <cellStyle name="Currency 5 6 4 3 2" xfId="14334" xr:uid="{C0B92014-95EB-4C8D-B7D8-1FB0F5D949C1}"/>
    <cellStyle name="Currency 5 6 4 3 3" xfId="26967" xr:uid="{C238A213-6BF1-46D1-9A2C-77A19CEA0EC0}"/>
    <cellStyle name="Currency 5 6 4 4" xfId="10116" xr:uid="{5034D41F-7A98-40E7-9ABA-EB84F82201C2}"/>
    <cellStyle name="Currency 5 6 4 4 2" xfId="22756" xr:uid="{94B8B8F3-F047-4A7C-8ACA-166A83BF6A2D}"/>
    <cellStyle name="Currency 5 6 4 5" xfId="18545" xr:uid="{2095C728-56F6-40D3-95BE-942D14D2BD14}"/>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353CD376-3B6D-4EE6-875D-68BD8224E5CD}"/>
    <cellStyle name="Currency 5 6 5 2 2 3" xfId="29525" xr:uid="{66B966C0-6435-40A7-90D0-2F95B524A28A}"/>
    <cellStyle name="Currency 5 6 5 2 3" xfId="12674" xr:uid="{28FFE48F-3C3F-4B3F-9D82-8D2FE5AA4B9E}"/>
    <cellStyle name="Currency 5 6 5 2 3 2" xfId="25314" xr:uid="{EFCDA23B-4750-4B7F-81E9-9CFECF2462BB}"/>
    <cellStyle name="Currency 5 6 5 2 4" xfId="21103" xr:uid="{0442645D-D042-4270-A9B0-50F0BA0DFEFB}"/>
    <cellStyle name="Currency 5 6 5 3" xfId="6318" xr:uid="{00000000-0005-0000-0000-0000790D0000}"/>
    <cellStyle name="Currency 5 6 5 3 2" xfId="14747" xr:uid="{989F0AA2-51A2-4D28-8BD2-B797256712B7}"/>
    <cellStyle name="Currency 5 6 5 3 3" xfId="27380" xr:uid="{01378095-2AD8-4D0E-8442-7BB82F77F5F5}"/>
    <cellStyle name="Currency 5 6 5 4" xfId="10529" xr:uid="{E131920F-658F-42D6-A4BE-67E29A1D3333}"/>
    <cellStyle name="Currency 5 6 5 4 2" xfId="23169" xr:uid="{7DB1F42C-C1E2-48A1-AD6A-77837167DDDB}"/>
    <cellStyle name="Currency 5 6 5 5" xfId="18958" xr:uid="{B03F5E40-4BFA-44ED-A066-F6164660EDEE}"/>
    <cellStyle name="Currency 5 6 6" xfId="2445" xr:uid="{00000000-0005-0000-0000-00007A0D0000}"/>
    <cellStyle name="Currency 5 6 6 2" xfId="6731" xr:uid="{00000000-0005-0000-0000-00007B0D0000}"/>
    <cellStyle name="Currency 5 6 6 2 2" xfId="15160" xr:uid="{92A20377-2C6F-4868-A02F-B58F1A079497}"/>
    <cellStyle name="Currency 5 6 6 2 3" xfId="27793" xr:uid="{2FC60E82-AB46-4C2D-A3AE-66956682019D}"/>
    <cellStyle name="Currency 5 6 6 3" xfId="10942" xr:uid="{808D3A59-E996-4BCD-8E5D-4FEAC495CF81}"/>
    <cellStyle name="Currency 5 6 6 3 2" xfId="23582" xr:uid="{59829C6A-0F7F-4C89-82E5-E6EADAC4EBDA}"/>
    <cellStyle name="Currency 5 6 6 4" xfId="19371" xr:uid="{B9EC33E7-D614-410F-A101-29468A7FAC3E}"/>
    <cellStyle name="Currency 5 6 7" xfId="2742" xr:uid="{00000000-0005-0000-0000-00007C0D0000}"/>
    <cellStyle name="Currency 5 6 8" xfId="2823" xr:uid="{00000000-0005-0000-0000-00007D0D0000}"/>
    <cellStyle name="Currency 5 6 8 2" xfId="7048" xr:uid="{00000000-0005-0000-0000-00007E0D0000}"/>
    <cellStyle name="Currency 5 6 8 2 2" xfId="15477" xr:uid="{754196C3-983C-4D54-B68A-7C6B331B127E}"/>
    <cellStyle name="Currency 5 6 8 2 3" xfId="28110" xr:uid="{68B4E645-96B8-4207-A8B6-365DAA991268}"/>
    <cellStyle name="Currency 5 6 8 3" xfId="11259" xr:uid="{4B45A99A-8ED2-4164-B010-F355E8F6C1A4}"/>
    <cellStyle name="Currency 5 6 8 3 2" xfId="23899" xr:uid="{75CE860B-D248-4734-8498-F7E98D062E59}"/>
    <cellStyle name="Currency 5 6 8 4" xfId="19688" xr:uid="{CD77F721-CA44-42CF-A6B8-725556B196BB}"/>
    <cellStyle name="Currency 5 6 9" xfId="4665" xr:uid="{00000000-0005-0000-0000-00007F0D0000}"/>
    <cellStyle name="Currency 5 6 9 2" xfId="13094" xr:uid="{A2CAEFC4-CC5E-4FDF-BACC-C416810B6FF6}"/>
    <cellStyle name="Currency 5 6 9 3" xfId="25727" xr:uid="{EDA89887-043B-408A-B15B-BD5D50B39F97}"/>
    <cellStyle name="Currency 5 7" xfId="222" xr:uid="{00000000-0005-0000-0000-0000800D0000}"/>
    <cellStyle name="Currency 5 7 10" xfId="8877" xr:uid="{004EFBDE-AB28-4583-AE0D-EB41912288C1}"/>
    <cellStyle name="Currency 5 7 10 2" xfId="21517" xr:uid="{77E5BF91-8BD1-4CBC-A9A5-A78D8D6A0056}"/>
    <cellStyle name="Currency 5 7 11" xfId="17306" xr:uid="{363865ED-020D-43A7-9648-648114C90110}"/>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65B03F0F-6FCE-4132-9260-C3FBDC338D06}"/>
    <cellStyle name="Currency 5 7 2 2 2 3" xfId="28287" xr:uid="{0DEB4DBA-A8B9-4667-8651-0F39CE1F11ED}"/>
    <cellStyle name="Currency 5 7 2 2 3" xfId="11436" xr:uid="{1A3C0F32-F301-4815-A453-F0E5E0D5E697}"/>
    <cellStyle name="Currency 5 7 2 2 3 2" xfId="24076" xr:uid="{0C944693-27E9-49A7-B9E7-95733E450665}"/>
    <cellStyle name="Currency 5 7 2 2 4" xfId="19865" xr:uid="{579944CE-5E9E-47F3-A945-0607A9970A4D}"/>
    <cellStyle name="Currency 5 7 2 3" xfId="5080" xr:uid="{00000000-0005-0000-0000-0000840D0000}"/>
    <cellStyle name="Currency 5 7 2 3 2" xfId="13509" xr:uid="{F600413F-3CF9-48BF-BFC8-8253120CAA82}"/>
    <cellStyle name="Currency 5 7 2 3 3" xfId="26142" xr:uid="{3A42D3D1-2449-4D30-B484-C0181FDF3CAE}"/>
    <cellStyle name="Currency 5 7 2 4" xfId="9291" xr:uid="{76857CD3-5671-462E-8BD1-F6EED87DFEA2}"/>
    <cellStyle name="Currency 5 7 2 4 2" xfId="21931" xr:uid="{0DB3F9B4-4E90-40D9-AB2D-6BA0655950A0}"/>
    <cellStyle name="Currency 5 7 2 5" xfId="17720" xr:uid="{3BE3941A-FCD9-43B6-BF94-9C03428ABCBE}"/>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CB697D4D-9A86-4CCB-AD57-8BB9283C50A0}"/>
    <cellStyle name="Currency 5 7 3 2 2 3" xfId="28700" xr:uid="{E8E1C02E-4DB1-4B22-8960-2CF595B104F9}"/>
    <cellStyle name="Currency 5 7 3 2 3" xfId="11849" xr:uid="{8975E85C-7ABC-4879-B072-9AC26D873E5A}"/>
    <cellStyle name="Currency 5 7 3 2 3 2" xfId="24489" xr:uid="{BFCB5AA8-ABC9-4644-84E3-1D9D2B748C31}"/>
    <cellStyle name="Currency 5 7 3 2 4" xfId="20278" xr:uid="{0BD7213B-6916-49D7-97A0-29CEF7E60EE1}"/>
    <cellStyle name="Currency 5 7 3 3" xfId="5493" xr:uid="{00000000-0005-0000-0000-0000880D0000}"/>
    <cellStyle name="Currency 5 7 3 3 2" xfId="13922" xr:uid="{7B436D95-4652-4AE4-83D2-7C358292484F}"/>
    <cellStyle name="Currency 5 7 3 3 3" xfId="26555" xr:uid="{2AF85552-7379-42C3-9387-FAB4B8DDFBEF}"/>
    <cellStyle name="Currency 5 7 3 4" xfId="9704" xr:uid="{9BE83093-0FB6-45B9-9473-7AD00B389601}"/>
    <cellStyle name="Currency 5 7 3 4 2" xfId="22344" xr:uid="{A6D6D4A2-0712-4919-B6A8-2BF43664ED36}"/>
    <cellStyle name="Currency 5 7 3 5" xfId="18133" xr:uid="{22C57A00-A0A2-4C00-B644-B38BE6BF9358}"/>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2822F3CF-84AD-4D47-92C9-EC6A9DD733D5}"/>
    <cellStyle name="Currency 5 7 4 2 2 3" xfId="29113" xr:uid="{72F76082-8D55-4F33-993A-CE05956AAE8F}"/>
    <cellStyle name="Currency 5 7 4 2 3" xfId="12262" xr:uid="{EB6AF908-2DA7-43DF-A019-9202E6A79502}"/>
    <cellStyle name="Currency 5 7 4 2 3 2" xfId="24902" xr:uid="{2EA9AE10-D6BF-4D42-9155-F12CAFB5ECE1}"/>
    <cellStyle name="Currency 5 7 4 2 4" xfId="20691" xr:uid="{B5B9526B-DFB7-4D08-9DD7-A9735D6386DE}"/>
    <cellStyle name="Currency 5 7 4 3" xfId="5906" xr:uid="{00000000-0005-0000-0000-00008C0D0000}"/>
    <cellStyle name="Currency 5 7 4 3 2" xfId="14335" xr:uid="{8238DF91-F018-4B34-8BC7-788AF8FC1597}"/>
    <cellStyle name="Currency 5 7 4 3 3" xfId="26968" xr:uid="{31485828-3031-4AC2-B92C-1BFE31642013}"/>
    <cellStyle name="Currency 5 7 4 4" xfId="10117" xr:uid="{76E68521-FA08-44A9-9767-CBA97A51D5E8}"/>
    <cellStyle name="Currency 5 7 4 4 2" xfId="22757" xr:uid="{D2E544C7-72DD-4A56-924D-00A403FD5FBF}"/>
    <cellStyle name="Currency 5 7 4 5" xfId="18546" xr:uid="{8BF4A69B-2A2D-4118-B3D9-8F7DF3F02BC8}"/>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42BAF75B-5C06-40D9-A99D-AEA23F26BF79}"/>
    <cellStyle name="Currency 5 7 5 2 2 3" xfId="29526" xr:uid="{3BE6C0C4-9681-4848-9491-91C250FC476B}"/>
    <cellStyle name="Currency 5 7 5 2 3" xfId="12675" xr:uid="{E32E42D9-28EA-43FD-8918-02A532BF2891}"/>
    <cellStyle name="Currency 5 7 5 2 3 2" xfId="25315" xr:uid="{52359763-B586-49FC-9760-56DF3EF725CE}"/>
    <cellStyle name="Currency 5 7 5 2 4" xfId="21104" xr:uid="{6958A2F9-ABAC-4BB4-8F65-1CA388093CA8}"/>
    <cellStyle name="Currency 5 7 5 3" xfId="6319" xr:uid="{00000000-0005-0000-0000-0000900D0000}"/>
    <cellStyle name="Currency 5 7 5 3 2" xfId="14748" xr:uid="{E2AB0D10-EC23-4C32-9687-B80D5CA21132}"/>
    <cellStyle name="Currency 5 7 5 3 3" xfId="27381" xr:uid="{63A9812A-C98E-48A4-BE2C-F2D1766A3BF1}"/>
    <cellStyle name="Currency 5 7 5 4" xfId="10530" xr:uid="{C1A87CB1-B7C5-4D61-98B5-B4764D58B5D1}"/>
    <cellStyle name="Currency 5 7 5 4 2" xfId="23170" xr:uid="{EF44662E-04E4-4B7E-BF9D-091B3113EE26}"/>
    <cellStyle name="Currency 5 7 5 5" xfId="18959" xr:uid="{C8819420-93A1-4DD9-B7BC-ED5B9B53A23E}"/>
    <cellStyle name="Currency 5 7 6" xfId="2446" xr:uid="{00000000-0005-0000-0000-0000910D0000}"/>
    <cellStyle name="Currency 5 7 6 2" xfId="6732" xr:uid="{00000000-0005-0000-0000-0000920D0000}"/>
    <cellStyle name="Currency 5 7 6 2 2" xfId="15161" xr:uid="{DEB4C77B-A9C8-45E4-818E-7FC6F2C81DB2}"/>
    <cellStyle name="Currency 5 7 6 2 3" xfId="27794" xr:uid="{38F0D715-1B0F-478D-A47E-21D0279BD5B1}"/>
    <cellStyle name="Currency 5 7 6 3" xfId="10943" xr:uid="{9FF3684A-70E9-4288-9D18-55E21717AAF2}"/>
    <cellStyle name="Currency 5 7 6 3 2" xfId="23583" xr:uid="{0AF992AF-44D0-40CB-8CED-F91E7664D374}"/>
    <cellStyle name="Currency 5 7 6 4" xfId="19372" xr:uid="{3D6A3DA7-EE1E-4AC2-936F-725C85BDE76C}"/>
    <cellStyle name="Currency 5 7 7" xfId="2743" xr:uid="{00000000-0005-0000-0000-0000930D0000}"/>
    <cellStyle name="Currency 5 7 8" xfId="2824" xr:uid="{00000000-0005-0000-0000-0000940D0000}"/>
    <cellStyle name="Currency 5 7 8 2" xfId="7049" xr:uid="{00000000-0005-0000-0000-0000950D0000}"/>
    <cellStyle name="Currency 5 7 8 2 2" xfId="15478" xr:uid="{44BD0710-AF28-4326-9480-B7A5F8503766}"/>
    <cellStyle name="Currency 5 7 8 2 3" xfId="28111" xr:uid="{33C09654-5794-459A-B9FE-728BE5616FC5}"/>
    <cellStyle name="Currency 5 7 8 3" xfId="11260" xr:uid="{7E81FF0A-2AEA-4923-BA01-5FAC63661799}"/>
    <cellStyle name="Currency 5 7 8 3 2" xfId="23900" xr:uid="{DA8F1B88-2326-4405-94E2-DCAFF721F304}"/>
    <cellStyle name="Currency 5 7 8 4" xfId="19689" xr:uid="{068280DA-A272-4484-8C8F-9C5008983CC7}"/>
    <cellStyle name="Currency 5 7 9" xfId="4666" xr:uid="{00000000-0005-0000-0000-0000960D0000}"/>
    <cellStyle name="Currency 5 7 9 2" xfId="13095" xr:uid="{0E764E06-FBC3-47E5-BC15-7E0CA55978E9}"/>
    <cellStyle name="Currency 5 7 9 3" xfId="25728" xr:uid="{E86CA0AD-50F1-47F7-B86F-05EB5F9A0ED7}"/>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0DB7EF3C-6589-4704-B207-E230C3DAE0AF}"/>
    <cellStyle name="Normal 12 10 2 3" xfId="27795" xr:uid="{A7E614C3-78D5-491F-A343-2465DF63B399}"/>
    <cellStyle name="Normal 12 10 3" xfId="10944" xr:uid="{FFCAD19E-7A9A-4FBD-9722-FD2A560AA0BA}"/>
    <cellStyle name="Normal 12 10 3 2" xfId="23584" xr:uid="{4F0D0B5D-3A15-4915-9538-9640E062B551}"/>
    <cellStyle name="Normal 12 10 4" xfId="19373" xr:uid="{D2115EBB-4FAB-4BA5-A8CD-A699795FB8B8}"/>
    <cellStyle name="Normal 12 11" xfId="4667" xr:uid="{00000000-0005-0000-0000-0000CC0D0000}"/>
    <cellStyle name="Normal 12 11 2" xfId="13096" xr:uid="{6E0FCC51-8740-4BF3-AAC9-8126EA3384E3}"/>
    <cellStyle name="Normal 12 11 3" xfId="25729" xr:uid="{CCEBFA84-2843-4D61-BA68-26A0035B7D94}"/>
    <cellStyle name="Normal 12 12" xfId="8878" xr:uid="{8F08FFEA-BE66-4D86-B637-C2D448E0CA03}"/>
    <cellStyle name="Normal 12 12 2" xfId="21518" xr:uid="{3E824E3F-27AF-40A0-9F5D-3BDC9F51AA56}"/>
    <cellStyle name="Normal 12 13" xfId="17307" xr:uid="{21D871EA-41DA-48FB-A099-B45B59DDA820}"/>
    <cellStyle name="Normal 12 2" xfId="260" xr:uid="{00000000-0005-0000-0000-0000CD0D0000}"/>
    <cellStyle name="Normal 12 2 10" xfId="8879" xr:uid="{D35EF200-0995-47B8-B010-FA23C4635413}"/>
    <cellStyle name="Normal 12 2 10 2" xfId="21519" xr:uid="{6362C868-F94E-42CB-AADE-45783C09DA03}"/>
    <cellStyle name="Normal 12 2 11" xfId="17308" xr:uid="{326F94C5-575F-44F5-ACC6-A970DA1D756A}"/>
    <cellStyle name="Normal 12 2 2" xfId="261" xr:uid="{00000000-0005-0000-0000-0000CE0D0000}"/>
    <cellStyle name="Normal 12 2 2 10" xfId="17309" xr:uid="{B7EF785F-29FD-4582-BCC5-D712B27CFD99}"/>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BC190002-F97B-4CDA-B511-900022EB102C}"/>
    <cellStyle name="Normal 12 2 2 2 2 2 2 3" xfId="28291" xr:uid="{E9EE5EEC-C92B-4E2F-A580-1F31FA3DB0AE}"/>
    <cellStyle name="Normal 12 2 2 2 2 2 3" xfId="11440" xr:uid="{8AF19753-B1E1-4610-A472-4D3925F192AA}"/>
    <cellStyle name="Normal 12 2 2 2 2 2 3 2" xfId="24080" xr:uid="{7955D1B9-D010-4F24-9CFA-EB001DE09C0A}"/>
    <cellStyle name="Normal 12 2 2 2 2 2 4" xfId="19869" xr:uid="{F1B4CA97-E20A-4F8A-9C1F-780A1FB7EF41}"/>
    <cellStyle name="Normal 12 2 2 2 2 3" xfId="5084" xr:uid="{00000000-0005-0000-0000-0000D30D0000}"/>
    <cellStyle name="Normal 12 2 2 2 2 3 2" xfId="13513" xr:uid="{813CC50D-B699-4730-B08D-1F2DBBD38764}"/>
    <cellStyle name="Normal 12 2 2 2 2 3 3" xfId="26146" xr:uid="{48B43023-6307-4B04-B638-64D48E83B69F}"/>
    <cellStyle name="Normal 12 2 2 2 2 4" xfId="9295" xr:uid="{2F3CB17F-F933-4C78-8609-95584560C5A0}"/>
    <cellStyle name="Normal 12 2 2 2 2 4 2" xfId="21935" xr:uid="{7599846E-2BF1-4BF2-8E63-5B3D83AC86C0}"/>
    <cellStyle name="Normal 12 2 2 2 2 5" xfId="17724" xr:uid="{D0770F79-22AA-4915-8063-3587A77B740F}"/>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A927C8E3-4B59-41A7-8DEF-0F90CFD7123D}"/>
    <cellStyle name="Normal 12 2 2 2 3 2 2 3" xfId="28704" xr:uid="{8F2C825D-6F32-442D-BF2C-35D2D60D4A99}"/>
    <cellStyle name="Normal 12 2 2 2 3 2 3" xfId="11853" xr:uid="{F9EA1208-0656-4D05-AF88-DEBB41108189}"/>
    <cellStyle name="Normal 12 2 2 2 3 2 3 2" xfId="24493" xr:uid="{74B03E2A-4E9A-44AE-B8F4-9B76C6030417}"/>
    <cellStyle name="Normal 12 2 2 2 3 2 4" xfId="20282" xr:uid="{21C3FF7B-24F2-4E6A-B6F2-BF61D6A84523}"/>
    <cellStyle name="Normal 12 2 2 2 3 3" xfId="5497" xr:uid="{00000000-0005-0000-0000-0000D70D0000}"/>
    <cellStyle name="Normal 12 2 2 2 3 3 2" xfId="13926" xr:uid="{EFEF5B29-651A-46FD-A370-49F5497EB447}"/>
    <cellStyle name="Normal 12 2 2 2 3 3 3" xfId="26559" xr:uid="{27494B3B-B92E-4AD2-9F3B-E5C4F99461DB}"/>
    <cellStyle name="Normal 12 2 2 2 3 4" xfId="9708" xr:uid="{A4A093A6-7497-4FBD-9880-39B070106911}"/>
    <cellStyle name="Normal 12 2 2 2 3 4 2" xfId="22348" xr:uid="{B14A1751-2F0A-4219-9B46-F10258C332EF}"/>
    <cellStyle name="Normal 12 2 2 2 3 5" xfId="18137" xr:uid="{70A7CD86-F50D-416D-9B51-C3072944503C}"/>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C7EA2DEE-6FA0-44F0-A09A-BEEC1B9A00BE}"/>
    <cellStyle name="Normal 12 2 2 2 4 2 2 3" xfId="29117" xr:uid="{0C68E7C8-544E-4D5A-A2DB-0C55EA5C9C4C}"/>
    <cellStyle name="Normal 12 2 2 2 4 2 3" xfId="12266" xr:uid="{F3F11AAC-44AC-41B8-B690-D1DEEA053EA7}"/>
    <cellStyle name="Normal 12 2 2 2 4 2 3 2" xfId="24906" xr:uid="{5E609D97-EF0B-470A-9D23-FA29D238215E}"/>
    <cellStyle name="Normal 12 2 2 2 4 2 4" xfId="20695" xr:uid="{FA438A88-7D78-460B-AA8A-6B5C6135FB8A}"/>
    <cellStyle name="Normal 12 2 2 2 4 3" xfId="5910" xr:uid="{00000000-0005-0000-0000-0000DB0D0000}"/>
    <cellStyle name="Normal 12 2 2 2 4 3 2" xfId="14339" xr:uid="{96F7A0C8-6D45-4A02-9324-45D75BCA89A9}"/>
    <cellStyle name="Normal 12 2 2 2 4 3 3" xfId="26972" xr:uid="{79520E77-1B8A-411A-AEB8-B8CA341AF5EE}"/>
    <cellStyle name="Normal 12 2 2 2 4 4" xfId="10121" xr:uid="{3DF62939-3AF2-4D95-A9F3-BD705648F521}"/>
    <cellStyle name="Normal 12 2 2 2 4 4 2" xfId="22761" xr:uid="{F3DC9A90-6381-401E-9F57-3D9B400436E3}"/>
    <cellStyle name="Normal 12 2 2 2 4 5" xfId="18550" xr:uid="{AAFED39E-8FDE-4376-A587-B5F3CB69DD7D}"/>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3B952050-9619-4B0A-B992-30997D76204B}"/>
    <cellStyle name="Normal 12 2 2 2 5 2 2 3" xfId="29530" xr:uid="{A9040DF8-68FD-4DAE-85C3-515106B0303A}"/>
    <cellStyle name="Normal 12 2 2 2 5 2 3" xfId="12679" xr:uid="{8021F4E9-5BE0-4208-AF2F-F9B4DF8A2F51}"/>
    <cellStyle name="Normal 12 2 2 2 5 2 3 2" xfId="25319" xr:uid="{6AC559B3-0706-44A8-81CC-1C3CC292A18A}"/>
    <cellStyle name="Normal 12 2 2 2 5 2 4" xfId="21108" xr:uid="{78C285AB-AB22-471E-A9D8-2E8AEFEA2594}"/>
    <cellStyle name="Normal 12 2 2 2 5 3" xfId="6323" xr:uid="{00000000-0005-0000-0000-0000DF0D0000}"/>
    <cellStyle name="Normal 12 2 2 2 5 3 2" xfId="14752" xr:uid="{D2F78BEE-A277-4301-813C-7471AB1DCAE3}"/>
    <cellStyle name="Normal 12 2 2 2 5 3 3" xfId="27385" xr:uid="{9DEB67A6-03F0-4B34-AB0F-FCAAD9608D77}"/>
    <cellStyle name="Normal 12 2 2 2 5 4" xfId="10534" xr:uid="{58B2FDBB-1CBE-4E92-B821-6B6E1E792AB8}"/>
    <cellStyle name="Normal 12 2 2 2 5 4 2" xfId="23174" xr:uid="{871C6515-16F5-4054-9082-D1EAEB15DDF0}"/>
    <cellStyle name="Normal 12 2 2 2 5 5" xfId="18963" xr:uid="{2C019368-1939-4A7B-AF56-A7437191B63E}"/>
    <cellStyle name="Normal 12 2 2 2 6" xfId="2451" xr:uid="{00000000-0005-0000-0000-0000E00D0000}"/>
    <cellStyle name="Normal 12 2 2 2 6 2" xfId="6736" xr:uid="{00000000-0005-0000-0000-0000E10D0000}"/>
    <cellStyle name="Normal 12 2 2 2 6 2 2" xfId="15165" xr:uid="{0C33B7D2-5876-4254-A3AA-38CF111D134D}"/>
    <cellStyle name="Normal 12 2 2 2 6 2 3" xfId="27798" xr:uid="{513E59C5-C333-4F5E-833C-5E6AE10085FB}"/>
    <cellStyle name="Normal 12 2 2 2 6 3" xfId="10947" xr:uid="{7FFCF8C4-8C5D-4B5C-AB02-D9E388893B58}"/>
    <cellStyle name="Normal 12 2 2 2 6 3 2" xfId="23587" xr:uid="{146E91F5-8B13-4954-A8DC-0C93FBCC7007}"/>
    <cellStyle name="Normal 12 2 2 2 6 4" xfId="19376" xr:uid="{DC56F624-4B39-4B43-B90D-C3B004FE6BC7}"/>
    <cellStyle name="Normal 12 2 2 2 7" xfId="4670" xr:uid="{00000000-0005-0000-0000-0000E20D0000}"/>
    <cellStyle name="Normal 12 2 2 2 7 2" xfId="13099" xr:uid="{680C76D5-C9F3-4EBC-828B-EC978144F462}"/>
    <cellStyle name="Normal 12 2 2 2 7 3" xfId="25732" xr:uid="{940404F5-76EA-4793-93B7-ACA4CB6BBA20}"/>
    <cellStyle name="Normal 12 2 2 2 8" xfId="8881" xr:uid="{1BF28759-629D-4888-AB11-DF5AC5A7E255}"/>
    <cellStyle name="Normal 12 2 2 2 8 2" xfId="21521" xr:uid="{03119A61-76DD-426C-89D1-B31554C2FED2}"/>
    <cellStyle name="Normal 12 2 2 2 9" xfId="17310" xr:uid="{A858ED8B-53B5-4340-9980-69257E4052D7}"/>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34BB6375-F86F-4770-918F-B395DB8D49AF}"/>
    <cellStyle name="Normal 12 2 2 3 2 2 3" xfId="28290" xr:uid="{34996F2F-00EF-4619-966E-925BCBFBD54C}"/>
    <cellStyle name="Normal 12 2 2 3 2 3" xfId="11439" xr:uid="{2A196C26-B4C1-4457-B734-643552BBA4D3}"/>
    <cellStyle name="Normal 12 2 2 3 2 3 2" xfId="24079" xr:uid="{7232E4A5-CA9D-41F0-857E-A28C69203D58}"/>
    <cellStyle name="Normal 12 2 2 3 2 4" xfId="19868" xr:uid="{762F95AF-DAB3-4689-8B48-8930BE309B2A}"/>
    <cellStyle name="Normal 12 2 2 3 3" xfId="5083" xr:uid="{00000000-0005-0000-0000-0000E60D0000}"/>
    <cellStyle name="Normal 12 2 2 3 3 2" xfId="13512" xr:uid="{7FBE1874-71F7-4DC6-8738-059C330B30F6}"/>
    <cellStyle name="Normal 12 2 2 3 3 3" xfId="26145" xr:uid="{78C726C0-B43B-404D-966F-A7ED5AF2DFCF}"/>
    <cellStyle name="Normal 12 2 2 3 4" xfId="9294" xr:uid="{BF96BB37-A418-457B-88EB-F6CA2690442C}"/>
    <cellStyle name="Normal 12 2 2 3 4 2" xfId="21934" xr:uid="{14C111E6-4753-41BC-8A9B-4BCAA5386ACE}"/>
    <cellStyle name="Normal 12 2 2 3 5" xfId="17723" xr:uid="{AC641656-90B1-4906-AA9D-9EA2E2A08508}"/>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D2775EE3-EA59-4083-9CEF-507DE5DDAED0}"/>
    <cellStyle name="Normal 12 2 2 4 2 2 3" xfId="28703" xr:uid="{196C2A12-C01B-490C-BDEB-EB79159800C0}"/>
    <cellStyle name="Normal 12 2 2 4 2 3" xfId="11852" xr:uid="{80D95AEC-59B3-4F59-AC2A-E839704AC217}"/>
    <cellStyle name="Normal 12 2 2 4 2 3 2" xfId="24492" xr:uid="{9B21F91C-18E0-456B-A2C0-67C0E0BBAC12}"/>
    <cellStyle name="Normal 12 2 2 4 2 4" xfId="20281" xr:uid="{CF01FCA8-A084-403D-8C13-C6E67E34F933}"/>
    <cellStyle name="Normal 12 2 2 4 3" xfId="5496" xr:uid="{00000000-0005-0000-0000-0000EA0D0000}"/>
    <cellStyle name="Normal 12 2 2 4 3 2" xfId="13925" xr:uid="{EA361EB8-B1EB-49EF-AE3D-EF4246440FF4}"/>
    <cellStyle name="Normal 12 2 2 4 3 3" xfId="26558" xr:uid="{3E09E8B2-21FE-4494-9772-D24CBAB1739E}"/>
    <cellStyle name="Normal 12 2 2 4 4" xfId="9707" xr:uid="{F61908EF-E2F6-4830-928D-AF1F6AF8642E}"/>
    <cellStyle name="Normal 12 2 2 4 4 2" xfId="22347" xr:uid="{104D9828-1CBC-446E-900A-8F416656F0D3}"/>
    <cellStyle name="Normal 12 2 2 4 5" xfId="18136" xr:uid="{979FF76D-6E06-4B23-A659-47BDA1488A9F}"/>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86A4BF80-C4F6-420A-B8F6-138CEF106409}"/>
    <cellStyle name="Normal 12 2 2 5 2 2 3" xfId="29116" xr:uid="{EEB1DEF0-48B1-4335-A01C-FD3BF34861FE}"/>
    <cellStyle name="Normal 12 2 2 5 2 3" xfId="12265" xr:uid="{DED95AD1-2802-4F30-8A1A-FAD612AE54F6}"/>
    <cellStyle name="Normal 12 2 2 5 2 3 2" xfId="24905" xr:uid="{5ED2ACDD-8B7F-407B-B40F-BA39A7DBCFF2}"/>
    <cellStyle name="Normal 12 2 2 5 2 4" xfId="20694" xr:uid="{9AB92B60-A689-4332-AEB5-9CCAD188A467}"/>
    <cellStyle name="Normal 12 2 2 5 3" xfId="5909" xr:uid="{00000000-0005-0000-0000-0000EE0D0000}"/>
    <cellStyle name="Normal 12 2 2 5 3 2" xfId="14338" xr:uid="{CA457B9F-7D04-4CE7-BFC9-89C8127A9C52}"/>
    <cellStyle name="Normal 12 2 2 5 3 3" xfId="26971" xr:uid="{25EE29BB-D80E-4E22-AD97-547D2E17BDD5}"/>
    <cellStyle name="Normal 12 2 2 5 4" xfId="10120" xr:uid="{8F711EF1-F2DE-4576-9478-26447B2FD2CB}"/>
    <cellStyle name="Normal 12 2 2 5 4 2" xfId="22760" xr:uid="{38DE42BC-028D-4D34-B023-05373D8D2DD9}"/>
    <cellStyle name="Normal 12 2 2 5 5" xfId="18549" xr:uid="{B12C28B9-8C0E-49BA-B386-1761C263A74E}"/>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F3EFDA1B-336F-49A7-A289-D22160A626BC}"/>
    <cellStyle name="Normal 12 2 2 6 2 2 3" xfId="29529" xr:uid="{CB41ED82-2F26-4378-8FCE-358C435E0F93}"/>
    <cellStyle name="Normal 12 2 2 6 2 3" xfId="12678" xr:uid="{86CC66DA-8016-4D4C-90AE-256C3394FCA2}"/>
    <cellStyle name="Normal 12 2 2 6 2 3 2" xfId="25318" xr:uid="{AAA084B8-11ED-4870-BB05-7A0E1F10C064}"/>
    <cellStyle name="Normal 12 2 2 6 2 4" xfId="21107" xr:uid="{4B816C30-7F52-4488-A9BE-FF973EF13CE8}"/>
    <cellStyle name="Normal 12 2 2 6 3" xfId="6322" xr:uid="{00000000-0005-0000-0000-0000F20D0000}"/>
    <cellStyle name="Normal 12 2 2 6 3 2" xfId="14751" xr:uid="{C3C99D90-2699-496F-94C5-4BA1FFAC5EC3}"/>
    <cellStyle name="Normal 12 2 2 6 3 3" xfId="27384" xr:uid="{0CD20B86-0258-469E-B780-E2C69ABC8547}"/>
    <cellStyle name="Normal 12 2 2 6 4" xfId="10533" xr:uid="{F15186A8-BD1D-492B-BA08-FB1AA1BC7FED}"/>
    <cellStyle name="Normal 12 2 2 6 4 2" xfId="23173" xr:uid="{6DAC3CA7-AAAE-4E50-AC14-394682F6538F}"/>
    <cellStyle name="Normal 12 2 2 6 5" xfId="18962" xr:uid="{BC69CB5D-C4CC-49C6-865B-EE18EC1EC3E4}"/>
    <cellStyle name="Normal 12 2 2 7" xfId="2450" xr:uid="{00000000-0005-0000-0000-0000F30D0000}"/>
    <cellStyle name="Normal 12 2 2 7 2" xfId="6735" xr:uid="{00000000-0005-0000-0000-0000F40D0000}"/>
    <cellStyle name="Normal 12 2 2 7 2 2" xfId="15164" xr:uid="{5888A3C9-04F9-46E2-A802-5B7C29160331}"/>
    <cellStyle name="Normal 12 2 2 7 2 3" xfId="27797" xr:uid="{8498C68B-7151-468F-ADDB-E7C1CE81E991}"/>
    <cellStyle name="Normal 12 2 2 7 3" xfId="10946" xr:uid="{0E1C401E-5CD0-4DAD-8CBC-FA91D0534C07}"/>
    <cellStyle name="Normal 12 2 2 7 3 2" xfId="23586" xr:uid="{46F7351C-2865-489F-A78F-8D896E779F81}"/>
    <cellStyle name="Normal 12 2 2 7 4" xfId="19375" xr:uid="{A8FFBB9F-EA93-4870-8771-449DCB384C3C}"/>
    <cellStyle name="Normal 12 2 2 8" xfId="4669" xr:uid="{00000000-0005-0000-0000-0000F50D0000}"/>
    <cellStyle name="Normal 12 2 2 8 2" xfId="13098" xr:uid="{AA728ACE-1942-462A-81F1-54CB2C83F9EB}"/>
    <cellStyle name="Normal 12 2 2 8 3" xfId="25731" xr:uid="{B9B658BB-5CC2-434A-BE03-763D043F0122}"/>
    <cellStyle name="Normal 12 2 2 9" xfId="8880" xr:uid="{527102A4-085F-436D-9DE0-5A0516FE33A7}"/>
    <cellStyle name="Normal 12 2 2 9 2" xfId="21520" xr:uid="{53466729-1A43-4463-BDA0-855710316DF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48BCFB08-381A-4EB3-B83B-C870F15DE9B4}"/>
    <cellStyle name="Normal 12 2 3 2 2 2 3" xfId="28292" xr:uid="{E63FEBE9-7034-4170-8D2B-641FBBE3ED8D}"/>
    <cellStyle name="Normal 12 2 3 2 2 3" xfId="11441" xr:uid="{9BD77E7D-2704-4AE2-8C08-3CDCF2C372E6}"/>
    <cellStyle name="Normal 12 2 3 2 2 3 2" xfId="24081" xr:uid="{E3988F39-C986-46AD-9483-01AAEFA4DC9B}"/>
    <cellStyle name="Normal 12 2 3 2 2 4" xfId="19870" xr:uid="{6E1919D4-8CFF-481B-81A8-6364DC86C178}"/>
    <cellStyle name="Normal 12 2 3 2 3" xfId="5085" xr:uid="{00000000-0005-0000-0000-0000FA0D0000}"/>
    <cellStyle name="Normal 12 2 3 2 3 2" xfId="13514" xr:uid="{10677823-42E5-4155-B567-3715A382A9C5}"/>
    <cellStyle name="Normal 12 2 3 2 3 3" xfId="26147" xr:uid="{63BD3F97-22F2-4C37-8955-8EF9BC15CE22}"/>
    <cellStyle name="Normal 12 2 3 2 4" xfId="9296" xr:uid="{BA9A8FDE-8EDC-44FE-B94F-810F68DA51FD}"/>
    <cellStyle name="Normal 12 2 3 2 4 2" xfId="21936" xr:uid="{8001E3DC-F787-4BCA-9707-E20B64AF3607}"/>
    <cellStyle name="Normal 12 2 3 2 5" xfId="17725" xr:uid="{2DA5894F-606D-45AB-A7E4-62BD9A70324C}"/>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5BF8B4C2-CA5D-494E-A86E-121BB18DA073}"/>
    <cellStyle name="Normal 12 2 3 3 2 2 3" xfId="28705" xr:uid="{A2EAF74E-D3B9-4DBB-BAA9-D5765E820A32}"/>
    <cellStyle name="Normal 12 2 3 3 2 3" xfId="11854" xr:uid="{91893C6E-3714-40EA-84AA-D28080E401F4}"/>
    <cellStyle name="Normal 12 2 3 3 2 3 2" xfId="24494" xr:uid="{AB202C81-52EF-4D92-9B64-7D3184AD34E7}"/>
    <cellStyle name="Normal 12 2 3 3 2 4" xfId="20283" xr:uid="{179FA633-67A8-4A0F-8312-FBD861E16146}"/>
    <cellStyle name="Normal 12 2 3 3 3" xfId="5498" xr:uid="{00000000-0005-0000-0000-0000FE0D0000}"/>
    <cellStyle name="Normal 12 2 3 3 3 2" xfId="13927" xr:uid="{6C7EEC7E-4B71-401F-BCB2-45498332F7CF}"/>
    <cellStyle name="Normal 12 2 3 3 3 3" xfId="26560" xr:uid="{72D85E91-C914-44D9-9941-D821083A8D9E}"/>
    <cellStyle name="Normal 12 2 3 3 4" xfId="9709" xr:uid="{9136B2DE-610B-49A5-9CDC-5706DC68EA34}"/>
    <cellStyle name="Normal 12 2 3 3 4 2" xfId="22349" xr:uid="{4012FA23-66E6-47E4-BB1A-989BBC754F60}"/>
    <cellStyle name="Normal 12 2 3 3 5" xfId="18138" xr:uid="{82435FB7-5997-43EE-90BE-9347908B3683}"/>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502ACBF6-3C37-4D56-81B8-52BCCA228583}"/>
    <cellStyle name="Normal 12 2 3 4 2 2 3" xfId="29118" xr:uid="{DEE73163-A639-4BF5-8F09-A0546CCCC049}"/>
    <cellStyle name="Normal 12 2 3 4 2 3" xfId="12267" xr:uid="{970AE398-F016-4E75-86DF-7D751E20CFE0}"/>
    <cellStyle name="Normal 12 2 3 4 2 3 2" xfId="24907" xr:uid="{078CC0BB-C2FE-4771-AEE0-AFC434A793C5}"/>
    <cellStyle name="Normal 12 2 3 4 2 4" xfId="20696" xr:uid="{D4ECE3A6-613F-4EA5-AFBE-E012AD7A3108}"/>
    <cellStyle name="Normal 12 2 3 4 3" xfId="5911" xr:uid="{00000000-0005-0000-0000-0000020E0000}"/>
    <cellStyle name="Normal 12 2 3 4 3 2" xfId="14340" xr:uid="{8A1C4819-3757-4C2D-A0DF-B23675BF95FD}"/>
    <cellStyle name="Normal 12 2 3 4 3 3" xfId="26973" xr:uid="{BBC3A4AB-14A5-426D-B897-B31422FF2E2C}"/>
    <cellStyle name="Normal 12 2 3 4 4" xfId="10122" xr:uid="{86E66BF5-4A5C-4B3A-B511-EA369EADE78E}"/>
    <cellStyle name="Normal 12 2 3 4 4 2" xfId="22762" xr:uid="{76D2D866-D003-4D6B-B799-53634A61F45A}"/>
    <cellStyle name="Normal 12 2 3 4 5" xfId="18551" xr:uid="{A55AA002-7B1C-48D3-AE21-B30FA95908A8}"/>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EB1BD37D-68B8-4A94-BD9B-D3C536E6181A}"/>
    <cellStyle name="Normal 12 2 3 5 2 2 3" xfId="29531" xr:uid="{EA87A079-DFFA-4A56-B9DA-A51BAC577701}"/>
    <cellStyle name="Normal 12 2 3 5 2 3" xfId="12680" xr:uid="{F11FC1E1-C9D2-4047-A9C0-79AFFE2DA6D0}"/>
    <cellStyle name="Normal 12 2 3 5 2 3 2" xfId="25320" xr:uid="{0E9BC301-0759-45D9-B706-65CA5A84C8D8}"/>
    <cellStyle name="Normal 12 2 3 5 2 4" xfId="21109" xr:uid="{D8D7F4A8-9539-44BD-82CC-7FC4AEE0AB37}"/>
    <cellStyle name="Normal 12 2 3 5 3" xfId="6324" xr:uid="{00000000-0005-0000-0000-0000060E0000}"/>
    <cellStyle name="Normal 12 2 3 5 3 2" xfId="14753" xr:uid="{6866E32D-0DA9-4392-B719-1489B1802536}"/>
    <cellStyle name="Normal 12 2 3 5 3 3" xfId="27386" xr:uid="{FDA366F6-4A53-4A57-871B-B70D0A07CDB2}"/>
    <cellStyle name="Normal 12 2 3 5 4" xfId="10535" xr:uid="{D06F6EF4-A804-4C43-8FB6-5AF4843B3E2C}"/>
    <cellStyle name="Normal 12 2 3 5 4 2" xfId="23175" xr:uid="{BED3F3F3-EEB8-457A-8747-465A8570FBFB}"/>
    <cellStyle name="Normal 12 2 3 5 5" xfId="18964" xr:uid="{3FDB99B2-D815-44D4-ABF6-53A48A0F5F3E}"/>
    <cellStyle name="Normal 12 2 3 6" xfId="2452" xr:uid="{00000000-0005-0000-0000-0000070E0000}"/>
    <cellStyle name="Normal 12 2 3 6 2" xfId="6737" xr:uid="{00000000-0005-0000-0000-0000080E0000}"/>
    <cellStyle name="Normal 12 2 3 6 2 2" xfId="15166" xr:uid="{9E32DE58-7CC2-42F5-AC3E-9EC31B84DAB2}"/>
    <cellStyle name="Normal 12 2 3 6 2 3" xfId="27799" xr:uid="{DB18FAE9-ACC8-4569-AAFE-7E469D2397AF}"/>
    <cellStyle name="Normal 12 2 3 6 3" xfId="10948" xr:uid="{FFEF7C87-F991-4B4F-9604-DAF79BEE4CB9}"/>
    <cellStyle name="Normal 12 2 3 6 3 2" xfId="23588" xr:uid="{AD45051A-2ED4-4AC5-8582-021895A85E0B}"/>
    <cellStyle name="Normal 12 2 3 6 4" xfId="19377" xr:uid="{94F440BC-E6AB-4C7C-A9D4-9CCEE4FAD93A}"/>
    <cellStyle name="Normal 12 2 3 7" xfId="4671" xr:uid="{00000000-0005-0000-0000-0000090E0000}"/>
    <cellStyle name="Normal 12 2 3 7 2" xfId="13100" xr:uid="{88E3D05C-FCD3-4E81-89E0-260D07695BA9}"/>
    <cellStyle name="Normal 12 2 3 7 3" xfId="25733" xr:uid="{40A0049F-D1FD-42D1-8C57-6808050EDA43}"/>
    <cellStyle name="Normal 12 2 3 8" xfId="8882" xr:uid="{9B4F0159-DDC7-4107-95A8-DBE6049A6434}"/>
    <cellStyle name="Normal 12 2 3 8 2" xfId="21522" xr:uid="{01A0DB92-B36A-4FE1-8251-B76AC52F5FC0}"/>
    <cellStyle name="Normal 12 2 3 9" xfId="17311" xr:uid="{550B6841-B690-43AF-82E2-D2FEE301E377}"/>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A277F64B-DC84-49A1-8540-103A584CA40E}"/>
    <cellStyle name="Normal 12 2 4 2 2 3" xfId="28289" xr:uid="{17A0108A-49A3-4B57-A43E-2AE810564A0B}"/>
    <cellStyle name="Normal 12 2 4 2 3" xfId="11438" xr:uid="{BE5D78C3-FBFE-4C8E-997F-BDA35624C54C}"/>
    <cellStyle name="Normal 12 2 4 2 3 2" xfId="24078" xr:uid="{3CB0E65A-06D8-40D5-8DA5-824AA2703EC2}"/>
    <cellStyle name="Normal 12 2 4 2 4" xfId="19867" xr:uid="{EA768544-30D3-4A4F-8DC7-A3A8BF207330}"/>
    <cellStyle name="Normal 12 2 4 3" xfId="5082" xr:uid="{00000000-0005-0000-0000-00000D0E0000}"/>
    <cellStyle name="Normal 12 2 4 3 2" xfId="13511" xr:uid="{0EBEB238-A5E9-4851-BED6-7814185B6007}"/>
    <cellStyle name="Normal 12 2 4 3 3" xfId="26144" xr:uid="{1B585DE9-6376-401A-8269-4641A5BC600A}"/>
    <cellStyle name="Normal 12 2 4 4" xfId="9293" xr:uid="{D2F6986D-D914-4B37-9AA6-9EC442239C79}"/>
    <cellStyle name="Normal 12 2 4 4 2" xfId="21933" xr:uid="{5BAD6ED6-6562-43C1-B5F9-FD3DBAD3F52C}"/>
    <cellStyle name="Normal 12 2 4 5" xfId="17722" xr:uid="{AADFF677-44B5-45EE-9032-06CFD3323882}"/>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4D2BC26A-10BC-4257-A2F5-DAD6421ED577}"/>
    <cellStyle name="Normal 12 2 5 2 2 3" xfId="28702" xr:uid="{10AA5ACF-1120-41D1-BBDE-55BAFAE6502D}"/>
    <cellStyle name="Normal 12 2 5 2 3" xfId="11851" xr:uid="{415AA81A-65C8-4906-8C4D-1A8AB36A1EF5}"/>
    <cellStyle name="Normal 12 2 5 2 3 2" xfId="24491" xr:uid="{8F872506-BDA6-4811-BC37-2D811928C83D}"/>
    <cellStyle name="Normal 12 2 5 2 4" xfId="20280" xr:uid="{33559937-9C32-41A5-8AAB-131E9E1B8FFA}"/>
    <cellStyle name="Normal 12 2 5 3" xfId="5495" xr:uid="{00000000-0005-0000-0000-0000110E0000}"/>
    <cellStyle name="Normal 12 2 5 3 2" xfId="13924" xr:uid="{ADD7A59B-6194-4043-B911-C6786E009498}"/>
    <cellStyle name="Normal 12 2 5 3 3" xfId="26557" xr:uid="{37F9AC74-BA55-46A5-9162-CCDC221DD98A}"/>
    <cellStyle name="Normal 12 2 5 4" xfId="9706" xr:uid="{BDB8E531-172E-4578-A42C-BD1F83BABDC9}"/>
    <cellStyle name="Normal 12 2 5 4 2" xfId="22346" xr:uid="{5367D427-20FA-4EA1-857E-A2BB2B581F94}"/>
    <cellStyle name="Normal 12 2 5 5" xfId="18135" xr:uid="{F4754886-7682-4875-AD2E-05DC4807BDBC}"/>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9CE678CE-8669-4249-86DF-57C5E043E300}"/>
    <cellStyle name="Normal 12 2 6 2 2 3" xfId="29115" xr:uid="{CB7966CA-63E8-427E-8285-2E72162A9C59}"/>
    <cellStyle name="Normal 12 2 6 2 3" xfId="12264" xr:uid="{E35E94BB-6954-4D9E-9BCB-120E1CCF4127}"/>
    <cellStyle name="Normal 12 2 6 2 3 2" xfId="24904" xr:uid="{59BFA439-64A5-4A8A-8E1B-39BD28FB6CE7}"/>
    <cellStyle name="Normal 12 2 6 2 4" xfId="20693" xr:uid="{13A9DD5E-4F6C-4223-9B9C-BFEF39FB6324}"/>
    <cellStyle name="Normal 12 2 6 3" xfId="5908" xr:uid="{00000000-0005-0000-0000-0000150E0000}"/>
    <cellStyle name="Normal 12 2 6 3 2" xfId="14337" xr:uid="{BC81DD17-3408-4DDE-9433-A5D71CB49C22}"/>
    <cellStyle name="Normal 12 2 6 3 3" xfId="26970" xr:uid="{88183A68-9041-4DAD-B19D-4AD4F4B20E95}"/>
    <cellStyle name="Normal 12 2 6 4" xfId="10119" xr:uid="{B55C2332-5DFC-4CA9-BA38-3C9948CA29BC}"/>
    <cellStyle name="Normal 12 2 6 4 2" xfId="22759" xr:uid="{9B94DB06-BA5A-449A-8229-443A4929628B}"/>
    <cellStyle name="Normal 12 2 6 5" xfId="18548" xr:uid="{36AA9F47-53D5-45F8-B6B3-31DE42BA8C03}"/>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450E3079-C16F-4EE9-99E6-BDDF0A043AF5}"/>
    <cellStyle name="Normal 12 2 7 2 2 3" xfId="29528" xr:uid="{FEE98B37-4C9B-4A1A-A5C6-9DD6BA873DB3}"/>
    <cellStyle name="Normal 12 2 7 2 3" xfId="12677" xr:uid="{55F88B9A-BD25-4885-BE66-24B507D55AF6}"/>
    <cellStyle name="Normal 12 2 7 2 3 2" xfId="25317" xr:uid="{22DF702B-0941-477F-81EF-570F24B01916}"/>
    <cellStyle name="Normal 12 2 7 2 4" xfId="21106" xr:uid="{12D5B363-56D5-47E2-8E9B-54B68973D00F}"/>
    <cellStyle name="Normal 12 2 7 3" xfId="6321" xr:uid="{00000000-0005-0000-0000-0000190E0000}"/>
    <cellStyle name="Normal 12 2 7 3 2" xfId="14750" xr:uid="{1AB47FD8-18E7-4D8E-9C2B-670DD8F03F0E}"/>
    <cellStyle name="Normal 12 2 7 3 3" xfId="27383" xr:uid="{5023908E-D7AA-4883-85A9-0128B31A5AD6}"/>
    <cellStyle name="Normal 12 2 7 4" xfId="10532" xr:uid="{8BDD550D-297A-4E0B-8147-3993AF78EBD8}"/>
    <cellStyle name="Normal 12 2 7 4 2" xfId="23172" xr:uid="{947666D9-1BD0-40F2-8546-C8EDC5774B99}"/>
    <cellStyle name="Normal 12 2 7 5" xfId="18961" xr:uid="{4081D274-A70C-4E57-870C-B79A6ABBF048}"/>
    <cellStyle name="Normal 12 2 8" xfId="2449" xr:uid="{00000000-0005-0000-0000-00001A0E0000}"/>
    <cellStyle name="Normal 12 2 8 2" xfId="6734" xr:uid="{00000000-0005-0000-0000-00001B0E0000}"/>
    <cellStyle name="Normal 12 2 8 2 2" xfId="15163" xr:uid="{DB97C321-8316-4C2B-B10B-C5FA5C97724E}"/>
    <cellStyle name="Normal 12 2 8 2 3" xfId="27796" xr:uid="{4A3FCB5D-A4E4-49D0-8621-A9868835D3B8}"/>
    <cellStyle name="Normal 12 2 8 3" xfId="10945" xr:uid="{C302F19E-D1F5-4597-885C-D37859D67ED5}"/>
    <cellStyle name="Normal 12 2 8 3 2" xfId="23585" xr:uid="{47F7F480-9FB2-47F2-AC97-AE15EA6FF804}"/>
    <cellStyle name="Normal 12 2 8 4" xfId="19374" xr:uid="{1F424934-E895-426C-A0F0-147E2DF7631F}"/>
    <cellStyle name="Normal 12 2 9" xfId="4668" xr:uid="{00000000-0005-0000-0000-00001C0E0000}"/>
    <cellStyle name="Normal 12 2 9 2" xfId="13097" xr:uid="{E5E4C9D2-4BA8-4713-82AA-6B59638FA420}"/>
    <cellStyle name="Normal 12 2 9 3" xfId="25730" xr:uid="{CC86E817-5ADB-4E1B-9506-F740218D75B1}"/>
    <cellStyle name="Normal 12 3" xfId="264" xr:uid="{00000000-0005-0000-0000-00001D0E0000}"/>
    <cellStyle name="Normal 12 3 10" xfId="17312" xr:uid="{69A36FEC-43D6-4F9A-9825-6AB76DD624C1}"/>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6052E16F-2D05-4B06-ACD7-B1FDDAE784D9}"/>
    <cellStyle name="Normal 12 3 2 2 2 2 3" xfId="28294" xr:uid="{AF2028AF-6B06-4366-9411-BD7974DE6317}"/>
    <cellStyle name="Normal 12 3 2 2 2 3" xfId="11443" xr:uid="{8D6C46B8-0DDF-4416-864A-59A043C8073F}"/>
    <cellStyle name="Normal 12 3 2 2 2 3 2" xfId="24083" xr:uid="{F28152BF-F5C3-453F-914D-2D2DA1CB470B}"/>
    <cellStyle name="Normal 12 3 2 2 2 4" xfId="19872" xr:uid="{D6560EBE-C4BB-4247-9A0B-942B67760280}"/>
    <cellStyle name="Normal 12 3 2 2 3" xfId="5087" xr:uid="{00000000-0005-0000-0000-0000220E0000}"/>
    <cellStyle name="Normal 12 3 2 2 3 2" xfId="13516" xr:uid="{E55B9CFF-CACA-429D-A2DC-F2E15ECEDECA}"/>
    <cellStyle name="Normal 12 3 2 2 3 3" xfId="26149" xr:uid="{3A9D44CB-D512-49A8-BA7A-01AF68DA66CA}"/>
    <cellStyle name="Normal 12 3 2 2 4" xfId="9298" xr:uid="{9FFA9A54-76B5-4C4F-9F99-F329841E66EC}"/>
    <cellStyle name="Normal 12 3 2 2 4 2" xfId="21938" xr:uid="{4F1DBA8C-81F4-40AC-B308-8D2B26B66AD8}"/>
    <cellStyle name="Normal 12 3 2 2 5" xfId="17727" xr:uid="{83A12761-B48F-496B-A9C6-46E4E38FE939}"/>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70512B2A-BC83-430B-B37C-A1C7DAE7F3A5}"/>
    <cellStyle name="Normal 12 3 2 3 2 2 3" xfId="28707" xr:uid="{194CC039-3035-405E-B17F-9E9EF1CFE8D2}"/>
    <cellStyle name="Normal 12 3 2 3 2 3" xfId="11856" xr:uid="{218459AE-1153-49FE-98FF-A1042EF9446C}"/>
    <cellStyle name="Normal 12 3 2 3 2 3 2" xfId="24496" xr:uid="{A6FACFD2-8DCD-4021-983A-36CA193327A1}"/>
    <cellStyle name="Normal 12 3 2 3 2 4" xfId="20285" xr:uid="{487308D4-21F8-4F10-A29E-CC9A353DDE3F}"/>
    <cellStyle name="Normal 12 3 2 3 3" xfId="5500" xr:uid="{00000000-0005-0000-0000-0000260E0000}"/>
    <cellStyle name="Normal 12 3 2 3 3 2" xfId="13929" xr:uid="{3F2F782F-FD81-4586-A9F3-ABF05319E084}"/>
    <cellStyle name="Normal 12 3 2 3 3 3" xfId="26562" xr:uid="{413A5DBC-257B-47DB-8585-BFB5ED046DC3}"/>
    <cellStyle name="Normal 12 3 2 3 4" xfId="9711" xr:uid="{D8EE7BCD-0CBF-4DBC-8637-D3BE4B659151}"/>
    <cellStyle name="Normal 12 3 2 3 4 2" xfId="22351" xr:uid="{6A0ABF70-FF48-4479-9160-9E7EAA0A24B0}"/>
    <cellStyle name="Normal 12 3 2 3 5" xfId="18140" xr:uid="{4387565A-4FA0-4DA9-AAD5-F7260DF4AB53}"/>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CBCF0B44-78C8-4430-B975-77532E3103D6}"/>
    <cellStyle name="Normal 12 3 2 4 2 2 3" xfId="29120" xr:uid="{EC99A030-35BA-4917-8F0D-B4415A5E513C}"/>
    <cellStyle name="Normal 12 3 2 4 2 3" xfId="12269" xr:uid="{B764205C-26CC-4EE2-B8DC-D18AC3709C60}"/>
    <cellStyle name="Normal 12 3 2 4 2 3 2" xfId="24909" xr:uid="{1DE70D40-FD16-4AA6-B9BA-FD8BB7587DFD}"/>
    <cellStyle name="Normal 12 3 2 4 2 4" xfId="20698" xr:uid="{100A9822-E3D6-4A43-BA12-D1B7F270D137}"/>
    <cellStyle name="Normal 12 3 2 4 3" xfId="5913" xr:uid="{00000000-0005-0000-0000-00002A0E0000}"/>
    <cellStyle name="Normal 12 3 2 4 3 2" xfId="14342" xr:uid="{A7796EDC-BD76-476D-9A28-60F34711BA71}"/>
    <cellStyle name="Normal 12 3 2 4 3 3" xfId="26975" xr:uid="{4DBEA5F1-8B23-452E-8408-FD6F038EE684}"/>
    <cellStyle name="Normal 12 3 2 4 4" xfId="10124" xr:uid="{AAD7F09E-A35A-4824-991B-8998CB878DBE}"/>
    <cellStyle name="Normal 12 3 2 4 4 2" xfId="22764" xr:uid="{332A5E3A-0158-463B-A05A-EBD83C4FAAB6}"/>
    <cellStyle name="Normal 12 3 2 4 5" xfId="18553" xr:uid="{1E7E1131-3EA4-49F1-BBE1-8ACA332FBF18}"/>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696958E8-716C-4C7D-97BE-1873CE36E20D}"/>
    <cellStyle name="Normal 12 3 2 5 2 2 3" xfId="29533" xr:uid="{94EDA5FD-EE2C-40BC-95FF-7DB1183CB3EF}"/>
    <cellStyle name="Normal 12 3 2 5 2 3" xfId="12682" xr:uid="{4668F235-CF9A-48D6-90FD-EDD4DFEC0322}"/>
    <cellStyle name="Normal 12 3 2 5 2 3 2" xfId="25322" xr:uid="{8F84309D-8D4E-492E-A604-13C2ADB86436}"/>
    <cellStyle name="Normal 12 3 2 5 2 4" xfId="21111" xr:uid="{82752190-AC69-42A5-A9DD-973E9EC13493}"/>
    <cellStyle name="Normal 12 3 2 5 3" xfId="6326" xr:uid="{00000000-0005-0000-0000-00002E0E0000}"/>
    <cellStyle name="Normal 12 3 2 5 3 2" xfId="14755" xr:uid="{3EC93F8B-56C4-4DB2-9B32-ECB3632B293C}"/>
    <cellStyle name="Normal 12 3 2 5 3 3" xfId="27388" xr:uid="{2D03CE18-30EA-47C5-A65B-3B09C239141A}"/>
    <cellStyle name="Normal 12 3 2 5 4" xfId="10537" xr:uid="{8F12F0A0-EBEA-4A2E-9775-C55F7B5E3F6E}"/>
    <cellStyle name="Normal 12 3 2 5 4 2" xfId="23177" xr:uid="{59C5E127-6CCC-42E5-B2C4-8BBDE52F06F1}"/>
    <cellStyle name="Normal 12 3 2 5 5" xfId="18966" xr:uid="{35A7D7E9-9267-4D9B-9E48-2E27AAD9EB58}"/>
    <cellStyle name="Normal 12 3 2 6" xfId="2454" xr:uid="{00000000-0005-0000-0000-00002F0E0000}"/>
    <cellStyle name="Normal 12 3 2 6 2" xfId="6739" xr:uid="{00000000-0005-0000-0000-0000300E0000}"/>
    <cellStyle name="Normal 12 3 2 6 2 2" xfId="15168" xr:uid="{535BEAEC-F4C8-4766-A455-291C6F40184A}"/>
    <cellStyle name="Normal 12 3 2 6 2 3" xfId="27801" xr:uid="{3CFBF364-F62A-4251-8815-A01F27E8B4CB}"/>
    <cellStyle name="Normal 12 3 2 6 3" xfId="10950" xr:uid="{051E4CDA-6CBE-4EC0-BABA-55DC2DC9C5D7}"/>
    <cellStyle name="Normal 12 3 2 6 3 2" xfId="23590" xr:uid="{AF021416-1783-450E-B0D0-2863C9E3BE46}"/>
    <cellStyle name="Normal 12 3 2 6 4" xfId="19379" xr:uid="{F824FDD5-C4D0-46EF-942D-D90D8152A017}"/>
    <cellStyle name="Normal 12 3 2 7" xfId="4673" xr:uid="{00000000-0005-0000-0000-0000310E0000}"/>
    <cellStyle name="Normal 12 3 2 7 2" xfId="13102" xr:uid="{59266EFB-BB69-4E1D-9C49-58C2B2D9980A}"/>
    <cellStyle name="Normal 12 3 2 7 3" xfId="25735" xr:uid="{04D4421F-6027-416A-9AFF-E476594BFB9F}"/>
    <cellStyle name="Normal 12 3 2 8" xfId="8884" xr:uid="{ADC72E5D-6A13-4493-B6F1-D328DDEBB513}"/>
    <cellStyle name="Normal 12 3 2 8 2" xfId="21524" xr:uid="{19432844-EF8A-4030-9B7C-579CE8DA1656}"/>
    <cellStyle name="Normal 12 3 2 9" xfId="17313" xr:uid="{A8069FC9-29F0-4CDA-BB26-05DECC7BA297}"/>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0E654918-9BDE-4B28-B3F5-85E446E3566F}"/>
    <cellStyle name="Normal 12 3 3 2 2 3" xfId="28293" xr:uid="{CFB07974-94AE-4E49-A20E-79C2A7AF180D}"/>
    <cellStyle name="Normal 12 3 3 2 3" xfId="11442" xr:uid="{48077C16-A4D1-4902-875D-A24D861E88EC}"/>
    <cellStyle name="Normal 12 3 3 2 3 2" xfId="24082" xr:uid="{56026D82-2245-42A4-ADAA-D3C379FDD505}"/>
    <cellStyle name="Normal 12 3 3 2 4" xfId="19871" xr:uid="{47A20F78-5098-499A-8146-A55E9F8B2E3D}"/>
    <cellStyle name="Normal 12 3 3 3" xfId="5086" xr:uid="{00000000-0005-0000-0000-0000350E0000}"/>
    <cellStyle name="Normal 12 3 3 3 2" xfId="13515" xr:uid="{5CF8F0D8-6D8D-4BE9-B11A-A2E5AE160D12}"/>
    <cellStyle name="Normal 12 3 3 3 3" xfId="26148" xr:uid="{AF3A7C69-8F7C-4CDE-8F96-8B94F363B04F}"/>
    <cellStyle name="Normal 12 3 3 4" xfId="9297" xr:uid="{AD5F2AD2-2423-4A97-9762-D3646654A6D4}"/>
    <cellStyle name="Normal 12 3 3 4 2" xfId="21937" xr:uid="{DF8CF00A-549C-4747-B57C-BFCD9466A045}"/>
    <cellStyle name="Normal 12 3 3 5" xfId="17726" xr:uid="{6B72D097-88D4-43A6-8434-27918F22CE17}"/>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3DA1A42E-214E-472B-9CF7-0168AA57E4CB}"/>
    <cellStyle name="Normal 12 3 4 2 2 3" xfId="28706" xr:uid="{A0181D44-EB31-4533-9D50-46B4B9246FA2}"/>
    <cellStyle name="Normal 12 3 4 2 3" xfId="11855" xr:uid="{AAEE10AC-A05E-4A1A-93D0-FCD00CA450A5}"/>
    <cellStyle name="Normal 12 3 4 2 3 2" xfId="24495" xr:uid="{A3551BE7-8DE9-4915-A0D7-C58C498CFC7F}"/>
    <cellStyle name="Normal 12 3 4 2 4" xfId="20284" xr:uid="{E2E75025-854B-4DC2-B258-692505A256EC}"/>
    <cellStyle name="Normal 12 3 4 3" xfId="5499" xr:uid="{00000000-0005-0000-0000-0000390E0000}"/>
    <cellStyle name="Normal 12 3 4 3 2" xfId="13928" xr:uid="{FB046EDA-5A3F-45A0-9C57-A5B55B60EFD1}"/>
    <cellStyle name="Normal 12 3 4 3 3" xfId="26561" xr:uid="{99ECDBC6-01B0-43A2-9D15-10BF42137809}"/>
    <cellStyle name="Normal 12 3 4 4" xfId="9710" xr:uid="{09C9352F-E80C-4599-AA5E-C088E368B289}"/>
    <cellStyle name="Normal 12 3 4 4 2" xfId="22350" xr:uid="{953E6383-0467-4477-9D52-FA79DDFAD204}"/>
    <cellStyle name="Normal 12 3 4 5" xfId="18139" xr:uid="{ED59AE47-AFB6-492A-BD11-765595A17EEC}"/>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7F42D665-87DC-403C-8691-D54F585ADBFB}"/>
    <cellStyle name="Normal 12 3 5 2 2 3" xfId="29119" xr:uid="{7693BDD8-B5B9-4A46-806E-9DD8E3E6DA94}"/>
    <cellStyle name="Normal 12 3 5 2 3" xfId="12268" xr:uid="{770E8DE0-860D-4C60-99E4-D9778F060D27}"/>
    <cellStyle name="Normal 12 3 5 2 3 2" xfId="24908" xr:uid="{29E2BA00-C7DA-46A7-B706-EDB3CE1F92C0}"/>
    <cellStyle name="Normal 12 3 5 2 4" xfId="20697" xr:uid="{3E9A44A2-CE95-418F-B80D-BDF642ACBE68}"/>
    <cellStyle name="Normal 12 3 5 3" xfId="5912" xr:uid="{00000000-0005-0000-0000-00003D0E0000}"/>
    <cellStyle name="Normal 12 3 5 3 2" xfId="14341" xr:uid="{21889FC8-1A99-4710-A8D7-F33B997757E4}"/>
    <cellStyle name="Normal 12 3 5 3 3" xfId="26974" xr:uid="{C79E3EFA-BC6B-4927-A397-C086ECB4A7F5}"/>
    <cellStyle name="Normal 12 3 5 4" xfId="10123" xr:uid="{43431369-1B0C-47E6-A8BC-0B08AE828FC7}"/>
    <cellStyle name="Normal 12 3 5 4 2" xfId="22763" xr:uid="{986AD185-0F04-469B-B5BF-91887E28CB48}"/>
    <cellStyle name="Normal 12 3 5 5" xfId="18552" xr:uid="{9C713591-BFE4-4A4A-B466-211DE889DFB3}"/>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EAF3EB3B-00DE-4D91-A868-5675AC25CA53}"/>
    <cellStyle name="Normal 12 3 6 2 2 3" xfId="29532" xr:uid="{CD234092-1E58-4120-9629-B4347FBE5CAC}"/>
    <cellStyle name="Normal 12 3 6 2 3" xfId="12681" xr:uid="{791356A2-7A98-4864-941E-ECF3FBE657B9}"/>
    <cellStyle name="Normal 12 3 6 2 3 2" xfId="25321" xr:uid="{63BEE225-E0D2-45D1-98B0-9A093774D06E}"/>
    <cellStyle name="Normal 12 3 6 2 4" xfId="21110" xr:uid="{3C921AA7-6A55-4E65-8D5C-A820DC87828F}"/>
    <cellStyle name="Normal 12 3 6 3" xfId="6325" xr:uid="{00000000-0005-0000-0000-0000410E0000}"/>
    <cellStyle name="Normal 12 3 6 3 2" xfId="14754" xr:uid="{F20C8DDC-0463-417B-AB60-1EDD628F9357}"/>
    <cellStyle name="Normal 12 3 6 3 3" xfId="27387" xr:uid="{4B186D2A-5B2E-4925-A975-706F79B8EE3E}"/>
    <cellStyle name="Normal 12 3 6 4" xfId="10536" xr:uid="{F5948028-5905-42DE-94CD-9FD96EBB22F7}"/>
    <cellStyle name="Normal 12 3 6 4 2" xfId="23176" xr:uid="{4F1F998B-5C0D-4DF0-9281-604F2EE9BAD7}"/>
    <cellStyle name="Normal 12 3 6 5" xfId="18965" xr:uid="{D063E2CE-FB3A-44C5-902E-D1C72B186D2B}"/>
    <cellStyle name="Normal 12 3 7" xfId="2453" xr:uid="{00000000-0005-0000-0000-0000420E0000}"/>
    <cellStyle name="Normal 12 3 7 2" xfId="6738" xr:uid="{00000000-0005-0000-0000-0000430E0000}"/>
    <cellStyle name="Normal 12 3 7 2 2" xfId="15167" xr:uid="{21EE2612-2C6B-40D0-93D9-B017851A243B}"/>
    <cellStyle name="Normal 12 3 7 2 3" xfId="27800" xr:uid="{7322EA70-D2D8-4DE3-A470-06E783DCC3EC}"/>
    <cellStyle name="Normal 12 3 7 3" xfId="10949" xr:uid="{41EDF2C6-1B79-486A-A773-EAF0D137AF95}"/>
    <cellStyle name="Normal 12 3 7 3 2" xfId="23589" xr:uid="{93FB8B97-5DCE-4F24-B83E-FEB2FCAC197F}"/>
    <cellStyle name="Normal 12 3 7 4" xfId="19378" xr:uid="{66F435DC-6408-4E34-9E16-3401C54CCB21}"/>
    <cellStyle name="Normal 12 3 8" xfId="4672" xr:uid="{00000000-0005-0000-0000-0000440E0000}"/>
    <cellStyle name="Normal 12 3 8 2" xfId="13101" xr:uid="{85AB3598-2135-4307-8725-8EC3AA5D2310}"/>
    <cellStyle name="Normal 12 3 8 3" xfId="25734" xr:uid="{69353F81-9D5B-421E-92B1-2F1AF659FDBA}"/>
    <cellStyle name="Normal 12 3 9" xfId="8883" xr:uid="{F3BE13AD-EAB8-41EA-9FE2-4E7B2F548B2A}"/>
    <cellStyle name="Normal 12 3 9 2" xfId="21523" xr:uid="{71CB5E7D-C01B-4312-B3C0-C5983580AA98}"/>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7D9B881B-5B32-42BC-999E-11517C87F19E}"/>
    <cellStyle name="Normal 12 4 2 2 2 3" xfId="28295" xr:uid="{DCA5ADC2-3E94-4A93-B89B-B19C408BA4AE}"/>
    <cellStyle name="Normal 12 4 2 2 3" xfId="11444" xr:uid="{6CEC4994-02CE-4D9C-83FE-C224770F920F}"/>
    <cellStyle name="Normal 12 4 2 2 3 2" xfId="24084" xr:uid="{709F7975-2A27-46D6-8495-A613512157BF}"/>
    <cellStyle name="Normal 12 4 2 2 4" xfId="19873" xr:uid="{A46AE93F-FAFA-4F05-B37F-D47E7AC3019A}"/>
    <cellStyle name="Normal 12 4 2 3" xfId="5088" xr:uid="{00000000-0005-0000-0000-0000490E0000}"/>
    <cellStyle name="Normal 12 4 2 3 2" xfId="13517" xr:uid="{8B722D42-6F81-48E4-BD11-8CFDB53FE0B8}"/>
    <cellStyle name="Normal 12 4 2 3 3" xfId="26150" xr:uid="{228F7844-1F07-46B9-9043-368FD84F6AED}"/>
    <cellStyle name="Normal 12 4 2 4" xfId="9299" xr:uid="{CA3A528C-0983-44C7-83AD-830A6826E4E6}"/>
    <cellStyle name="Normal 12 4 2 4 2" xfId="21939" xr:uid="{3CDB04E1-F442-404E-9930-15B441136BFD}"/>
    <cellStyle name="Normal 12 4 2 5" xfId="17728" xr:uid="{527B6133-8D7C-4184-AED9-F0C6110DFEC7}"/>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D329B484-8864-4443-8A5A-B175F4AB2D54}"/>
    <cellStyle name="Normal 12 4 3 2 2 3" xfId="28708" xr:uid="{77CF2021-4DE4-41B4-B0F6-68EBF1D84DC3}"/>
    <cellStyle name="Normal 12 4 3 2 3" xfId="11857" xr:uid="{219AC9C4-D618-4406-8988-589151396E22}"/>
    <cellStyle name="Normal 12 4 3 2 3 2" xfId="24497" xr:uid="{B6040B4E-A4B8-4282-BD80-00A2F62D4089}"/>
    <cellStyle name="Normal 12 4 3 2 4" xfId="20286" xr:uid="{CEF305B8-1B2E-4268-B411-4620D22209F1}"/>
    <cellStyle name="Normal 12 4 3 3" xfId="5501" xr:uid="{00000000-0005-0000-0000-00004D0E0000}"/>
    <cellStyle name="Normal 12 4 3 3 2" xfId="13930" xr:uid="{EC833BED-F0A6-4D13-B368-8EEA47E5B111}"/>
    <cellStyle name="Normal 12 4 3 3 3" xfId="26563" xr:uid="{F5947DC9-0D15-48AE-BB7B-CCBFD8044E74}"/>
    <cellStyle name="Normal 12 4 3 4" xfId="9712" xr:uid="{E9C27493-F30B-4926-9423-469188A1FFD3}"/>
    <cellStyle name="Normal 12 4 3 4 2" xfId="22352" xr:uid="{6A773A93-6C73-417E-A285-FE5B958E6D51}"/>
    <cellStyle name="Normal 12 4 3 5" xfId="18141" xr:uid="{B7CB0702-B8C6-4982-B78D-923CEDBE7CFB}"/>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174B5DD3-54A4-4717-9BBA-1CE7896D67E6}"/>
    <cellStyle name="Normal 12 4 4 2 2 3" xfId="29121" xr:uid="{3D432B0D-6383-4AD8-A3A9-E9AB5BFC0C6C}"/>
    <cellStyle name="Normal 12 4 4 2 3" xfId="12270" xr:uid="{35EEA831-529B-4A16-B6F9-5FE1596C200E}"/>
    <cellStyle name="Normal 12 4 4 2 3 2" xfId="24910" xr:uid="{B8C2EA2A-D800-4C4A-8994-E34898648FDA}"/>
    <cellStyle name="Normal 12 4 4 2 4" xfId="20699" xr:uid="{244AD083-3682-4A47-B693-9DAF188348BF}"/>
    <cellStyle name="Normal 12 4 4 3" xfId="5914" xr:uid="{00000000-0005-0000-0000-0000510E0000}"/>
    <cellStyle name="Normal 12 4 4 3 2" xfId="14343" xr:uid="{7694C191-6830-470C-80D6-6B46A482ADE2}"/>
    <cellStyle name="Normal 12 4 4 3 3" xfId="26976" xr:uid="{C22C2237-F5FB-4981-9FA3-9F2CA3C8A63E}"/>
    <cellStyle name="Normal 12 4 4 4" xfId="10125" xr:uid="{4296A4BC-2BAF-4AA0-A397-561BB8EE8C69}"/>
    <cellStyle name="Normal 12 4 4 4 2" xfId="22765" xr:uid="{C4A9FDDD-5E38-4906-B844-D07F933CF65D}"/>
    <cellStyle name="Normal 12 4 4 5" xfId="18554" xr:uid="{A9856C5F-CE0D-4C16-8FD8-CBE1B0569076}"/>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4365FE1F-EBC6-4C6B-AC71-21228E4222D8}"/>
    <cellStyle name="Normal 12 4 5 2 2 3" xfId="29534" xr:uid="{71450DEA-7563-4233-B2A1-C0D01AAA2687}"/>
    <cellStyle name="Normal 12 4 5 2 3" xfId="12683" xr:uid="{874F00DB-2113-4C8B-8F2D-FD7ADA808CDD}"/>
    <cellStyle name="Normal 12 4 5 2 3 2" xfId="25323" xr:uid="{19D8D339-6FDC-4A83-9B87-92E9208E5D17}"/>
    <cellStyle name="Normal 12 4 5 2 4" xfId="21112" xr:uid="{456D7368-8BEE-4579-8A02-AE0402688A70}"/>
    <cellStyle name="Normal 12 4 5 3" xfId="6327" xr:uid="{00000000-0005-0000-0000-0000550E0000}"/>
    <cellStyle name="Normal 12 4 5 3 2" xfId="14756" xr:uid="{2F9B824E-F8B4-4076-856A-4BBA52D6AF17}"/>
    <cellStyle name="Normal 12 4 5 3 3" xfId="27389" xr:uid="{852A0837-5D00-4783-A79A-DA294F897E22}"/>
    <cellStyle name="Normal 12 4 5 4" xfId="10538" xr:uid="{FC968FDC-B4D6-4941-BC9F-8C8863547C5B}"/>
    <cellStyle name="Normal 12 4 5 4 2" xfId="23178" xr:uid="{3C2E3CCF-B5A3-49FB-AE0F-83AC3EC5F6EE}"/>
    <cellStyle name="Normal 12 4 5 5" xfId="18967" xr:uid="{029CFC89-2E54-4B7A-ABC5-0C935F1D7EFA}"/>
    <cellStyle name="Normal 12 4 6" xfId="2455" xr:uid="{00000000-0005-0000-0000-0000560E0000}"/>
    <cellStyle name="Normal 12 4 6 2" xfId="6740" xr:uid="{00000000-0005-0000-0000-0000570E0000}"/>
    <cellStyle name="Normal 12 4 6 2 2" xfId="15169" xr:uid="{86F031A5-EBC4-40C4-A763-2DAEB509A0DD}"/>
    <cellStyle name="Normal 12 4 6 2 3" xfId="27802" xr:uid="{656F898F-DEE3-439A-B33A-A1A1FDEC354E}"/>
    <cellStyle name="Normal 12 4 6 3" xfId="10951" xr:uid="{C4DFBEF2-2CBF-48F5-B950-6A0343E19B98}"/>
    <cellStyle name="Normal 12 4 6 3 2" xfId="23591" xr:uid="{67BEDD13-A7F6-40BC-A6EF-D06584CC438F}"/>
    <cellStyle name="Normal 12 4 6 4" xfId="19380" xr:uid="{ED609522-9C6D-4923-BE76-1E8F22C822DB}"/>
    <cellStyle name="Normal 12 4 7" xfId="4674" xr:uid="{00000000-0005-0000-0000-0000580E0000}"/>
    <cellStyle name="Normal 12 4 7 2" xfId="13103" xr:uid="{A4B86F40-F1E4-4403-9EAF-8379D5784B7D}"/>
    <cellStyle name="Normal 12 4 7 3" xfId="25736" xr:uid="{55F2AD1D-140C-48BD-BA8F-996B4DF7499C}"/>
    <cellStyle name="Normal 12 4 8" xfId="8885" xr:uid="{7E0875DE-8C5D-4244-B6EE-5203AAC601A9}"/>
    <cellStyle name="Normal 12 4 8 2" xfId="21525" xr:uid="{66805F4E-B2D7-4E7E-8FD6-B16FA5E0A89E}"/>
    <cellStyle name="Normal 12 4 9" xfId="17314" xr:uid="{884C1824-F1C0-42B1-873A-4A334F0088CC}"/>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4000F6C4-EBFA-45EA-BFE1-9455A768546E}"/>
    <cellStyle name="Normal 12 6 2 2 3" xfId="28288" xr:uid="{6C2BCE5A-DC65-430F-A446-FB6805A615CF}"/>
    <cellStyle name="Normal 12 6 2 3" xfId="11437" xr:uid="{CC4A48E3-BE56-4707-B92E-B711D6E46B82}"/>
    <cellStyle name="Normal 12 6 2 3 2" xfId="24077" xr:uid="{932B3A19-38E4-44F8-A349-9D73FFDC7B04}"/>
    <cellStyle name="Normal 12 6 2 4" xfId="19866" xr:uid="{BC77CCBB-FE22-4B4D-9B7C-64E51DD5AF82}"/>
    <cellStyle name="Normal 12 6 3" xfId="5081" xr:uid="{00000000-0005-0000-0000-00005D0E0000}"/>
    <cellStyle name="Normal 12 6 3 2" xfId="13510" xr:uid="{8581CF96-2B01-4EE7-BA1E-AC6826822767}"/>
    <cellStyle name="Normal 12 6 3 3" xfId="26143" xr:uid="{8AF7734C-0A6E-43A5-B9CF-3A942BC574D8}"/>
    <cellStyle name="Normal 12 6 4" xfId="9292" xr:uid="{659E57D5-0FF6-40C2-90E5-330675FABE70}"/>
    <cellStyle name="Normal 12 6 4 2" xfId="21932" xr:uid="{4273350A-B601-4B0B-A258-2AF7EC528180}"/>
    <cellStyle name="Normal 12 6 5" xfId="17721" xr:uid="{5EE1E596-EBFA-48D2-95AF-0E836A7C8CEA}"/>
    <cellStyle name="Normal 12 7" xfId="1184" xr:uid="{00000000-0005-0000-0000-00005E0E0000}"/>
    <cellStyle name="Normal 12 7 2" xfId="3415" xr:uid="{00000000-0005-0000-0000-00005F0E0000}"/>
    <cellStyle name="Normal 12 7 2 2" xfId="7639" xr:uid="{00000000-0005-0000-0000-0000600E0000}"/>
    <cellStyle name="Normal 12 7 2 2 2" xfId="16068" xr:uid="{51269A8E-635A-4143-BC13-03D19528BD15}"/>
    <cellStyle name="Normal 12 7 2 2 3" xfId="28701" xr:uid="{2101B716-E006-4F4D-A8AF-65BC2F2E5196}"/>
    <cellStyle name="Normal 12 7 2 3" xfId="11850" xr:uid="{56DDAB7E-914B-4E2A-B9CE-A3BE88843924}"/>
    <cellStyle name="Normal 12 7 2 3 2" xfId="24490" xr:uid="{CDC92710-B5F1-4A8C-9B6B-516BAC668AA8}"/>
    <cellStyle name="Normal 12 7 2 4" xfId="20279" xr:uid="{3383CB76-E1BF-4F57-86DB-B2AE0C898685}"/>
    <cellStyle name="Normal 12 7 3" xfId="5494" xr:uid="{00000000-0005-0000-0000-0000610E0000}"/>
    <cellStyle name="Normal 12 7 3 2" xfId="13923" xr:uid="{77E4F364-649F-4AA5-A5CC-5C9F7A06BB7E}"/>
    <cellStyle name="Normal 12 7 3 3" xfId="26556" xr:uid="{6440E9C8-2C97-40BF-99F0-6558872A7CB3}"/>
    <cellStyle name="Normal 12 7 4" xfId="9705" xr:uid="{3E9D850D-8EE0-4098-9644-08457138FD77}"/>
    <cellStyle name="Normal 12 7 4 2" xfId="22345" xr:uid="{82C262AE-0F31-4038-B365-99BA6D458F23}"/>
    <cellStyle name="Normal 12 7 5" xfId="18134" xr:uid="{7A6D23A1-567B-40B2-B5B7-C03C30423C5E}"/>
    <cellStyle name="Normal 12 8" xfId="1598" xr:uid="{00000000-0005-0000-0000-0000620E0000}"/>
    <cellStyle name="Normal 12 8 2" xfId="3828" xr:uid="{00000000-0005-0000-0000-0000630E0000}"/>
    <cellStyle name="Normal 12 8 2 2" xfId="8052" xr:uid="{00000000-0005-0000-0000-0000640E0000}"/>
    <cellStyle name="Normal 12 8 2 2 2" xfId="16481" xr:uid="{CB8356AC-12ED-4213-9920-8136114F3ADF}"/>
    <cellStyle name="Normal 12 8 2 2 3" xfId="29114" xr:uid="{59D8BF67-AEEB-4600-B27D-A767467DBE42}"/>
    <cellStyle name="Normal 12 8 2 3" xfId="12263" xr:uid="{387F004B-E7CB-40E5-9DF3-7DBAFB39029F}"/>
    <cellStyle name="Normal 12 8 2 3 2" xfId="24903" xr:uid="{B7D636EE-9A15-4F31-B7E5-25E29C3987E8}"/>
    <cellStyle name="Normal 12 8 2 4" xfId="20692" xr:uid="{10021E06-D03C-463C-8AAB-B75F6D40DC1B}"/>
    <cellStyle name="Normal 12 8 3" xfId="5907" xr:uid="{00000000-0005-0000-0000-0000650E0000}"/>
    <cellStyle name="Normal 12 8 3 2" xfId="14336" xr:uid="{122F7CC7-4A7D-4287-9D06-DF7F84642F98}"/>
    <cellStyle name="Normal 12 8 3 3" xfId="26969" xr:uid="{CBE30ECC-9E46-456A-BDE8-8F31DC2B30DC}"/>
    <cellStyle name="Normal 12 8 4" xfId="10118" xr:uid="{D56A3AA7-0015-493D-A49B-532B0152889E}"/>
    <cellStyle name="Normal 12 8 4 2" xfId="22758" xr:uid="{31C0C094-919B-4D5A-8B21-F64BD4149DD8}"/>
    <cellStyle name="Normal 12 8 5" xfId="18547" xr:uid="{8F2D389C-BD56-45EB-BF3F-0B3292F52140}"/>
    <cellStyle name="Normal 12 9" xfId="2012" xr:uid="{00000000-0005-0000-0000-0000660E0000}"/>
    <cellStyle name="Normal 12 9 2" xfId="4241" xr:uid="{00000000-0005-0000-0000-0000670E0000}"/>
    <cellStyle name="Normal 12 9 2 2" xfId="8465" xr:uid="{00000000-0005-0000-0000-0000680E0000}"/>
    <cellStyle name="Normal 12 9 2 2 2" xfId="16894" xr:uid="{6A20DEE2-D98D-4485-8A31-FDD9684AC778}"/>
    <cellStyle name="Normal 12 9 2 2 3" xfId="29527" xr:uid="{A5C1B118-D1E7-4887-B378-1718F5A5BA86}"/>
    <cellStyle name="Normal 12 9 2 3" xfId="12676" xr:uid="{296263FC-BBB1-49FD-8282-013873AB767F}"/>
    <cellStyle name="Normal 12 9 2 3 2" xfId="25316" xr:uid="{0F03152D-F56E-45BE-A979-3C5CAA13580C}"/>
    <cellStyle name="Normal 12 9 2 4" xfId="21105" xr:uid="{9A945A11-0898-42CE-AE9D-250773D1F927}"/>
    <cellStyle name="Normal 12 9 3" xfId="6320" xr:uid="{00000000-0005-0000-0000-0000690E0000}"/>
    <cellStyle name="Normal 12 9 3 2" xfId="14749" xr:uid="{106D8919-95CD-4F06-BDD4-AC68A392EECD}"/>
    <cellStyle name="Normal 12 9 3 3" xfId="27382" xr:uid="{EE538E3F-AFE6-4F0A-BC1E-C9D1D724F0B3}"/>
    <cellStyle name="Normal 12 9 4" xfId="10531" xr:uid="{565F9E59-5D2D-4536-B24B-BE4DF5803980}"/>
    <cellStyle name="Normal 12 9 4 2" xfId="23171" xr:uid="{4C7D7CB5-8406-4350-8B8E-5BF94C2BE0D2}"/>
    <cellStyle name="Normal 12 9 5" xfId="18960" xr:uid="{BC0E77E0-6B51-4197-B288-D2E976792B02}"/>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1BC3F4EB-F9A6-4255-B5CD-13D34D253B62}"/>
    <cellStyle name="Normal 14 2 2 2 3" xfId="28296" xr:uid="{FC07DF84-FBD8-4A96-B206-5D73486BDDF4}"/>
    <cellStyle name="Normal 14 2 2 3" xfId="11445" xr:uid="{DAAC4FDC-70FF-49D1-8FAC-3C210946B0F0}"/>
    <cellStyle name="Normal 14 2 2 3 2" xfId="24085" xr:uid="{0BA4CCC1-5FA5-461D-8004-B302352747FC}"/>
    <cellStyle name="Normal 14 2 2 4" xfId="19874" xr:uid="{33EE78DA-34BF-423C-B799-4800D679131B}"/>
    <cellStyle name="Normal 14 2 3" xfId="5089" xr:uid="{00000000-0005-0000-0000-0000700E0000}"/>
    <cellStyle name="Normal 14 2 3 2" xfId="13518" xr:uid="{B7E40780-57E1-4E8A-9C69-222927C2E910}"/>
    <cellStyle name="Normal 14 2 3 3" xfId="26151" xr:uid="{FF2A6A88-7BC6-49F6-A84B-CBDC35A2ABE0}"/>
    <cellStyle name="Normal 14 2 4" xfId="9300" xr:uid="{61EA6E59-F0BB-43B7-B036-A2C3E225AF62}"/>
    <cellStyle name="Normal 14 2 4 2" xfId="21940" xr:uid="{AB03DF31-9009-4D1F-A99E-B417A3F12B16}"/>
    <cellStyle name="Normal 14 2 5" xfId="17729" xr:uid="{4B1911CD-6511-43F7-975D-01BCC8FCEFB1}"/>
    <cellStyle name="Normal 14 3" xfId="1192" xr:uid="{00000000-0005-0000-0000-0000710E0000}"/>
    <cellStyle name="Normal 14 3 2" xfId="3423" xr:uid="{00000000-0005-0000-0000-0000720E0000}"/>
    <cellStyle name="Normal 14 3 2 2" xfId="7647" xr:uid="{00000000-0005-0000-0000-0000730E0000}"/>
    <cellStyle name="Normal 14 3 2 2 2" xfId="16076" xr:uid="{814B2408-D0C2-45B1-9148-B6E21B9099ED}"/>
    <cellStyle name="Normal 14 3 2 2 3" xfId="28709" xr:uid="{AF7B2946-9C20-499B-B529-517A6CA4297A}"/>
    <cellStyle name="Normal 14 3 2 3" xfId="11858" xr:uid="{D26F51C8-5890-4245-AE52-6706125DAE7C}"/>
    <cellStyle name="Normal 14 3 2 3 2" xfId="24498" xr:uid="{F4664272-1661-4D49-9152-6549FDB8AFD9}"/>
    <cellStyle name="Normal 14 3 2 4" xfId="20287" xr:uid="{4D921158-08ED-4D4B-9AD2-B6CF22E6BBDC}"/>
    <cellStyle name="Normal 14 3 3" xfId="5502" xr:uid="{00000000-0005-0000-0000-0000740E0000}"/>
    <cellStyle name="Normal 14 3 3 2" xfId="13931" xr:uid="{2556FAA3-BB1A-411C-9AEA-F4C954D62669}"/>
    <cellStyle name="Normal 14 3 3 3" xfId="26564" xr:uid="{4D1E01C3-BF62-4F29-BEA8-50F9493389AD}"/>
    <cellStyle name="Normal 14 3 4" xfId="9713" xr:uid="{E79B016A-C356-407D-A5F8-E4116EF62169}"/>
    <cellStyle name="Normal 14 3 4 2" xfId="22353" xr:uid="{D0BCBCAA-17CA-43AD-B5A8-A8C4E172BA36}"/>
    <cellStyle name="Normal 14 3 5" xfId="18142" xr:uid="{6B7B4674-7AC3-4058-8A9D-A809BFEE1B1B}"/>
    <cellStyle name="Normal 14 4" xfId="1606" xr:uid="{00000000-0005-0000-0000-0000750E0000}"/>
    <cellStyle name="Normal 14 4 2" xfId="3836" xr:uid="{00000000-0005-0000-0000-0000760E0000}"/>
    <cellStyle name="Normal 14 4 2 2" xfId="8060" xr:uid="{00000000-0005-0000-0000-0000770E0000}"/>
    <cellStyle name="Normal 14 4 2 2 2" xfId="16489" xr:uid="{D630F521-2343-442A-9ACF-E93CE9B3FFDE}"/>
    <cellStyle name="Normal 14 4 2 2 3" xfId="29122" xr:uid="{393826B5-3BFD-402D-9165-6FD24C473C62}"/>
    <cellStyle name="Normal 14 4 2 3" xfId="12271" xr:uid="{96124C2B-C4DA-4FBB-8F91-933A8A18E285}"/>
    <cellStyle name="Normal 14 4 2 3 2" xfId="24911" xr:uid="{02ADD48F-2E4A-495A-A23D-B147F270C331}"/>
    <cellStyle name="Normal 14 4 2 4" xfId="20700" xr:uid="{E634A49F-CD6C-4C44-B91B-C9FA79C83FD5}"/>
    <cellStyle name="Normal 14 4 3" xfId="5915" xr:uid="{00000000-0005-0000-0000-0000780E0000}"/>
    <cellStyle name="Normal 14 4 3 2" xfId="14344" xr:uid="{3247B92E-675F-4C80-8275-EA13D4015F7C}"/>
    <cellStyle name="Normal 14 4 3 3" xfId="26977" xr:uid="{8F48451A-C410-45BE-846A-5C5D8DAEF0AE}"/>
    <cellStyle name="Normal 14 4 4" xfId="10126" xr:uid="{0049475C-FD8C-4E98-9AE5-671257BCF3D6}"/>
    <cellStyle name="Normal 14 4 4 2" xfId="22766" xr:uid="{0A363E0C-4B10-45A3-BBFC-E11236A17AB0}"/>
    <cellStyle name="Normal 14 4 5" xfId="18555" xr:uid="{B4294ADD-A444-4877-88FA-0233152ACB7D}"/>
    <cellStyle name="Normal 14 5" xfId="2020" xr:uid="{00000000-0005-0000-0000-0000790E0000}"/>
    <cellStyle name="Normal 14 5 2" xfId="4249" xr:uid="{00000000-0005-0000-0000-00007A0E0000}"/>
    <cellStyle name="Normal 14 5 2 2" xfId="8473" xr:uid="{00000000-0005-0000-0000-00007B0E0000}"/>
    <cellStyle name="Normal 14 5 2 2 2" xfId="16902" xr:uid="{0D1257F9-3811-499E-B268-8AA03B6686A4}"/>
    <cellStyle name="Normal 14 5 2 2 3" xfId="29535" xr:uid="{D90C44A0-41D8-4E22-819A-6F921CE6C101}"/>
    <cellStyle name="Normal 14 5 2 3" xfId="12684" xr:uid="{C9E253BA-9D2F-46BF-9EB4-4FE72386E1C6}"/>
    <cellStyle name="Normal 14 5 2 3 2" xfId="25324" xr:uid="{4CBF23CD-D656-4187-8445-3576FA72E189}"/>
    <cellStyle name="Normal 14 5 2 4" xfId="21113" xr:uid="{930B23B2-7903-44C7-A73B-8DC57A4214F8}"/>
    <cellStyle name="Normal 14 5 3" xfId="6328" xr:uid="{00000000-0005-0000-0000-00007C0E0000}"/>
    <cellStyle name="Normal 14 5 3 2" xfId="14757" xr:uid="{3019B92A-4113-49C2-93C8-D9D59B3273D3}"/>
    <cellStyle name="Normal 14 5 3 3" xfId="27390" xr:uid="{61319FF9-C29A-4592-A785-F7006E8ADD3E}"/>
    <cellStyle name="Normal 14 5 4" xfId="10539" xr:uid="{85440320-D491-4239-B8FC-1087B977A7F2}"/>
    <cellStyle name="Normal 14 5 4 2" xfId="23179" xr:uid="{9FB6E988-69EE-4B8B-ABFD-4640CB30F446}"/>
    <cellStyle name="Normal 14 5 5" xfId="18968" xr:uid="{0DD30D1F-2EBA-4D35-AEA1-CEEE7B48A571}"/>
    <cellStyle name="Normal 14 6" xfId="2456" xr:uid="{00000000-0005-0000-0000-00007D0E0000}"/>
    <cellStyle name="Normal 14 6 2" xfId="6741" xr:uid="{00000000-0005-0000-0000-00007E0E0000}"/>
    <cellStyle name="Normal 14 6 2 2" xfId="15170" xr:uid="{10B6A47C-17A8-4581-AB76-02FABC8D76FB}"/>
    <cellStyle name="Normal 14 6 2 3" xfId="27803" xr:uid="{95C9D4E5-F352-4E30-877D-935B0D7AD20A}"/>
    <cellStyle name="Normal 14 6 3" xfId="10952" xr:uid="{7937B1A5-909F-4AC9-A853-7CDB008C0260}"/>
    <cellStyle name="Normal 14 6 3 2" xfId="23592" xr:uid="{5E48283A-5297-4704-B90D-A87B30286272}"/>
    <cellStyle name="Normal 14 6 4" xfId="19381" xr:uid="{C10A1979-3693-41E9-A62A-8796A662652D}"/>
    <cellStyle name="Normal 14 7" xfId="4675" xr:uid="{00000000-0005-0000-0000-00007F0E0000}"/>
    <cellStyle name="Normal 14 7 2" xfId="13104" xr:uid="{D5268C62-733A-43AB-9111-AAB25C3BD3DD}"/>
    <cellStyle name="Normal 14 7 3" xfId="25737" xr:uid="{88C6C5BE-6500-4E01-9859-57B8F5B0305D}"/>
    <cellStyle name="Normal 14 8" xfId="8886" xr:uid="{B567C3A7-21B8-4AF6-ABD4-92F8106D52A1}"/>
    <cellStyle name="Normal 14 8 2" xfId="21526" xr:uid="{6FDC17B1-7770-456A-AA59-C94DB59F3009}"/>
    <cellStyle name="Normal 14 9" xfId="17315" xr:uid="{3705DC14-DBB7-4F9C-81E8-BCEF7F63CFF9}"/>
    <cellStyle name="Normal 15" xfId="4497" xr:uid="{00000000-0005-0000-0000-0000800E0000}"/>
    <cellStyle name="Normal 15 2" xfId="12930" xr:uid="{3CE233E8-7F6F-467E-8C2A-C950805FFA85}"/>
    <cellStyle name="Normal 16" xfId="4501" xr:uid="{00000000-0005-0000-0000-0000810E0000}"/>
    <cellStyle name="Normal 16 2" xfId="12933" xr:uid="{13FFA2EF-FD51-4B4E-BA2F-7CA4771CBD64}"/>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82444E85-723E-40E7-8112-BCCF27871522}"/>
    <cellStyle name="Normal 2 4 2 10 2 2 3" xfId="29536" xr:uid="{39520FE6-8333-444E-826A-9E0273D7A789}"/>
    <cellStyle name="Normal 2 4 2 10 2 3" xfId="12685" xr:uid="{9799D0C4-496A-47CB-BB03-87E6D2272481}"/>
    <cellStyle name="Normal 2 4 2 10 2 3 2" xfId="25325" xr:uid="{558A0281-13A3-4BA5-B022-657F7AB8BC09}"/>
    <cellStyle name="Normal 2 4 2 10 2 4" xfId="21114" xr:uid="{B7C3B2D2-9D6F-48C6-83E3-FE7C46B07B9C}"/>
    <cellStyle name="Normal 2 4 2 10 3" xfId="6329" xr:uid="{00000000-0005-0000-0000-0000900E0000}"/>
    <cellStyle name="Normal 2 4 2 10 3 2" xfId="14758" xr:uid="{AD1A5F75-9B2E-424C-A1EA-940ED1A86C2C}"/>
    <cellStyle name="Normal 2 4 2 10 3 3" xfId="27391" xr:uid="{A25133F6-6C19-49C1-8CCE-0079D6DDB968}"/>
    <cellStyle name="Normal 2 4 2 10 4" xfId="10540" xr:uid="{CC1BB789-0A7E-4CE8-8F75-440B968C6AFF}"/>
    <cellStyle name="Normal 2 4 2 10 4 2" xfId="23180" xr:uid="{9F7DB177-4DC8-49A8-A7DC-44B5A503053B}"/>
    <cellStyle name="Normal 2 4 2 10 5" xfId="18969" xr:uid="{2589D200-C3BC-4AED-B9B9-B4349D5165D1}"/>
    <cellStyle name="Normal 2 4 2 11" xfId="2457" xr:uid="{00000000-0005-0000-0000-0000910E0000}"/>
    <cellStyle name="Normal 2 4 2 11 2" xfId="6742" xr:uid="{00000000-0005-0000-0000-0000920E0000}"/>
    <cellStyle name="Normal 2 4 2 11 2 2" xfId="15171" xr:uid="{A951067D-0ECC-4B24-A8CB-4414080F9764}"/>
    <cellStyle name="Normal 2 4 2 11 2 3" xfId="27804" xr:uid="{0C59398D-A57E-48A0-BC85-794D5355CA95}"/>
    <cellStyle name="Normal 2 4 2 11 3" xfId="10953" xr:uid="{F2ED4147-D27C-48EC-A5D8-594528AD5849}"/>
    <cellStyle name="Normal 2 4 2 11 3 2" xfId="23593" xr:uid="{A3195382-5390-4520-B39E-EED252C39143}"/>
    <cellStyle name="Normal 2 4 2 11 4" xfId="19382" xr:uid="{DC4B7040-FDF7-4310-BF9E-4DF531991298}"/>
    <cellStyle name="Normal 2 4 2 12" xfId="4676" xr:uid="{00000000-0005-0000-0000-0000930E0000}"/>
    <cellStyle name="Normal 2 4 2 12 2" xfId="13105" xr:uid="{3E8ED846-3A50-4861-B6F7-CB847DACD39B}"/>
    <cellStyle name="Normal 2 4 2 12 3" xfId="25738" xr:uid="{C3F21D5E-4539-492C-8AFD-DC489E57B4D6}"/>
    <cellStyle name="Normal 2 4 2 13" xfId="8887" xr:uid="{9312AC6A-353A-4CCA-983F-086B5696AC2F}"/>
    <cellStyle name="Normal 2 4 2 13 2" xfId="21527" xr:uid="{F64BDEBC-CDA9-4AE8-BA27-8E65312FD5CC}"/>
    <cellStyle name="Normal 2 4 2 14" xfId="17316" xr:uid="{28408BC4-6C32-4324-ABCA-49C7B4AE2855}"/>
    <cellStyle name="Normal 2 4 2 2" xfId="280" xr:uid="{00000000-0005-0000-0000-0000940E0000}"/>
    <cellStyle name="Normal 2 4 2 3" xfId="281" xr:uid="{00000000-0005-0000-0000-0000950E0000}"/>
    <cellStyle name="Normal 2 4 2 3 10" xfId="4677" xr:uid="{00000000-0005-0000-0000-0000960E0000}"/>
    <cellStyle name="Normal 2 4 2 3 10 2" xfId="13106" xr:uid="{98287281-6D82-4463-89AB-8FBB4A33F4A9}"/>
    <cellStyle name="Normal 2 4 2 3 10 3" xfId="25739" xr:uid="{D4A4D141-A419-45FC-A493-495104DD44CB}"/>
    <cellStyle name="Normal 2 4 2 3 11" xfId="8888" xr:uid="{2160FD90-E5DD-4FFB-8FFD-46BB3C62D5CD}"/>
    <cellStyle name="Normal 2 4 2 3 11 2" xfId="21528" xr:uid="{A5CA13E3-3FBD-4673-8C2E-289FE89EEDCC}"/>
    <cellStyle name="Normal 2 4 2 3 12" xfId="17317" xr:uid="{E206D2D9-401A-4EA7-8434-C486E47E81D5}"/>
    <cellStyle name="Normal 2 4 2 3 2" xfId="282" xr:uid="{00000000-0005-0000-0000-0000970E0000}"/>
    <cellStyle name="Normal 2 4 2 3 2 10" xfId="8889" xr:uid="{5AC23659-BC37-42C2-88DE-EDCA9EF40F85}"/>
    <cellStyle name="Normal 2 4 2 3 2 10 2" xfId="21529" xr:uid="{675B0C87-56E7-4DDC-99FD-EB084A75CA68}"/>
    <cellStyle name="Normal 2 4 2 3 2 11" xfId="17318" xr:uid="{5858F825-20DB-42A6-B102-6843EDB0F047}"/>
    <cellStyle name="Normal 2 4 2 3 2 2" xfId="283" xr:uid="{00000000-0005-0000-0000-0000980E0000}"/>
    <cellStyle name="Normal 2 4 2 3 2 2 10" xfId="17319" xr:uid="{D0D05EE3-7330-40CA-8560-5704311646F9}"/>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1E0CDC88-D2B3-43A6-BDBE-219835E7776C}"/>
    <cellStyle name="Normal 2 4 2 3 2 2 2 2 2 2 3" xfId="28301" xr:uid="{97DD2469-DE39-47D2-96A9-7751C36EC7C2}"/>
    <cellStyle name="Normal 2 4 2 3 2 2 2 2 2 3" xfId="11450" xr:uid="{BBA20704-4248-48BB-A0C3-D11B03736775}"/>
    <cellStyle name="Normal 2 4 2 3 2 2 2 2 2 3 2" xfId="24090" xr:uid="{AC2E674C-14E3-45CE-ACFB-8DDCD9BAA53A}"/>
    <cellStyle name="Normal 2 4 2 3 2 2 2 2 2 4" xfId="19879" xr:uid="{9F0884A6-F465-438B-97A2-83C5EED6E7CB}"/>
    <cellStyle name="Normal 2 4 2 3 2 2 2 2 3" xfId="5094" xr:uid="{00000000-0005-0000-0000-00009D0E0000}"/>
    <cellStyle name="Normal 2 4 2 3 2 2 2 2 3 2" xfId="13523" xr:uid="{281DCDA6-228C-4973-8062-B064767D6B59}"/>
    <cellStyle name="Normal 2 4 2 3 2 2 2 2 3 3" xfId="26156" xr:uid="{26AF8945-43EC-47A5-8A53-2932D8C2E856}"/>
    <cellStyle name="Normal 2 4 2 3 2 2 2 2 4" xfId="9305" xr:uid="{80EE397E-A53F-48F2-8099-6FCBC35382FC}"/>
    <cellStyle name="Normal 2 4 2 3 2 2 2 2 4 2" xfId="21945" xr:uid="{30E5182D-981A-426B-B5E1-A1F976B87A57}"/>
    <cellStyle name="Normal 2 4 2 3 2 2 2 2 5" xfId="17734" xr:uid="{BC7CE2B2-AC72-4BFC-9EA5-420A1CA54DA7}"/>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F598CE5E-F96C-4F05-A510-E629EE4C944D}"/>
    <cellStyle name="Normal 2 4 2 3 2 2 2 3 2 2 3" xfId="28714" xr:uid="{05F322C4-DEB7-4999-9D5C-233E471C7FE9}"/>
    <cellStyle name="Normal 2 4 2 3 2 2 2 3 2 3" xfId="11863" xr:uid="{E189370E-DBEF-401D-BDCE-A13F6413A4EE}"/>
    <cellStyle name="Normal 2 4 2 3 2 2 2 3 2 3 2" xfId="24503" xr:uid="{3F959831-DB33-45E3-B79A-0CDC58C35EB1}"/>
    <cellStyle name="Normal 2 4 2 3 2 2 2 3 2 4" xfId="20292" xr:uid="{E364A650-9615-456F-9BD6-D7BF042724E5}"/>
    <cellStyle name="Normal 2 4 2 3 2 2 2 3 3" xfId="5507" xr:uid="{00000000-0005-0000-0000-0000A10E0000}"/>
    <cellStyle name="Normal 2 4 2 3 2 2 2 3 3 2" xfId="13936" xr:uid="{65CDED24-9ED0-4DA0-B298-0E538897C2B0}"/>
    <cellStyle name="Normal 2 4 2 3 2 2 2 3 3 3" xfId="26569" xr:uid="{08D026D7-7D28-4D84-9FE0-1DC78E31D90D}"/>
    <cellStyle name="Normal 2 4 2 3 2 2 2 3 4" xfId="9718" xr:uid="{5EAFB529-DA48-4780-AD47-F20024B136B5}"/>
    <cellStyle name="Normal 2 4 2 3 2 2 2 3 4 2" xfId="22358" xr:uid="{ED45A4A4-7B44-47BB-848D-980FDC74F39F}"/>
    <cellStyle name="Normal 2 4 2 3 2 2 2 3 5" xfId="18147" xr:uid="{B55DFAD2-DB6D-4C2C-BA8E-1F085D9CE769}"/>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7F26B4D6-B1F2-48E1-A9AF-10BF4612B9D0}"/>
    <cellStyle name="Normal 2 4 2 3 2 2 2 4 2 2 3" xfId="29127" xr:uid="{5AB31DF3-0210-4FB1-9C16-4F912A0CBB29}"/>
    <cellStyle name="Normal 2 4 2 3 2 2 2 4 2 3" xfId="12276" xr:uid="{A6228484-EA19-4455-B4AE-0B461239E6EA}"/>
    <cellStyle name="Normal 2 4 2 3 2 2 2 4 2 3 2" xfId="24916" xr:uid="{7C3F6560-144D-45C1-AB41-7D92CC13575C}"/>
    <cellStyle name="Normal 2 4 2 3 2 2 2 4 2 4" xfId="20705" xr:uid="{77790727-2A8A-4264-9FA2-6B9163A25069}"/>
    <cellStyle name="Normal 2 4 2 3 2 2 2 4 3" xfId="5920" xr:uid="{00000000-0005-0000-0000-0000A50E0000}"/>
    <cellStyle name="Normal 2 4 2 3 2 2 2 4 3 2" xfId="14349" xr:uid="{44AFF2B4-DE6E-423E-B631-CE3711CF67CB}"/>
    <cellStyle name="Normal 2 4 2 3 2 2 2 4 3 3" xfId="26982" xr:uid="{C2FB6831-3316-49E5-A523-DE23B89B54D6}"/>
    <cellStyle name="Normal 2 4 2 3 2 2 2 4 4" xfId="10131" xr:uid="{4BB31751-87DC-4FA9-9C56-B5A95CEAD025}"/>
    <cellStyle name="Normal 2 4 2 3 2 2 2 4 4 2" xfId="22771" xr:uid="{3D91FB3C-8336-4B08-9AFC-0CD09075350E}"/>
    <cellStyle name="Normal 2 4 2 3 2 2 2 4 5" xfId="18560" xr:uid="{9AFDDE35-D932-4D31-A8D3-FF8A43CA50EA}"/>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CEA92BFD-53C5-41CE-9106-1E2DF00ACB38}"/>
    <cellStyle name="Normal 2 4 2 3 2 2 2 5 2 2 3" xfId="29540" xr:uid="{A4C3BAC5-E1DF-4F33-816B-B84BDB8538C4}"/>
    <cellStyle name="Normal 2 4 2 3 2 2 2 5 2 3" xfId="12689" xr:uid="{FA4AD8BC-CE48-4556-8136-9DF6CB3144CB}"/>
    <cellStyle name="Normal 2 4 2 3 2 2 2 5 2 3 2" xfId="25329" xr:uid="{F97DCCFD-DAB9-4D5F-9CA8-0A5BCE30DFA2}"/>
    <cellStyle name="Normal 2 4 2 3 2 2 2 5 2 4" xfId="21118" xr:uid="{83338BBA-02BE-4F2C-805F-2B6016C9DDA9}"/>
    <cellStyle name="Normal 2 4 2 3 2 2 2 5 3" xfId="6333" xr:uid="{00000000-0005-0000-0000-0000A90E0000}"/>
    <cellStyle name="Normal 2 4 2 3 2 2 2 5 3 2" xfId="14762" xr:uid="{CD87C0BB-CB8E-4CC2-BFE5-1178C4242446}"/>
    <cellStyle name="Normal 2 4 2 3 2 2 2 5 3 3" xfId="27395" xr:uid="{3C80C1FE-73DB-4E97-B615-882F3CA72F57}"/>
    <cellStyle name="Normal 2 4 2 3 2 2 2 5 4" xfId="10544" xr:uid="{7DC9BF97-6CA6-4562-9AA7-C6291C8D6932}"/>
    <cellStyle name="Normal 2 4 2 3 2 2 2 5 4 2" xfId="23184" xr:uid="{6978ED32-6FA3-40AB-A19A-A031EAD9526D}"/>
    <cellStyle name="Normal 2 4 2 3 2 2 2 5 5" xfId="18973" xr:uid="{76650E7F-9134-41D0-BFCA-E93684559E85}"/>
    <cellStyle name="Normal 2 4 2 3 2 2 2 6" xfId="2461" xr:uid="{00000000-0005-0000-0000-0000AA0E0000}"/>
    <cellStyle name="Normal 2 4 2 3 2 2 2 6 2" xfId="6746" xr:uid="{00000000-0005-0000-0000-0000AB0E0000}"/>
    <cellStyle name="Normal 2 4 2 3 2 2 2 6 2 2" xfId="15175" xr:uid="{02407C25-ECCF-4083-90FC-777079D9C596}"/>
    <cellStyle name="Normal 2 4 2 3 2 2 2 6 2 3" xfId="27808" xr:uid="{E17D156C-780F-4D45-AB32-7154F53A076C}"/>
    <cellStyle name="Normal 2 4 2 3 2 2 2 6 3" xfId="10957" xr:uid="{2D102605-6C00-4A07-9C19-A8C1DF7009B6}"/>
    <cellStyle name="Normal 2 4 2 3 2 2 2 6 3 2" xfId="23597" xr:uid="{1C4C6F21-BEA8-418B-A573-E95D4FF28B06}"/>
    <cellStyle name="Normal 2 4 2 3 2 2 2 6 4" xfId="19386" xr:uid="{A7038FF3-64DA-4C6D-BB82-D2D6B09877EC}"/>
    <cellStyle name="Normal 2 4 2 3 2 2 2 7" xfId="4680" xr:uid="{00000000-0005-0000-0000-0000AC0E0000}"/>
    <cellStyle name="Normal 2 4 2 3 2 2 2 7 2" xfId="13109" xr:uid="{107D2418-830B-4518-A0E8-35A54BEEFE93}"/>
    <cellStyle name="Normal 2 4 2 3 2 2 2 7 3" xfId="25742" xr:uid="{0B508CA1-D15E-4A40-90FB-FE07BCBFFF39}"/>
    <cellStyle name="Normal 2 4 2 3 2 2 2 8" xfId="8891" xr:uid="{F0F6E97B-F6E4-43B3-8117-699191E4128C}"/>
    <cellStyle name="Normal 2 4 2 3 2 2 2 8 2" xfId="21531" xr:uid="{FAEFA605-D99F-4A05-A142-832A4211C241}"/>
    <cellStyle name="Normal 2 4 2 3 2 2 2 9" xfId="17320" xr:uid="{C9CF9E13-2898-4A60-AD61-F4F8A92F8ACC}"/>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DB2AD2EA-2BDB-4977-9775-E76475FCA23A}"/>
    <cellStyle name="Normal 2 4 2 3 2 2 3 2 2 3" xfId="28300" xr:uid="{8349BFF1-7E89-41BA-8B81-1E63C58671D4}"/>
    <cellStyle name="Normal 2 4 2 3 2 2 3 2 3" xfId="11449" xr:uid="{D4A19888-50DD-4F18-B285-14CB6A0F1C9D}"/>
    <cellStyle name="Normal 2 4 2 3 2 2 3 2 3 2" xfId="24089" xr:uid="{7B2DB067-B321-47A8-B0D2-B675282B5748}"/>
    <cellStyle name="Normal 2 4 2 3 2 2 3 2 4" xfId="19878" xr:uid="{A0453CC7-CDD5-466E-BBDC-2B6B040B47B9}"/>
    <cellStyle name="Normal 2 4 2 3 2 2 3 3" xfId="5093" xr:uid="{00000000-0005-0000-0000-0000B00E0000}"/>
    <cellStyle name="Normal 2 4 2 3 2 2 3 3 2" xfId="13522" xr:uid="{4796B86A-3D52-4F3B-B4D1-0DC19988A38F}"/>
    <cellStyle name="Normal 2 4 2 3 2 2 3 3 3" xfId="26155" xr:uid="{9A764781-A44D-4989-8A6D-E5F668BB266A}"/>
    <cellStyle name="Normal 2 4 2 3 2 2 3 4" xfId="9304" xr:uid="{77B5DB46-7671-44CF-90F0-62C56F380A66}"/>
    <cellStyle name="Normal 2 4 2 3 2 2 3 4 2" xfId="21944" xr:uid="{E72744A1-2178-4989-8F5B-346B396295FC}"/>
    <cellStyle name="Normal 2 4 2 3 2 2 3 5" xfId="17733" xr:uid="{F7C448FD-1EA0-4B49-BDD7-F051C6247A6A}"/>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A856C5CB-1763-49BC-A1F7-BE7CBC7A27C6}"/>
    <cellStyle name="Normal 2 4 2 3 2 2 4 2 2 3" xfId="28713" xr:uid="{A4317184-B6F4-4025-AD46-ED3ABACFFF50}"/>
    <cellStyle name="Normal 2 4 2 3 2 2 4 2 3" xfId="11862" xr:uid="{9AE61C4F-3DB8-4F2C-977B-770C77E5A20F}"/>
    <cellStyle name="Normal 2 4 2 3 2 2 4 2 3 2" xfId="24502" xr:uid="{63A7BAB4-047E-4DD3-A920-D02E946407C6}"/>
    <cellStyle name="Normal 2 4 2 3 2 2 4 2 4" xfId="20291" xr:uid="{E63EE8BA-D587-454E-8692-7498C0CFBCFF}"/>
    <cellStyle name="Normal 2 4 2 3 2 2 4 3" xfId="5506" xr:uid="{00000000-0005-0000-0000-0000B40E0000}"/>
    <cellStyle name="Normal 2 4 2 3 2 2 4 3 2" xfId="13935" xr:uid="{03358565-54C2-469C-81C3-8FFC976B2EB2}"/>
    <cellStyle name="Normal 2 4 2 3 2 2 4 3 3" xfId="26568" xr:uid="{A3BC7E5D-F3B7-4B69-87CC-610C6A75E19C}"/>
    <cellStyle name="Normal 2 4 2 3 2 2 4 4" xfId="9717" xr:uid="{F15DAFAB-EE35-4DE3-B1C6-3C71EAFB7CC1}"/>
    <cellStyle name="Normal 2 4 2 3 2 2 4 4 2" xfId="22357" xr:uid="{36705593-EB7E-4260-8540-A32466DC4A9B}"/>
    <cellStyle name="Normal 2 4 2 3 2 2 4 5" xfId="18146" xr:uid="{E2335357-8279-4FA7-A81A-36AB799FACFA}"/>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97A11998-2BC9-4226-9A70-FB7A7CFB9383}"/>
    <cellStyle name="Normal 2 4 2 3 2 2 5 2 2 3" xfId="29126" xr:uid="{B554EE81-423E-4B57-BE1C-6437E1B2A878}"/>
    <cellStyle name="Normal 2 4 2 3 2 2 5 2 3" xfId="12275" xr:uid="{19E87C73-2200-4F8D-9E05-4E85D0676171}"/>
    <cellStyle name="Normal 2 4 2 3 2 2 5 2 3 2" xfId="24915" xr:uid="{35BCCE7F-9EB3-4B56-88EF-FCB6FCC80FFC}"/>
    <cellStyle name="Normal 2 4 2 3 2 2 5 2 4" xfId="20704" xr:uid="{2027B096-6649-47F2-B0DA-49D9BE2DBF35}"/>
    <cellStyle name="Normal 2 4 2 3 2 2 5 3" xfId="5919" xr:uid="{00000000-0005-0000-0000-0000B80E0000}"/>
    <cellStyle name="Normal 2 4 2 3 2 2 5 3 2" xfId="14348" xr:uid="{7515E90A-B27F-4F3E-BADA-C6AC0EF4FB9A}"/>
    <cellStyle name="Normal 2 4 2 3 2 2 5 3 3" xfId="26981" xr:uid="{3F1475F5-CC73-4D06-8679-269080DC46D3}"/>
    <cellStyle name="Normal 2 4 2 3 2 2 5 4" xfId="10130" xr:uid="{1C687135-99B9-4A92-A717-A9F99B79941A}"/>
    <cellStyle name="Normal 2 4 2 3 2 2 5 4 2" xfId="22770" xr:uid="{B49C8681-AFCB-4A13-8E75-01276C4888B3}"/>
    <cellStyle name="Normal 2 4 2 3 2 2 5 5" xfId="18559" xr:uid="{2976590E-4A42-40CA-987E-2C7AA1E9E9B5}"/>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5A4ED83E-622D-49E3-BADF-4323E055F59B}"/>
    <cellStyle name="Normal 2 4 2 3 2 2 6 2 2 3" xfId="29539" xr:uid="{24B43F9A-EE76-4964-8EB5-67EF11D1DB0F}"/>
    <cellStyle name="Normal 2 4 2 3 2 2 6 2 3" xfId="12688" xr:uid="{8BBED74D-209F-4056-AD10-812EA201C4B0}"/>
    <cellStyle name="Normal 2 4 2 3 2 2 6 2 3 2" xfId="25328" xr:uid="{B72B1243-134B-4D4F-9FF9-70C497A53D46}"/>
    <cellStyle name="Normal 2 4 2 3 2 2 6 2 4" xfId="21117" xr:uid="{A4F9780F-9A50-425B-BB25-B5EE89DFA3A1}"/>
    <cellStyle name="Normal 2 4 2 3 2 2 6 3" xfId="6332" xr:uid="{00000000-0005-0000-0000-0000BC0E0000}"/>
    <cellStyle name="Normal 2 4 2 3 2 2 6 3 2" xfId="14761" xr:uid="{79F7F865-D6CF-4742-AA5D-A51A79FBFEB0}"/>
    <cellStyle name="Normal 2 4 2 3 2 2 6 3 3" xfId="27394" xr:uid="{5DC75CA6-FD7C-4DAF-9982-7401D1409448}"/>
    <cellStyle name="Normal 2 4 2 3 2 2 6 4" xfId="10543" xr:uid="{A3FE6BD8-BDFA-4907-A992-0E26EAEB7E3A}"/>
    <cellStyle name="Normal 2 4 2 3 2 2 6 4 2" xfId="23183" xr:uid="{6F6B6B64-D0A3-4CE5-AA29-237F572970C9}"/>
    <cellStyle name="Normal 2 4 2 3 2 2 6 5" xfId="18972" xr:uid="{EFB48B19-9BE7-4244-BAF9-7D3DD5AD83AC}"/>
    <cellStyle name="Normal 2 4 2 3 2 2 7" xfId="2460" xr:uid="{00000000-0005-0000-0000-0000BD0E0000}"/>
    <cellStyle name="Normal 2 4 2 3 2 2 7 2" xfId="6745" xr:uid="{00000000-0005-0000-0000-0000BE0E0000}"/>
    <cellStyle name="Normal 2 4 2 3 2 2 7 2 2" xfId="15174" xr:uid="{3938CCC1-24B6-4A00-ADF5-75F25AEBEA18}"/>
    <cellStyle name="Normal 2 4 2 3 2 2 7 2 3" xfId="27807" xr:uid="{FA740482-1CB5-4EFA-8CB0-80C54867AA58}"/>
    <cellStyle name="Normal 2 4 2 3 2 2 7 3" xfId="10956" xr:uid="{B5E8B508-5159-435E-A546-FCBE3849CD0C}"/>
    <cellStyle name="Normal 2 4 2 3 2 2 7 3 2" xfId="23596" xr:uid="{F3830E7D-5304-471B-8F2B-67B9E444D929}"/>
    <cellStyle name="Normal 2 4 2 3 2 2 7 4" xfId="19385" xr:uid="{8DB99E7C-D141-4674-9E4E-FF33721B2E45}"/>
    <cellStyle name="Normal 2 4 2 3 2 2 8" xfId="4679" xr:uid="{00000000-0005-0000-0000-0000BF0E0000}"/>
    <cellStyle name="Normal 2 4 2 3 2 2 8 2" xfId="13108" xr:uid="{73542A66-768A-4552-A00D-2663ECE4A079}"/>
    <cellStyle name="Normal 2 4 2 3 2 2 8 3" xfId="25741" xr:uid="{9E5B3F05-A1AF-435D-AB7D-548F72C20DD6}"/>
    <cellStyle name="Normal 2 4 2 3 2 2 9" xfId="8890" xr:uid="{2097C657-B960-4E8E-AD37-2882334D1E87}"/>
    <cellStyle name="Normal 2 4 2 3 2 2 9 2" xfId="21530" xr:uid="{93FF0F2C-300C-419A-BCD2-C359C9B17C9B}"/>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E29E7E1E-47E6-4E8B-AD6E-11ED3E0012B6}"/>
    <cellStyle name="Normal 2 4 2 3 2 3 2 2 2 3" xfId="28302" xr:uid="{F078E59B-8335-409C-BB87-F90A27557B1D}"/>
    <cellStyle name="Normal 2 4 2 3 2 3 2 2 3" xfId="11451" xr:uid="{B0246B5C-56B1-4CED-941F-04A1D92389AF}"/>
    <cellStyle name="Normal 2 4 2 3 2 3 2 2 3 2" xfId="24091" xr:uid="{D1BE4FF6-59BD-42B9-95F3-E00B49DC9EA4}"/>
    <cellStyle name="Normal 2 4 2 3 2 3 2 2 4" xfId="19880" xr:uid="{2A88C9F8-C60A-4041-9332-9718808BC527}"/>
    <cellStyle name="Normal 2 4 2 3 2 3 2 3" xfId="5095" xr:uid="{00000000-0005-0000-0000-0000C40E0000}"/>
    <cellStyle name="Normal 2 4 2 3 2 3 2 3 2" xfId="13524" xr:uid="{75EF0508-8AAD-47EF-B41B-D273DF607312}"/>
    <cellStyle name="Normal 2 4 2 3 2 3 2 3 3" xfId="26157" xr:uid="{91487C24-EE27-471D-B34F-8797BC1423E8}"/>
    <cellStyle name="Normal 2 4 2 3 2 3 2 4" xfId="9306" xr:uid="{0A067314-2B85-4C90-A78C-5FC3CADEDAA6}"/>
    <cellStyle name="Normal 2 4 2 3 2 3 2 4 2" xfId="21946" xr:uid="{14A347FF-4B23-4A91-B21B-51F6C49FE98D}"/>
    <cellStyle name="Normal 2 4 2 3 2 3 2 5" xfId="17735" xr:uid="{7C8812F8-4464-4601-BC1F-0979E3CB118F}"/>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3BB38A46-4A31-4010-BC84-097C6246A8E7}"/>
    <cellStyle name="Normal 2 4 2 3 2 3 3 2 2 3" xfId="28715" xr:uid="{F47EE2B9-DC30-4DC5-BDA8-7957A11D5386}"/>
    <cellStyle name="Normal 2 4 2 3 2 3 3 2 3" xfId="11864" xr:uid="{04147A82-8ECC-4A71-9301-1270DF0CE811}"/>
    <cellStyle name="Normal 2 4 2 3 2 3 3 2 3 2" xfId="24504" xr:uid="{9D9FE1B4-6599-4821-9275-34078F08D9B6}"/>
    <cellStyle name="Normal 2 4 2 3 2 3 3 2 4" xfId="20293" xr:uid="{07FD5ADB-6A17-420E-AFDE-7FAE643E4A4F}"/>
    <cellStyle name="Normal 2 4 2 3 2 3 3 3" xfId="5508" xr:uid="{00000000-0005-0000-0000-0000C80E0000}"/>
    <cellStyle name="Normal 2 4 2 3 2 3 3 3 2" xfId="13937" xr:uid="{C218F925-ABB0-4662-8291-2857AC34F632}"/>
    <cellStyle name="Normal 2 4 2 3 2 3 3 3 3" xfId="26570" xr:uid="{A201B089-4F86-43C6-9DFC-75090F6B5F9A}"/>
    <cellStyle name="Normal 2 4 2 3 2 3 3 4" xfId="9719" xr:uid="{895B0298-7F55-4452-A798-BADFBA52EB3A}"/>
    <cellStyle name="Normal 2 4 2 3 2 3 3 4 2" xfId="22359" xr:uid="{6C5F2B6E-6F2B-41DF-B592-7BC2B39EFBE1}"/>
    <cellStyle name="Normal 2 4 2 3 2 3 3 5" xfId="18148" xr:uid="{4FE77D50-6150-4557-80BF-B2D63B22F53F}"/>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67FFD855-65CC-4DDB-BCAB-B6D515C6FA0A}"/>
    <cellStyle name="Normal 2 4 2 3 2 3 4 2 2 3" xfId="29128" xr:uid="{53AF92E0-23D7-4EBF-A93A-E108847AE103}"/>
    <cellStyle name="Normal 2 4 2 3 2 3 4 2 3" xfId="12277" xr:uid="{86C2642A-041A-48F7-B43B-D161D0C8DEE9}"/>
    <cellStyle name="Normal 2 4 2 3 2 3 4 2 3 2" xfId="24917" xr:uid="{18F50A72-9631-4EE8-8B92-E5B09322A0E9}"/>
    <cellStyle name="Normal 2 4 2 3 2 3 4 2 4" xfId="20706" xr:uid="{12455E36-E4C2-4ED5-8A56-302855683AD2}"/>
    <cellStyle name="Normal 2 4 2 3 2 3 4 3" xfId="5921" xr:uid="{00000000-0005-0000-0000-0000CC0E0000}"/>
    <cellStyle name="Normal 2 4 2 3 2 3 4 3 2" xfId="14350" xr:uid="{598EDA85-35D1-4202-BEA9-C5D107870C4C}"/>
    <cellStyle name="Normal 2 4 2 3 2 3 4 3 3" xfId="26983" xr:uid="{683B509E-53A2-4592-9664-B02671E13DB4}"/>
    <cellStyle name="Normal 2 4 2 3 2 3 4 4" xfId="10132" xr:uid="{382D6231-AE7A-4BB9-8AA8-D07DFCAE9791}"/>
    <cellStyle name="Normal 2 4 2 3 2 3 4 4 2" xfId="22772" xr:uid="{50BFBFBF-5441-471E-B3F3-2CE976A71C2F}"/>
    <cellStyle name="Normal 2 4 2 3 2 3 4 5" xfId="18561" xr:uid="{F08A3997-C83E-4020-AC58-634AAF5D5C43}"/>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8D803CFF-147A-4A16-A16B-4AE2A79F61DD}"/>
    <cellStyle name="Normal 2 4 2 3 2 3 5 2 2 3" xfId="29541" xr:uid="{7B274065-AA13-4054-9D84-0FB75561D9B4}"/>
    <cellStyle name="Normal 2 4 2 3 2 3 5 2 3" xfId="12690" xr:uid="{72EC723A-D461-4911-BA60-2E87372104F4}"/>
    <cellStyle name="Normal 2 4 2 3 2 3 5 2 3 2" xfId="25330" xr:uid="{BCB36943-ACF2-4ADC-8F2C-8B3FEFEF4277}"/>
    <cellStyle name="Normal 2 4 2 3 2 3 5 2 4" xfId="21119" xr:uid="{F710D23F-ED8B-4F3D-9A20-9EC7C0F59C43}"/>
    <cellStyle name="Normal 2 4 2 3 2 3 5 3" xfId="6334" xr:uid="{00000000-0005-0000-0000-0000D00E0000}"/>
    <cellStyle name="Normal 2 4 2 3 2 3 5 3 2" xfId="14763" xr:uid="{1866A4D2-FC74-4CC3-A3CE-C7A90ED6CDCB}"/>
    <cellStyle name="Normal 2 4 2 3 2 3 5 3 3" xfId="27396" xr:uid="{F492359B-96EE-4FB9-9798-34E16B2B2093}"/>
    <cellStyle name="Normal 2 4 2 3 2 3 5 4" xfId="10545" xr:uid="{B8A545E0-B47D-4B95-AC54-986E34715828}"/>
    <cellStyle name="Normal 2 4 2 3 2 3 5 4 2" xfId="23185" xr:uid="{1E9802FC-1D81-4033-BBE3-55D23AC11F9D}"/>
    <cellStyle name="Normal 2 4 2 3 2 3 5 5" xfId="18974" xr:uid="{29E28299-C7AB-4321-B78B-1170638798DB}"/>
    <cellStyle name="Normal 2 4 2 3 2 3 6" xfId="2462" xr:uid="{00000000-0005-0000-0000-0000D10E0000}"/>
    <cellStyle name="Normal 2 4 2 3 2 3 6 2" xfId="6747" xr:uid="{00000000-0005-0000-0000-0000D20E0000}"/>
    <cellStyle name="Normal 2 4 2 3 2 3 6 2 2" xfId="15176" xr:uid="{3578F8AD-3FAA-4508-9EAC-825C975A6501}"/>
    <cellStyle name="Normal 2 4 2 3 2 3 6 2 3" xfId="27809" xr:uid="{D307B65A-23FE-415B-9BF9-7102763632E9}"/>
    <cellStyle name="Normal 2 4 2 3 2 3 6 3" xfId="10958" xr:uid="{584A8EA4-DDD7-41DA-9710-4C3C5289DFDB}"/>
    <cellStyle name="Normal 2 4 2 3 2 3 6 3 2" xfId="23598" xr:uid="{E90B5D03-9BCC-43B7-BB25-76EA462E2A0C}"/>
    <cellStyle name="Normal 2 4 2 3 2 3 6 4" xfId="19387" xr:uid="{FA0D640E-6468-421D-9526-4AA56EF13946}"/>
    <cellStyle name="Normal 2 4 2 3 2 3 7" xfId="4681" xr:uid="{00000000-0005-0000-0000-0000D30E0000}"/>
    <cellStyle name="Normal 2 4 2 3 2 3 7 2" xfId="13110" xr:uid="{09E67AC3-E813-48E1-A488-7400F9CAD51E}"/>
    <cellStyle name="Normal 2 4 2 3 2 3 7 3" xfId="25743" xr:uid="{FCE75DED-8936-42C1-A215-C8AEADE772C8}"/>
    <cellStyle name="Normal 2 4 2 3 2 3 8" xfId="8892" xr:uid="{AAF1C549-677A-41FB-B699-09960DFDC508}"/>
    <cellStyle name="Normal 2 4 2 3 2 3 8 2" xfId="21532" xr:uid="{5AFCD187-1421-4358-9DA8-369CB407B89B}"/>
    <cellStyle name="Normal 2 4 2 3 2 3 9" xfId="17321" xr:uid="{6D30F526-76E7-433E-90AD-D5F24428253C}"/>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D43BFBB6-10A2-491A-B34C-881A8F71C53E}"/>
    <cellStyle name="Normal 2 4 2 3 2 4 2 2 3" xfId="28299" xr:uid="{E5939434-B528-4E31-9F88-66DCB381505E}"/>
    <cellStyle name="Normal 2 4 2 3 2 4 2 3" xfId="11448" xr:uid="{229D4F74-512B-44EA-B48C-BF35804EA9AE}"/>
    <cellStyle name="Normal 2 4 2 3 2 4 2 3 2" xfId="24088" xr:uid="{FBFA2AC2-383D-4319-B1F5-6E886CEE25B2}"/>
    <cellStyle name="Normal 2 4 2 3 2 4 2 4" xfId="19877" xr:uid="{F12A5A65-ACD8-43C8-90FF-F8A21DF5B188}"/>
    <cellStyle name="Normal 2 4 2 3 2 4 3" xfId="5092" xr:uid="{00000000-0005-0000-0000-0000D70E0000}"/>
    <cellStyle name="Normal 2 4 2 3 2 4 3 2" xfId="13521" xr:uid="{FC9ACFD4-5256-464B-A17A-84DB3188FF4A}"/>
    <cellStyle name="Normal 2 4 2 3 2 4 3 3" xfId="26154" xr:uid="{1EA504AD-4E08-4BA9-820F-DCADA484FD16}"/>
    <cellStyle name="Normal 2 4 2 3 2 4 4" xfId="9303" xr:uid="{ED2B5550-FF41-4E9F-8DC5-036D42BD2F7C}"/>
    <cellStyle name="Normal 2 4 2 3 2 4 4 2" xfId="21943" xr:uid="{50C2BC80-0DE2-463D-AF76-ADEFF321A9ED}"/>
    <cellStyle name="Normal 2 4 2 3 2 4 5" xfId="17732" xr:uid="{91597000-9C2D-4A0B-AF11-7A8E7E6EF90D}"/>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55551A36-4F14-4950-845C-DCC83E287E70}"/>
    <cellStyle name="Normal 2 4 2 3 2 5 2 2 3" xfId="28712" xr:uid="{B0180233-4209-42FA-BAD6-27C4311CB70D}"/>
    <cellStyle name="Normal 2 4 2 3 2 5 2 3" xfId="11861" xr:uid="{0ADF6B4E-603F-4F17-8CCA-F45EE46B014C}"/>
    <cellStyle name="Normal 2 4 2 3 2 5 2 3 2" xfId="24501" xr:uid="{0BFB13CB-BD72-451B-8E8A-6B60DA74C401}"/>
    <cellStyle name="Normal 2 4 2 3 2 5 2 4" xfId="20290" xr:uid="{52718F3E-B346-46AD-A668-8453D4CE7411}"/>
    <cellStyle name="Normal 2 4 2 3 2 5 3" xfId="5505" xr:uid="{00000000-0005-0000-0000-0000DB0E0000}"/>
    <cellStyle name="Normal 2 4 2 3 2 5 3 2" xfId="13934" xr:uid="{D6EE9630-836D-466C-B062-2D054D56B40A}"/>
    <cellStyle name="Normal 2 4 2 3 2 5 3 3" xfId="26567" xr:uid="{B480E903-5BAE-4A8D-A6DC-4CBA0610916C}"/>
    <cellStyle name="Normal 2 4 2 3 2 5 4" xfId="9716" xr:uid="{AE5A9ED5-F32D-43EA-9E2E-C8AC298469B5}"/>
    <cellStyle name="Normal 2 4 2 3 2 5 4 2" xfId="22356" xr:uid="{EBF2236A-8FAB-474B-AFF2-206B08896846}"/>
    <cellStyle name="Normal 2 4 2 3 2 5 5" xfId="18145" xr:uid="{C852E292-9839-4FB9-AEAA-BB2EB738C838}"/>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D4028483-AA8D-4CCD-B8DB-5801B360A344}"/>
    <cellStyle name="Normal 2 4 2 3 2 6 2 2 3" xfId="29125" xr:uid="{8F68726E-9401-4C0B-9C35-D3957F710EE3}"/>
    <cellStyle name="Normal 2 4 2 3 2 6 2 3" xfId="12274" xr:uid="{256569AE-4E72-4FC8-999B-6D053FAC379B}"/>
    <cellStyle name="Normal 2 4 2 3 2 6 2 3 2" xfId="24914" xr:uid="{153A42FB-E4F1-441E-AD04-B5711C9B4BB6}"/>
    <cellStyle name="Normal 2 4 2 3 2 6 2 4" xfId="20703" xr:uid="{88767965-D650-416E-8D96-752473C727F2}"/>
    <cellStyle name="Normal 2 4 2 3 2 6 3" xfId="5918" xr:uid="{00000000-0005-0000-0000-0000DF0E0000}"/>
    <cellStyle name="Normal 2 4 2 3 2 6 3 2" xfId="14347" xr:uid="{F17944D1-727D-4D9B-9CA5-15BC081067B9}"/>
    <cellStyle name="Normal 2 4 2 3 2 6 3 3" xfId="26980" xr:uid="{975B8C60-5342-4D0F-B6CB-B5400FD6246A}"/>
    <cellStyle name="Normal 2 4 2 3 2 6 4" xfId="10129" xr:uid="{6C5B228D-2A75-4AC7-8BE8-9336F82A1E67}"/>
    <cellStyle name="Normal 2 4 2 3 2 6 4 2" xfId="22769" xr:uid="{E1894D97-FACC-4862-BECA-E02FB9F0F04E}"/>
    <cellStyle name="Normal 2 4 2 3 2 6 5" xfId="18558" xr:uid="{EB4F4AD0-034F-47B5-AF5A-710E1781C1AC}"/>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785F40FF-8E39-4640-8676-955902D2F992}"/>
    <cellStyle name="Normal 2 4 2 3 2 7 2 2 3" xfId="29538" xr:uid="{C81F8B9F-7E75-45F0-8242-BB3AC84F0A72}"/>
    <cellStyle name="Normal 2 4 2 3 2 7 2 3" xfId="12687" xr:uid="{49C3065A-2A79-405A-B0C1-B8F219A8EB70}"/>
    <cellStyle name="Normal 2 4 2 3 2 7 2 3 2" xfId="25327" xr:uid="{1AEA69E5-434A-4A03-BD49-C6126A4C12E6}"/>
    <cellStyle name="Normal 2 4 2 3 2 7 2 4" xfId="21116" xr:uid="{6D20F4E5-FF7D-4509-8C61-A17DC4D6B197}"/>
    <cellStyle name="Normal 2 4 2 3 2 7 3" xfId="6331" xr:uid="{00000000-0005-0000-0000-0000E30E0000}"/>
    <cellStyle name="Normal 2 4 2 3 2 7 3 2" xfId="14760" xr:uid="{B0F8BD5C-9DEF-45A5-B96E-4ECC153ED398}"/>
    <cellStyle name="Normal 2 4 2 3 2 7 3 3" xfId="27393" xr:uid="{57E9AB59-B34D-4488-8B30-D38FF0688CA4}"/>
    <cellStyle name="Normal 2 4 2 3 2 7 4" xfId="10542" xr:uid="{A9C2AA53-23CF-4DAF-96B9-7CE45119963B}"/>
    <cellStyle name="Normal 2 4 2 3 2 7 4 2" xfId="23182" xr:uid="{9BA010F6-AA34-4B7D-81DA-F99091294AF8}"/>
    <cellStyle name="Normal 2 4 2 3 2 7 5" xfId="18971" xr:uid="{98E72F5D-D51B-487D-B603-54214AD27AC3}"/>
    <cellStyle name="Normal 2 4 2 3 2 8" xfId="2459" xr:uid="{00000000-0005-0000-0000-0000E40E0000}"/>
    <cellStyle name="Normal 2 4 2 3 2 8 2" xfId="6744" xr:uid="{00000000-0005-0000-0000-0000E50E0000}"/>
    <cellStyle name="Normal 2 4 2 3 2 8 2 2" xfId="15173" xr:uid="{E296675F-2C9A-422A-A44C-F43BB9B21D28}"/>
    <cellStyle name="Normal 2 4 2 3 2 8 2 3" xfId="27806" xr:uid="{405BD306-3A35-4644-AD6B-8B62E7EAEBC7}"/>
    <cellStyle name="Normal 2 4 2 3 2 8 3" xfId="10955" xr:uid="{180D4CBD-74CE-48B7-BFEE-4717FB933E95}"/>
    <cellStyle name="Normal 2 4 2 3 2 8 3 2" xfId="23595" xr:uid="{E14563F1-437B-4201-870C-A3C775A74B9E}"/>
    <cellStyle name="Normal 2 4 2 3 2 8 4" xfId="19384" xr:uid="{C5A932F9-B30E-4342-B3D2-7270CDF6F947}"/>
    <cellStyle name="Normal 2 4 2 3 2 9" xfId="4678" xr:uid="{00000000-0005-0000-0000-0000E60E0000}"/>
    <cellStyle name="Normal 2 4 2 3 2 9 2" xfId="13107" xr:uid="{99DCDFF8-0CD9-45C3-B050-D6E1A6A11AC5}"/>
    <cellStyle name="Normal 2 4 2 3 2 9 3" xfId="25740" xr:uid="{6C776877-8EF3-406B-A50A-5F6F1855A261}"/>
    <cellStyle name="Normal 2 4 2 3 3" xfId="286" xr:uid="{00000000-0005-0000-0000-0000E70E0000}"/>
    <cellStyle name="Normal 2 4 2 3 3 10" xfId="17322" xr:uid="{39E59408-2904-40B9-BB6C-F4FA972A9FF6}"/>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EBC26874-6D3A-4108-A4EE-4B2B39A19C31}"/>
    <cellStyle name="Normal 2 4 2 3 3 2 2 2 2 3" xfId="28304" xr:uid="{52C6141E-09DC-440F-A689-292635C0BB9C}"/>
    <cellStyle name="Normal 2 4 2 3 3 2 2 2 3" xfId="11453" xr:uid="{F809E88B-92C3-4399-B89E-8D0A6FA7DE6F}"/>
    <cellStyle name="Normal 2 4 2 3 3 2 2 2 3 2" xfId="24093" xr:uid="{157B4565-F2E5-454A-BEE6-5A8C4937D486}"/>
    <cellStyle name="Normal 2 4 2 3 3 2 2 2 4" xfId="19882" xr:uid="{CC58A3F3-F45A-4DE6-9DF7-7DD991E5F1D9}"/>
    <cellStyle name="Normal 2 4 2 3 3 2 2 3" xfId="5097" xr:uid="{00000000-0005-0000-0000-0000EC0E0000}"/>
    <cellStyle name="Normal 2 4 2 3 3 2 2 3 2" xfId="13526" xr:uid="{6C6142FE-CFCF-4BC2-A9AF-C02E9E5AC560}"/>
    <cellStyle name="Normal 2 4 2 3 3 2 2 3 3" xfId="26159" xr:uid="{7C384E8F-72AB-4413-857C-35DB42DE93AD}"/>
    <cellStyle name="Normal 2 4 2 3 3 2 2 4" xfId="9308" xr:uid="{6B0088B3-19F3-46A0-854A-0711386C551E}"/>
    <cellStyle name="Normal 2 4 2 3 3 2 2 4 2" xfId="21948" xr:uid="{7B489D35-AC3A-46B9-BD34-A72AFBE4C4C2}"/>
    <cellStyle name="Normal 2 4 2 3 3 2 2 5" xfId="17737" xr:uid="{BE7629D6-81A2-4B53-92A2-E5564062C93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3CCF259E-C4CA-4496-9672-585CFF21289C}"/>
    <cellStyle name="Normal 2 4 2 3 3 2 3 2 2 3" xfId="28717" xr:uid="{72EECCF9-99E8-4A35-B2F7-69454DDC7941}"/>
    <cellStyle name="Normal 2 4 2 3 3 2 3 2 3" xfId="11866" xr:uid="{2FFECCB2-99C0-49EB-ACE7-623455280CC3}"/>
    <cellStyle name="Normal 2 4 2 3 3 2 3 2 3 2" xfId="24506" xr:uid="{6ECD84A1-8EE6-43E8-AD2A-9F85057ACB85}"/>
    <cellStyle name="Normal 2 4 2 3 3 2 3 2 4" xfId="20295" xr:uid="{595964A6-857F-4748-931B-973D804E8EBD}"/>
    <cellStyle name="Normal 2 4 2 3 3 2 3 3" xfId="5510" xr:uid="{00000000-0005-0000-0000-0000F00E0000}"/>
    <cellStyle name="Normal 2 4 2 3 3 2 3 3 2" xfId="13939" xr:uid="{B0EA9BEE-7BC4-4696-B8A8-C0748D7CB3C2}"/>
    <cellStyle name="Normal 2 4 2 3 3 2 3 3 3" xfId="26572" xr:uid="{3878CD93-487A-48AB-B1E4-048726100E31}"/>
    <cellStyle name="Normal 2 4 2 3 3 2 3 4" xfId="9721" xr:uid="{59675CBC-947B-438D-88D3-40511BB5143D}"/>
    <cellStyle name="Normal 2 4 2 3 3 2 3 4 2" xfId="22361" xr:uid="{BA608965-01CF-4560-BDE4-3B17B566C81D}"/>
    <cellStyle name="Normal 2 4 2 3 3 2 3 5" xfId="18150" xr:uid="{59C8D214-B058-436F-A351-B086BF639A49}"/>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5EA5C82F-0331-44AF-AECA-1E8047D1344F}"/>
    <cellStyle name="Normal 2 4 2 3 3 2 4 2 2 3" xfId="29130" xr:uid="{43ECED94-423A-4C48-98A2-CEC0A81CF266}"/>
    <cellStyle name="Normal 2 4 2 3 3 2 4 2 3" xfId="12279" xr:uid="{4F3A5B3C-D327-44D8-816F-81DE87852139}"/>
    <cellStyle name="Normal 2 4 2 3 3 2 4 2 3 2" xfId="24919" xr:uid="{53DB9D70-2B75-4311-AC0D-B17A36C06AC3}"/>
    <cellStyle name="Normal 2 4 2 3 3 2 4 2 4" xfId="20708" xr:uid="{A77F3820-5CDB-4C58-A748-881C1F8DBE80}"/>
    <cellStyle name="Normal 2 4 2 3 3 2 4 3" xfId="5923" xr:uid="{00000000-0005-0000-0000-0000F40E0000}"/>
    <cellStyle name="Normal 2 4 2 3 3 2 4 3 2" xfId="14352" xr:uid="{541AA517-6781-4E7F-9B73-289C250D2251}"/>
    <cellStyle name="Normal 2 4 2 3 3 2 4 3 3" xfId="26985" xr:uid="{7632DE47-45E2-4064-9E98-86E8D5093F4D}"/>
    <cellStyle name="Normal 2 4 2 3 3 2 4 4" xfId="10134" xr:uid="{642F34C5-18B5-4D5E-95AB-A34CDA005A1F}"/>
    <cellStyle name="Normal 2 4 2 3 3 2 4 4 2" xfId="22774" xr:uid="{6B68C289-B25A-444C-9AFC-799A5E88422C}"/>
    <cellStyle name="Normal 2 4 2 3 3 2 4 5" xfId="18563" xr:uid="{243321FD-DAC9-40F6-8E09-E56024130F11}"/>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AC7F3134-6BF8-40FD-AD48-F5933625A558}"/>
    <cellStyle name="Normal 2 4 2 3 3 2 5 2 2 3" xfId="29543" xr:uid="{83B32F0F-3A83-48C2-A0FB-8831416917DE}"/>
    <cellStyle name="Normal 2 4 2 3 3 2 5 2 3" xfId="12692" xr:uid="{C41F1670-1D47-4B1F-93D5-18023CF1BAEE}"/>
    <cellStyle name="Normal 2 4 2 3 3 2 5 2 3 2" xfId="25332" xr:uid="{4982F7CE-1CBC-4AC7-97A3-268BFD87E191}"/>
    <cellStyle name="Normal 2 4 2 3 3 2 5 2 4" xfId="21121" xr:uid="{117F95E5-7282-4912-A057-55A2DAE94B15}"/>
    <cellStyle name="Normal 2 4 2 3 3 2 5 3" xfId="6336" xr:uid="{00000000-0005-0000-0000-0000F80E0000}"/>
    <cellStyle name="Normal 2 4 2 3 3 2 5 3 2" xfId="14765" xr:uid="{F29FD222-9FD9-4024-A03A-0DE35A2B43B6}"/>
    <cellStyle name="Normal 2 4 2 3 3 2 5 3 3" xfId="27398" xr:uid="{F7603411-D845-4075-8968-FB64A860E665}"/>
    <cellStyle name="Normal 2 4 2 3 3 2 5 4" xfId="10547" xr:uid="{AA062EB2-1D49-43A9-89B2-DDC07E477D8B}"/>
    <cellStyle name="Normal 2 4 2 3 3 2 5 4 2" xfId="23187" xr:uid="{AA332106-900F-4F60-B749-30F5A69135C5}"/>
    <cellStyle name="Normal 2 4 2 3 3 2 5 5" xfId="18976" xr:uid="{BF9987FC-4A4E-48E5-97A2-AD47E61E4775}"/>
    <cellStyle name="Normal 2 4 2 3 3 2 6" xfId="2464" xr:uid="{00000000-0005-0000-0000-0000F90E0000}"/>
    <cellStyle name="Normal 2 4 2 3 3 2 6 2" xfId="6749" xr:uid="{00000000-0005-0000-0000-0000FA0E0000}"/>
    <cellStyle name="Normal 2 4 2 3 3 2 6 2 2" xfId="15178" xr:uid="{421A2DCA-FA8B-4803-A3FF-201DA591D271}"/>
    <cellStyle name="Normal 2 4 2 3 3 2 6 2 3" xfId="27811" xr:uid="{21CCCB32-C902-4BBF-A889-501DB84749C5}"/>
    <cellStyle name="Normal 2 4 2 3 3 2 6 3" xfId="10960" xr:uid="{25B2A149-10CA-4F62-A75E-5A7BA7FC03B7}"/>
    <cellStyle name="Normal 2 4 2 3 3 2 6 3 2" xfId="23600" xr:uid="{22EE8245-3BCF-4483-BE00-601BA1863EEB}"/>
    <cellStyle name="Normal 2 4 2 3 3 2 6 4" xfId="19389" xr:uid="{115C044C-42DF-47FE-BA1D-AB978563892C}"/>
    <cellStyle name="Normal 2 4 2 3 3 2 7" xfId="4683" xr:uid="{00000000-0005-0000-0000-0000FB0E0000}"/>
    <cellStyle name="Normal 2 4 2 3 3 2 7 2" xfId="13112" xr:uid="{E11333C5-36D4-41E7-A8AD-D8F4C26DBF9C}"/>
    <cellStyle name="Normal 2 4 2 3 3 2 7 3" xfId="25745" xr:uid="{1E3EB061-C304-4302-AD31-D5AC04DE5C8B}"/>
    <cellStyle name="Normal 2 4 2 3 3 2 8" xfId="8894" xr:uid="{7451198B-96AB-4A62-AAFF-77BC381E4AFB}"/>
    <cellStyle name="Normal 2 4 2 3 3 2 8 2" xfId="21534" xr:uid="{09EF0D98-494F-41FF-B516-267D71BDDB38}"/>
    <cellStyle name="Normal 2 4 2 3 3 2 9" xfId="17323" xr:uid="{A20E03DF-947D-4658-BA46-39BC06C6188C}"/>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6F77E005-3049-4DC3-9780-ED7243F5A70B}"/>
    <cellStyle name="Normal 2 4 2 3 3 3 2 2 3" xfId="28303" xr:uid="{7827C1BE-C50C-48EB-9604-C4EA0955B09A}"/>
    <cellStyle name="Normal 2 4 2 3 3 3 2 3" xfId="11452" xr:uid="{D46071F1-62C5-4DBC-929B-682858DBA0D0}"/>
    <cellStyle name="Normal 2 4 2 3 3 3 2 3 2" xfId="24092" xr:uid="{5058FC7E-6E95-4263-8F9D-AF504B0ED11F}"/>
    <cellStyle name="Normal 2 4 2 3 3 3 2 4" xfId="19881" xr:uid="{EB61905A-82DF-4308-83D0-D03ACF57EDA9}"/>
    <cellStyle name="Normal 2 4 2 3 3 3 3" xfId="5096" xr:uid="{00000000-0005-0000-0000-0000FF0E0000}"/>
    <cellStyle name="Normal 2 4 2 3 3 3 3 2" xfId="13525" xr:uid="{7E564312-AB92-41C7-ABB9-9139C8A2572E}"/>
    <cellStyle name="Normal 2 4 2 3 3 3 3 3" xfId="26158" xr:uid="{9FCC8717-752A-4238-B271-147392C47D61}"/>
    <cellStyle name="Normal 2 4 2 3 3 3 4" xfId="9307" xr:uid="{3D4AB585-3C53-4232-9A25-55F31974CEB9}"/>
    <cellStyle name="Normal 2 4 2 3 3 3 4 2" xfId="21947" xr:uid="{4803C89D-5B15-40E7-AF34-C230002025B1}"/>
    <cellStyle name="Normal 2 4 2 3 3 3 5" xfId="17736" xr:uid="{D91450E7-4FFB-4657-9BAC-4D622361B087}"/>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2C977F8B-1370-481B-9B4D-8BEC23F8ACA0}"/>
    <cellStyle name="Normal 2 4 2 3 3 4 2 2 3" xfId="28716" xr:uid="{66BFD678-3413-4E8D-84A0-7AF7CBCF9FFD}"/>
    <cellStyle name="Normal 2 4 2 3 3 4 2 3" xfId="11865" xr:uid="{1990CBDB-FE1C-4150-A175-F847EB2CA29B}"/>
    <cellStyle name="Normal 2 4 2 3 3 4 2 3 2" xfId="24505" xr:uid="{1DDB6A4E-A367-4789-A50D-62138D3EC897}"/>
    <cellStyle name="Normal 2 4 2 3 3 4 2 4" xfId="20294" xr:uid="{7DB90973-0202-4DBA-B911-A02BF7186B5E}"/>
    <cellStyle name="Normal 2 4 2 3 3 4 3" xfId="5509" xr:uid="{00000000-0005-0000-0000-0000030F0000}"/>
    <cellStyle name="Normal 2 4 2 3 3 4 3 2" xfId="13938" xr:uid="{988803B3-FD16-44CB-A74B-689C9F395D2E}"/>
    <cellStyle name="Normal 2 4 2 3 3 4 3 3" xfId="26571" xr:uid="{9DE23CF0-0DDB-4318-AFD8-57820F2CDADB}"/>
    <cellStyle name="Normal 2 4 2 3 3 4 4" xfId="9720" xr:uid="{A71CD47D-3493-4B17-83FD-4DC665C5BF49}"/>
    <cellStyle name="Normal 2 4 2 3 3 4 4 2" xfId="22360" xr:uid="{4502E525-1343-42C4-990C-E5D74BCC0821}"/>
    <cellStyle name="Normal 2 4 2 3 3 4 5" xfId="18149" xr:uid="{5ABB6E04-C9A1-4ED3-BB8D-FD902AB0FF58}"/>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4B1A9E92-BE91-4C64-B536-97F437F7A5B1}"/>
    <cellStyle name="Normal 2 4 2 3 3 5 2 2 3" xfId="29129" xr:uid="{3D3D9FAF-6DBA-45D0-872B-83E04C0D776F}"/>
    <cellStyle name="Normal 2 4 2 3 3 5 2 3" xfId="12278" xr:uid="{0B1B58C7-1406-416F-A1BF-319C3F85D59A}"/>
    <cellStyle name="Normal 2 4 2 3 3 5 2 3 2" xfId="24918" xr:uid="{6C7857A6-D8D3-48F5-9687-768C5C000766}"/>
    <cellStyle name="Normal 2 4 2 3 3 5 2 4" xfId="20707" xr:uid="{18ACDC5F-86AA-4591-A345-330511A7C6AA}"/>
    <cellStyle name="Normal 2 4 2 3 3 5 3" xfId="5922" xr:uid="{00000000-0005-0000-0000-0000070F0000}"/>
    <cellStyle name="Normal 2 4 2 3 3 5 3 2" xfId="14351" xr:uid="{6EF1BBD9-E3DA-45FE-9BC4-58F5E6ECAFE1}"/>
    <cellStyle name="Normal 2 4 2 3 3 5 3 3" xfId="26984" xr:uid="{978A260D-9D48-45BB-8D9D-88FE0CC393C0}"/>
    <cellStyle name="Normal 2 4 2 3 3 5 4" xfId="10133" xr:uid="{63B33A9B-4F5F-406E-9A24-2FE35E5AA628}"/>
    <cellStyle name="Normal 2 4 2 3 3 5 4 2" xfId="22773" xr:uid="{184EF79C-7002-435D-98CE-FE5D8BA10AA6}"/>
    <cellStyle name="Normal 2 4 2 3 3 5 5" xfId="18562" xr:uid="{7A5886E3-9437-4DA2-A070-4ED3E4B475C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3966BCF8-C6A9-42B6-927E-23C290C7F0B5}"/>
    <cellStyle name="Normal 2 4 2 3 3 6 2 2 3" xfId="29542" xr:uid="{38F4CCB7-C8C8-4F71-83F3-D81380FCD229}"/>
    <cellStyle name="Normal 2 4 2 3 3 6 2 3" xfId="12691" xr:uid="{D4467130-37CD-4FCC-A76A-8547F797B548}"/>
    <cellStyle name="Normal 2 4 2 3 3 6 2 3 2" xfId="25331" xr:uid="{C4637C49-4E03-4097-95E0-F1AC44D08FCE}"/>
    <cellStyle name="Normal 2 4 2 3 3 6 2 4" xfId="21120" xr:uid="{A0AE422D-E6F2-444E-AAA8-168A5E9B3F25}"/>
    <cellStyle name="Normal 2 4 2 3 3 6 3" xfId="6335" xr:uid="{00000000-0005-0000-0000-00000B0F0000}"/>
    <cellStyle name="Normal 2 4 2 3 3 6 3 2" xfId="14764" xr:uid="{163DE05F-8CCD-4214-A45F-3940D7189D81}"/>
    <cellStyle name="Normal 2 4 2 3 3 6 3 3" xfId="27397" xr:uid="{C0AE63EC-DE6C-4916-8F4D-28F7F697E3BE}"/>
    <cellStyle name="Normal 2 4 2 3 3 6 4" xfId="10546" xr:uid="{6FDA4A23-E2C6-4061-9579-3202E03573A8}"/>
    <cellStyle name="Normal 2 4 2 3 3 6 4 2" xfId="23186" xr:uid="{32E04B1B-8BDE-49FE-A69D-CE8843FC4536}"/>
    <cellStyle name="Normal 2 4 2 3 3 6 5" xfId="18975" xr:uid="{D75F7CDB-8EBF-44FA-BDAD-7FA80A1B8C0C}"/>
    <cellStyle name="Normal 2 4 2 3 3 7" xfId="2463" xr:uid="{00000000-0005-0000-0000-00000C0F0000}"/>
    <cellStyle name="Normal 2 4 2 3 3 7 2" xfId="6748" xr:uid="{00000000-0005-0000-0000-00000D0F0000}"/>
    <cellStyle name="Normal 2 4 2 3 3 7 2 2" xfId="15177" xr:uid="{FE563E1E-6C12-4A59-B98D-D31F9AEBCA9F}"/>
    <cellStyle name="Normal 2 4 2 3 3 7 2 3" xfId="27810" xr:uid="{62006FA0-EB6F-445F-B512-6655BEB2FF23}"/>
    <cellStyle name="Normal 2 4 2 3 3 7 3" xfId="10959" xr:uid="{97C2C4FE-3D30-485C-9133-783FCB05A2DC}"/>
    <cellStyle name="Normal 2 4 2 3 3 7 3 2" xfId="23599" xr:uid="{B04F6187-A9CE-4638-9C4C-5D2C793C6498}"/>
    <cellStyle name="Normal 2 4 2 3 3 7 4" xfId="19388" xr:uid="{691E2467-6565-4ED4-A069-DC478FF2F3AC}"/>
    <cellStyle name="Normal 2 4 2 3 3 8" xfId="4682" xr:uid="{00000000-0005-0000-0000-00000E0F0000}"/>
    <cellStyle name="Normal 2 4 2 3 3 8 2" xfId="13111" xr:uid="{6D7F16DE-ECB5-4F10-841C-D19A81CC6D3E}"/>
    <cellStyle name="Normal 2 4 2 3 3 8 3" xfId="25744" xr:uid="{7E0185E1-1A41-490E-B129-5FAC6890566A}"/>
    <cellStyle name="Normal 2 4 2 3 3 9" xfId="8893" xr:uid="{C5FA8B81-540D-48AF-B9CE-D681FDBC47E3}"/>
    <cellStyle name="Normal 2 4 2 3 3 9 2" xfId="21533" xr:uid="{27CDE5EF-821E-4A8F-997C-647EEC41851E}"/>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F7408671-9DE7-4A50-A4AE-DA6C26D7522D}"/>
    <cellStyle name="Normal 2 4 2 3 4 2 2 2 3" xfId="28305" xr:uid="{32D29C41-B3C0-4236-BDBC-630C0C6460E1}"/>
    <cellStyle name="Normal 2 4 2 3 4 2 2 3" xfId="11454" xr:uid="{C6A0C868-DCEC-4AB6-90BA-33594B015458}"/>
    <cellStyle name="Normal 2 4 2 3 4 2 2 3 2" xfId="24094" xr:uid="{CCA74AB0-EFD2-4219-BCB1-CED2C28B0F19}"/>
    <cellStyle name="Normal 2 4 2 3 4 2 2 4" xfId="19883" xr:uid="{C1FE752C-0177-4431-99E9-02F463FED729}"/>
    <cellStyle name="Normal 2 4 2 3 4 2 3" xfId="5098" xr:uid="{00000000-0005-0000-0000-0000130F0000}"/>
    <cellStyle name="Normal 2 4 2 3 4 2 3 2" xfId="13527" xr:uid="{EDF7E698-E94D-43E0-85FA-7F6F3F72BB44}"/>
    <cellStyle name="Normal 2 4 2 3 4 2 3 3" xfId="26160" xr:uid="{474FC807-FE95-4899-B7AB-646870365C50}"/>
    <cellStyle name="Normal 2 4 2 3 4 2 4" xfId="9309" xr:uid="{12CE4FDD-4ECC-40AA-9510-132EA7DC3184}"/>
    <cellStyle name="Normal 2 4 2 3 4 2 4 2" xfId="21949" xr:uid="{7749DBA4-5D23-4129-ABD3-429805376EC9}"/>
    <cellStyle name="Normal 2 4 2 3 4 2 5" xfId="17738" xr:uid="{C59157AA-C086-4014-88C0-04EF1ADE9F5A}"/>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6CB11F06-7842-46D8-8522-4FC48D29A40B}"/>
    <cellStyle name="Normal 2 4 2 3 4 3 2 2 3" xfId="28718" xr:uid="{7CD19513-A292-4A0D-BF70-092F115B249E}"/>
    <cellStyle name="Normal 2 4 2 3 4 3 2 3" xfId="11867" xr:uid="{33BF7505-D2FC-462D-B4CE-2A845B8206DE}"/>
    <cellStyle name="Normal 2 4 2 3 4 3 2 3 2" xfId="24507" xr:uid="{DF31A783-47A1-4036-9088-86CF6B5AD97C}"/>
    <cellStyle name="Normal 2 4 2 3 4 3 2 4" xfId="20296" xr:uid="{CB9A0A49-552C-4EA6-B0A3-08CCC9A328BE}"/>
    <cellStyle name="Normal 2 4 2 3 4 3 3" xfId="5511" xr:uid="{00000000-0005-0000-0000-0000170F0000}"/>
    <cellStyle name="Normal 2 4 2 3 4 3 3 2" xfId="13940" xr:uid="{3CBE6D23-528D-4B9C-B9A1-0A25E5236061}"/>
    <cellStyle name="Normal 2 4 2 3 4 3 3 3" xfId="26573" xr:uid="{C129C440-3F3A-4210-861B-09E96E5E912C}"/>
    <cellStyle name="Normal 2 4 2 3 4 3 4" xfId="9722" xr:uid="{82F8B8F2-0ED2-4222-9D8A-C8ED01BF137B}"/>
    <cellStyle name="Normal 2 4 2 3 4 3 4 2" xfId="22362" xr:uid="{64169BD4-39A3-49C5-81F9-9BF700143DB4}"/>
    <cellStyle name="Normal 2 4 2 3 4 3 5" xfId="18151" xr:uid="{8EEE8944-6A06-4B0E-B2D4-959693F6AF1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49AC360A-18A0-4C46-87B7-8A054EB84148}"/>
    <cellStyle name="Normal 2 4 2 3 4 4 2 2 3" xfId="29131" xr:uid="{216A19F3-755A-49A9-8729-F5AA18F5BBAD}"/>
    <cellStyle name="Normal 2 4 2 3 4 4 2 3" xfId="12280" xr:uid="{80875C95-ACEB-4903-A248-A130420F7E6F}"/>
    <cellStyle name="Normal 2 4 2 3 4 4 2 3 2" xfId="24920" xr:uid="{54662D54-650F-4DBB-96FF-30BB63C58F37}"/>
    <cellStyle name="Normal 2 4 2 3 4 4 2 4" xfId="20709" xr:uid="{8F7BCEBE-6992-4834-ACC3-5F745F3BCE87}"/>
    <cellStyle name="Normal 2 4 2 3 4 4 3" xfId="5924" xr:uid="{00000000-0005-0000-0000-00001B0F0000}"/>
    <cellStyle name="Normal 2 4 2 3 4 4 3 2" xfId="14353" xr:uid="{4C83883D-7EBF-4426-B2D9-1D210E6F6C01}"/>
    <cellStyle name="Normal 2 4 2 3 4 4 3 3" xfId="26986" xr:uid="{511E5B58-B2C9-41A3-93CC-786EA482C009}"/>
    <cellStyle name="Normal 2 4 2 3 4 4 4" xfId="10135" xr:uid="{F828A66B-FD3E-46B5-8B9D-C3B370D736DF}"/>
    <cellStyle name="Normal 2 4 2 3 4 4 4 2" xfId="22775" xr:uid="{6287CDD6-0F69-4134-A225-B6C9B72E19CC}"/>
    <cellStyle name="Normal 2 4 2 3 4 4 5" xfId="18564" xr:uid="{651A1433-7AB9-4BE6-9ADC-866276541383}"/>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B7BDC075-A0B5-456B-8737-451BE9829017}"/>
    <cellStyle name="Normal 2 4 2 3 4 5 2 2 3" xfId="29544" xr:uid="{87CE49C9-6B00-4A05-9610-88CBA2ED231D}"/>
    <cellStyle name="Normal 2 4 2 3 4 5 2 3" xfId="12693" xr:uid="{7D405262-D123-45E6-A802-5FA4AAB40B23}"/>
    <cellStyle name="Normal 2 4 2 3 4 5 2 3 2" xfId="25333" xr:uid="{983319AF-375F-498E-857F-A30D2CC648E0}"/>
    <cellStyle name="Normal 2 4 2 3 4 5 2 4" xfId="21122" xr:uid="{FC666355-1588-4FB4-9C21-BEE86E5D4124}"/>
    <cellStyle name="Normal 2 4 2 3 4 5 3" xfId="6337" xr:uid="{00000000-0005-0000-0000-00001F0F0000}"/>
    <cellStyle name="Normal 2 4 2 3 4 5 3 2" xfId="14766" xr:uid="{12AEE018-B714-4553-BC15-94736B9F5E30}"/>
    <cellStyle name="Normal 2 4 2 3 4 5 3 3" xfId="27399" xr:uid="{E0779837-922F-494A-95AA-954D0E74A5B0}"/>
    <cellStyle name="Normal 2 4 2 3 4 5 4" xfId="10548" xr:uid="{AB8CA390-2BD9-43E7-AE7F-2F14BAE710C1}"/>
    <cellStyle name="Normal 2 4 2 3 4 5 4 2" xfId="23188" xr:uid="{A393CF45-250F-4670-9B6E-F082E0F19B0C}"/>
    <cellStyle name="Normal 2 4 2 3 4 5 5" xfId="18977" xr:uid="{E19EB84A-0F2D-479F-BAEE-7539CEDB5BFE}"/>
    <cellStyle name="Normal 2 4 2 3 4 6" xfId="2465" xr:uid="{00000000-0005-0000-0000-0000200F0000}"/>
    <cellStyle name="Normal 2 4 2 3 4 6 2" xfId="6750" xr:uid="{00000000-0005-0000-0000-0000210F0000}"/>
    <cellStyle name="Normal 2 4 2 3 4 6 2 2" xfId="15179" xr:uid="{5F5C1A0A-C60E-4667-B79E-7557FDC51D64}"/>
    <cellStyle name="Normal 2 4 2 3 4 6 2 3" xfId="27812" xr:uid="{0665E664-77B2-40A2-83E9-56D133F851E3}"/>
    <cellStyle name="Normal 2 4 2 3 4 6 3" xfId="10961" xr:uid="{A76AD269-15A8-4501-BB5F-EAE87B527147}"/>
    <cellStyle name="Normal 2 4 2 3 4 6 3 2" xfId="23601" xr:uid="{4F4D4451-207B-4705-9981-70649F006CB3}"/>
    <cellStyle name="Normal 2 4 2 3 4 6 4" xfId="19390" xr:uid="{0878866F-392A-4D8C-B8CF-03D574F5485A}"/>
    <cellStyle name="Normal 2 4 2 3 4 7" xfId="4684" xr:uid="{00000000-0005-0000-0000-0000220F0000}"/>
    <cellStyle name="Normal 2 4 2 3 4 7 2" xfId="13113" xr:uid="{F7000D2A-B6D4-4094-A9BE-987A140D2C88}"/>
    <cellStyle name="Normal 2 4 2 3 4 7 3" xfId="25746" xr:uid="{D0C8F97D-833C-4761-BE1A-AF7B1716E4EF}"/>
    <cellStyle name="Normal 2 4 2 3 4 8" xfId="8895" xr:uid="{8A1D6696-06FF-4FF1-B83D-CF79F675AD09}"/>
    <cellStyle name="Normal 2 4 2 3 4 8 2" xfId="21535" xr:uid="{A81D5CE9-2CFA-4385-B04E-BC3A098C024B}"/>
    <cellStyle name="Normal 2 4 2 3 4 9" xfId="17324" xr:uid="{9B3974AF-37B4-438C-9E6A-5190849F7D63}"/>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CAF55CD2-6742-488C-9E46-263A46312166}"/>
    <cellStyle name="Normal 2 4 2 3 5 2 2 3" xfId="28298" xr:uid="{3532DBA4-F21A-4711-8EB0-193F135F1D1A}"/>
    <cellStyle name="Normal 2 4 2 3 5 2 3" xfId="11447" xr:uid="{2A3439B0-94FB-42C5-A490-700F5582A8D4}"/>
    <cellStyle name="Normal 2 4 2 3 5 2 3 2" xfId="24087" xr:uid="{B42E9194-FBE8-4959-B50F-5386C1958BE3}"/>
    <cellStyle name="Normal 2 4 2 3 5 2 4" xfId="19876" xr:uid="{270B3132-8E67-4238-B0D0-5A5200D44A33}"/>
    <cellStyle name="Normal 2 4 2 3 5 3" xfId="5091" xr:uid="{00000000-0005-0000-0000-0000260F0000}"/>
    <cellStyle name="Normal 2 4 2 3 5 3 2" xfId="13520" xr:uid="{83F5FD1A-B271-426F-8B3C-665B63301C2E}"/>
    <cellStyle name="Normal 2 4 2 3 5 3 3" xfId="26153" xr:uid="{6D654CA9-8B14-466E-9C98-F523CE5D023A}"/>
    <cellStyle name="Normal 2 4 2 3 5 4" xfId="9302" xr:uid="{859CD3E1-50A9-4865-8530-1CCFF745AD75}"/>
    <cellStyle name="Normal 2 4 2 3 5 4 2" xfId="21942" xr:uid="{EF68E7C3-180F-4E33-8AB9-01F1646F833E}"/>
    <cellStyle name="Normal 2 4 2 3 5 5" xfId="17731" xr:uid="{0253FC54-2583-4450-81E9-AC87929DE1E1}"/>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6CB19E1A-682B-45F1-9D94-052D5E4598A8}"/>
    <cellStyle name="Normal 2 4 2 3 6 2 2 3" xfId="28711" xr:uid="{CD4A516D-10F9-4BDC-94B5-1EF02A674ACA}"/>
    <cellStyle name="Normal 2 4 2 3 6 2 3" xfId="11860" xr:uid="{70BC062D-5CD7-4758-852C-5078D2438D7A}"/>
    <cellStyle name="Normal 2 4 2 3 6 2 3 2" xfId="24500" xr:uid="{30E7AA43-1F51-423A-9617-E1CC11626C72}"/>
    <cellStyle name="Normal 2 4 2 3 6 2 4" xfId="20289" xr:uid="{2A56B241-B4E8-4678-ACFF-C45F1CF94B9B}"/>
    <cellStyle name="Normal 2 4 2 3 6 3" xfId="5504" xr:uid="{00000000-0005-0000-0000-00002A0F0000}"/>
    <cellStyle name="Normal 2 4 2 3 6 3 2" xfId="13933" xr:uid="{AB69DB96-D312-4B74-81EE-77D957647323}"/>
    <cellStyle name="Normal 2 4 2 3 6 3 3" xfId="26566" xr:uid="{39270A24-383D-4BD2-BB1E-FDD17C9C9D9F}"/>
    <cellStyle name="Normal 2 4 2 3 6 4" xfId="9715" xr:uid="{0A94D7CB-37D3-48CC-AAB6-C27097CE5144}"/>
    <cellStyle name="Normal 2 4 2 3 6 4 2" xfId="22355" xr:uid="{1B989B02-62B8-4460-844F-3203FBDB661A}"/>
    <cellStyle name="Normal 2 4 2 3 6 5" xfId="18144" xr:uid="{3A5E4C16-C477-4480-BC23-D6D2F91A6F54}"/>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8B7E634A-7435-4B1F-B234-DF8DA26D3C6E}"/>
    <cellStyle name="Normal 2 4 2 3 7 2 2 3" xfId="29124" xr:uid="{2E4ECF50-D7E9-42F3-BF49-B64F95FA834A}"/>
    <cellStyle name="Normal 2 4 2 3 7 2 3" xfId="12273" xr:uid="{82DC275F-F330-4B1E-BDFD-7B8C6FB559CC}"/>
    <cellStyle name="Normal 2 4 2 3 7 2 3 2" xfId="24913" xr:uid="{79733FC0-CF4F-4DFC-A742-B9F1F3332AC2}"/>
    <cellStyle name="Normal 2 4 2 3 7 2 4" xfId="20702" xr:uid="{931DE998-FF94-4325-854D-E36A92D6E14C}"/>
    <cellStyle name="Normal 2 4 2 3 7 3" xfId="5917" xr:uid="{00000000-0005-0000-0000-00002E0F0000}"/>
    <cellStyle name="Normal 2 4 2 3 7 3 2" xfId="14346" xr:uid="{7B5C574D-B99B-409C-B195-89FA17064F34}"/>
    <cellStyle name="Normal 2 4 2 3 7 3 3" xfId="26979" xr:uid="{72F8DE1D-9317-4EEB-8495-6B70FE67B7FA}"/>
    <cellStyle name="Normal 2 4 2 3 7 4" xfId="10128" xr:uid="{7A21958E-3F1B-41F8-BB9E-7D844C98CB6D}"/>
    <cellStyle name="Normal 2 4 2 3 7 4 2" xfId="22768" xr:uid="{FE5CB73E-26B7-4CC5-A67F-62CEDBDF14EB}"/>
    <cellStyle name="Normal 2 4 2 3 7 5" xfId="18557" xr:uid="{2DC42473-DE4B-4A42-AFE8-7D8150C9EE12}"/>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8973F597-D9E0-420E-BDE9-9D0FA284259D}"/>
    <cellStyle name="Normal 2 4 2 3 8 2 2 3" xfId="29537" xr:uid="{812BFE67-C67F-4D9E-9144-57D0329C9264}"/>
    <cellStyle name="Normal 2 4 2 3 8 2 3" xfId="12686" xr:uid="{B836BCF8-4762-4626-BF3F-A671126F9706}"/>
    <cellStyle name="Normal 2 4 2 3 8 2 3 2" xfId="25326" xr:uid="{165A2784-F987-4B13-9F62-B220DC287F38}"/>
    <cellStyle name="Normal 2 4 2 3 8 2 4" xfId="21115" xr:uid="{3FBB9752-4929-4BF3-96BB-D6AD904BCD6B}"/>
    <cellStyle name="Normal 2 4 2 3 8 3" xfId="6330" xr:uid="{00000000-0005-0000-0000-0000320F0000}"/>
    <cellStyle name="Normal 2 4 2 3 8 3 2" xfId="14759" xr:uid="{EFCCE65C-339C-4057-87F7-B6C844072F7E}"/>
    <cellStyle name="Normal 2 4 2 3 8 3 3" xfId="27392" xr:uid="{11AB3F4D-5924-4011-9FB3-C6264622E110}"/>
    <cellStyle name="Normal 2 4 2 3 8 4" xfId="10541" xr:uid="{B7E4A482-6028-4663-A090-B22342CC5A8F}"/>
    <cellStyle name="Normal 2 4 2 3 8 4 2" xfId="23181" xr:uid="{BBDF5A8E-0272-4E6E-B737-F77AE8758AA9}"/>
    <cellStyle name="Normal 2 4 2 3 8 5" xfId="18970" xr:uid="{50BDC6B5-E15B-4DD5-8539-C06ED5675A84}"/>
    <cellStyle name="Normal 2 4 2 3 9" xfId="2458" xr:uid="{00000000-0005-0000-0000-0000330F0000}"/>
    <cellStyle name="Normal 2 4 2 3 9 2" xfId="6743" xr:uid="{00000000-0005-0000-0000-0000340F0000}"/>
    <cellStyle name="Normal 2 4 2 3 9 2 2" xfId="15172" xr:uid="{2CC67C24-4B2A-41F2-9C2E-51034AB9C1B2}"/>
    <cellStyle name="Normal 2 4 2 3 9 2 3" xfId="27805" xr:uid="{96B17ECF-DF37-4572-BB81-77CFF5A8EFA0}"/>
    <cellStyle name="Normal 2 4 2 3 9 3" xfId="10954" xr:uid="{A583CF6F-F6C1-4BE8-9DF1-F4C02E4C1BC7}"/>
    <cellStyle name="Normal 2 4 2 3 9 3 2" xfId="23594" xr:uid="{65AC5023-5DF1-4706-BC57-E580EFE578B2}"/>
    <cellStyle name="Normal 2 4 2 3 9 4" xfId="19383" xr:uid="{C6BB4A0A-AC25-41AE-A0AD-E5C3A669603C}"/>
    <cellStyle name="Normal 2 4 2 4" xfId="289" xr:uid="{00000000-0005-0000-0000-0000350F0000}"/>
    <cellStyle name="Normal 2 4 2 4 10" xfId="8896" xr:uid="{6578E351-4B02-449B-AA70-DD3F547AC0BF}"/>
    <cellStyle name="Normal 2 4 2 4 10 2" xfId="21536" xr:uid="{F3352308-6316-4265-A32E-8DA9B1E87C33}"/>
    <cellStyle name="Normal 2 4 2 4 11" xfId="17325" xr:uid="{3B0E5360-7D4B-4CD2-8EAA-45A62C745C7A}"/>
    <cellStyle name="Normal 2 4 2 4 2" xfId="290" xr:uid="{00000000-0005-0000-0000-0000360F0000}"/>
    <cellStyle name="Normal 2 4 2 4 2 10" xfId="17326" xr:uid="{988DE41D-BE8D-4D8F-8C24-49C882ABFC2D}"/>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08C0EF92-DA80-4714-86ED-8701057435AC}"/>
    <cellStyle name="Normal 2 4 2 4 2 2 2 2 2 3" xfId="28308" xr:uid="{BAA59679-2205-451B-878A-9A6E9CE04D65}"/>
    <cellStyle name="Normal 2 4 2 4 2 2 2 2 3" xfId="11457" xr:uid="{44445AC9-E660-45C9-B835-3D2E08C921FF}"/>
    <cellStyle name="Normal 2 4 2 4 2 2 2 2 3 2" xfId="24097" xr:uid="{E9D3D92E-E0AA-4970-8E16-8865257963AE}"/>
    <cellStyle name="Normal 2 4 2 4 2 2 2 2 4" xfId="19886" xr:uid="{3B43CF8B-2399-4AC2-924A-6F5470BE37F9}"/>
    <cellStyle name="Normal 2 4 2 4 2 2 2 3" xfId="5101" xr:uid="{00000000-0005-0000-0000-00003B0F0000}"/>
    <cellStyle name="Normal 2 4 2 4 2 2 2 3 2" xfId="13530" xr:uid="{36CE6574-6DFB-4B54-927B-0E135E82A6BF}"/>
    <cellStyle name="Normal 2 4 2 4 2 2 2 3 3" xfId="26163" xr:uid="{A0341A29-083F-44E2-8A35-2323D7EBDDF1}"/>
    <cellStyle name="Normal 2 4 2 4 2 2 2 4" xfId="9312" xr:uid="{CC49AC22-27A3-4817-ABD7-BE943A6389E3}"/>
    <cellStyle name="Normal 2 4 2 4 2 2 2 4 2" xfId="21952" xr:uid="{9D4E8168-165A-429E-8837-4174F3501F23}"/>
    <cellStyle name="Normal 2 4 2 4 2 2 2 5" xfId="17741" xr:uid="{87278BB0-1576-47C9-8D89-A6CE20534DF1}"/>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44D514D2-D437-4BC6-B04B-2878CACA9D25}"/>
    <cellStyle name="Normal 2 4 2 4 2 2 3 2 2 3" xfId="28721" xr:uid="{F165A595-3E65-4465-ABF2-3CD15107454C}"/>
    <cellStyle name="Normal 2 4 2 4 2 2 3 2 3" xfId="11870" xr:uid="{AFCA3A34-BEE9-4D55-896B-EB6C202F24B0}"/>
    <cellStyle name="Normal 2 4 2 4 2 2 3 2 3 2" xfId="24510" xr:uid="{BB141390-D374-4B4A-8BCF-226144F745AF}"/>
    <cellStyle name="Normal 2 4 2 4 2 2 3 2 4" xfId="20299" xr:uid="{DCB50237-4DC6-4BBC-844B-32596D2A0E1F}"/>
    <cellStyle name="Normal 2 4 2 4 2 2 3 3" xfId="5514" xr:uid="{00000000-0005-0000-0000-00003F0F0000}"/>
    <cellStyle name="Normal 2 4 2 4 2 2 3 3 2" xfId="13943" xr:uid="{E9883788-1548-4899-AC42-043B63D2B24E}"/>
    <cellStyle name="Normal 2 4 2 4 2 2 3 3 3" xfId="26576" xr:uid="{FE6DFFF8-C409-48A3-A778-9F11FF604AA1}"/>
    <cellStyle name="Normal 2 4 2 4 2 2 3 4" xfId="9725" xr:uid="{12F11758-9F18-4773-84B7-ED15765263C1}"/>
    <cellStyle name="Normal 2 4 2 4 2 2 3 4 2" xfId="22365" xr:uid="{83A0AAEA-6D62-444E-9AA9-CC17E3837A17}"/>
    <cellStyle name="Normal 2 4 2 4 2 2 3 5" xfId="18154" xr:uid="{F0A41CA4-2584-418A-AAD4-26E382F2083E}"/>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42A62747-F5D4-4DB9-98B9-CA72A7796D17}"/>
    <cellStyle name="Normal 2 4 2 4 2 2 4 2 2 3" xfId="29134" xr:uid="{80F26168-D142-4231-AF5A-0ED78941B160}"/>
    <cellStyle name="Normal 2 4 2 4 2 2 4 2 3" xfId="12283" xr:uid="{BB10606A-F287-437C-A2F6-85851A8F6406}"/>
    <cellStyle name="Normal 2 4 2 4 2 2 4 2 3 2" xfId="24923" xr:uid="{B82E7215-68FD-434D-9D15-730F34E7941A}"/>
    <cellStyle name="Normal 2 4 2 4 2 2 4 2 4" xfId="20712" xr:uid="{447C6505-6700-4CD7-9253-E0DC4486A60A}"/>
    <cellStyle name="Normal 2 4 2 4 2 2 4 3" xfId="5927" xr:uid="{00000000-0005-0000-0000-0000430F0000}"/>
    <cellStyle name="Normal 2 4 2 4 2 2 4 3 2" xfId="14356" xr:uid="{02622079-B3E6-4B22-BE9F-B736AF1689B5}"/>
    <cellStyle name="Normal 2 4 2 4 2 2 4 3 3" xfId="26989" xr:uid="{1891488D-D59F-4EB2-B95C-ED37C3E2001A}"/>
    <cellStyle name="Normal 2 4 2 4 2 2 4 4" xfId="10138" xr:uid="{8211F30B-7312-44B3-AA14-403BC4906002}"/>
    <cellStyle name="Normal 2 4 2 4 2 2 4 4 2" xfId="22778" xr:uid="{3A722805-B9E8-43BF-853B-8B6DAFA363E6}"/>
    <cellStyle name="Normal 2 4 2 4 2 2 4 5" xfId="18567" xr:uid="{01533CF4-27D1-477F-A675-21FE4370C54C}"/>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54E289C1-CD65-4730-80C2-CE4EBE7C9FD3}"/>
    <cellStyle name="Normal 2 4 2 4 2 2 5 2 2 3" xfId="29547" xr:uid="{63EBF1DB-AAE0-4056-90D3-8A0FFBB992EC}"/>
    <cellStyle name="Normal 2 4 2 4 2 2 5 2 3" xfId="12696" xr:uid="{8D9C5DE2-970E-477F-BCCC-BBD06421F584}"/>
    <cellStyle name="Normal 2 4 2 4 2 2 5 2 3 2" xfId="25336" xr:uid="{B6773CE3-C846-4C2E-84EB-FAAAD3827828}"/>
    <cellStyle name="Normal 2 4 2 4 2 2 5 2 4" xfId="21125" xr:uid="{1789925D-C666-4B67-9690-9FCA681A3934}"/>
    <cellStyle name="Normal 2 4 2 4 2 2 5 3" xfId="6340" xr:uid="{00000000-0005-0000-0000-0000470F0000}"/>
    <cellStyle name="Normal 2 4 2 4 2 2 5 3 2" xfId="14769" xr:uid="{287407C9-756C-45F1-AB6B-A2E32EE7E282}"/>
    <cellStyle name="Normal 2 4 2 4 2 2 5 3 3" xfId="27402" xr:uid="{B47EC79E-CF8D-41CF-B84C-9EFC490591EB}"/>
    <cellStyle name="Normal 2 4 2 4 2 2 5 4" xfId="10551" xr:uid="{D17638C2-DE9C-4388-8342-E651F9C2A057}"/>
    <cellStyle name="Normal 2 4 2 4 2 2 5 4 2" xfId="23191" xr:uid="{AF78344A-7A92-42CD-AEEA-DC112206F581}"/>
    <cellStyle name="Normal 2 4 2 4 2 2 5 5" xfId="18980" xr:uid="{A580F90D-88F1-4180-B93A-AF6B4416C266}"/>
    <cellStyle name="Normal 2 4 2 4 2 2 6" xfId="2468" xr:uid="{00000000-0005-0000-0000-0000480F0000}"/>
    <cellStyle name="Normal 2 4 2 4 2 2 6 2" xfId="6753" xr:uid="{00000000-0005-0000-0000-0000490F0000}"/>
    <cellStyle name="Normal 2 4 2 4 2 2 6 2 2" xfId="15182" xr:uid="{4424BB22-9116-4263-8427-FF2FEC99BF31}"/>
    <cellStyle name="Normal 2 4 2 4 2 2 6 2 3" xfId="27815" xr:uid="{703CBE73-DFD1-4BAE-A52F-F0526CF0B942}"/>
    <cellStyle name="Normal 2 4 2 4 2 2 6 3" xfId="10964" xr:uid="{1F3C81A5-2FCE-41E3-8B26-20036B89E33B}"/>
    <cellStyle name="Normal 2 4 2 4 2 2 6 3 2" xfId="23604" xr:uid="{1F916D87-0399-4A80-B3D4-2A516FD26E10}"/>
    <cellStyle name="Normal 2 4 2 4 2 2 6 4" xfId="19393" xr:uid="{3AC4C25F-AF8B-4655-8E02-E753CAD16013}"/>
    <cellStyle name="Normal 2 4 2 4 2 2 7" xfId="4687" xr:uid="{00000000-0005-0000-0000-00004A0F0000}"/>
    <cellStyle name="Normal 2 4 2 4 2 2 7 2" xfId="13116" xr:uid="{BFFDCA44-384B-40C2-91FB-C04ACA0E0503}"/>
    <cellStyle name="Normal 2 4 2 4 2 2 7 3" xfId="25749" xr:uid="{821CBC5F-67AB-4BA5-8E43-7385DE71CAC2}"/>
    <cellStyle name="Normal 2 4 2 4 2 2 8" xfId="8898" xr:uid="{6A846B3E-F131-4AA2-B3DC-46DCF61E6ED5}"/>
    <cellStyle name="Normal 2 4 2 4 2 2 8 2" xfId="21538" xr:uid="{6A4B10A1-5E4D-4AD4-82D6-E1F14DADD4F8}"/>
    <cellStyle name="Normal 2 4 2 4 2 2 9" xfId="17327" xr:uid="{8FC38850-87E3-4A17-B298-F32B44D0A5C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F38568F7-FB48-440A-83FF-CC57B9BBE6F4}"/>
    <cellStyle name="Normal 2 4 2 4 2 3 2 2 3" xfId="28307" xr:uid="{7021FD07-286D-4E6C-BE35-4461F7AEBEA7}"/>
    <cellStyle name="Normal 2 4 2 4 2 3 2 3" xfId="11456" xr:uid="{8B0EF432-5AA0-41FA-A3E6-6D87D183CEEB}"/>
    <cellStyle name="Normal 2 4 2 4 2 3 2 3 2" xfId="24096" xr:uid="{F9870CDD-D07E-4F23-9BEE-1D12FF24AEED}"/>
    <cellStyle name="Normal 2 4 2 4 2 3 2 4" xfId="19885" xr:uid="{9148D421-2BAD-495F-B341-3C8C4412A4C1}"/>
    <cellStyle name="Normal 2 4 2 4 2 3 3" xfId="5100" xr:uid="{00000000-0005-0000-0000-00004E0F0000}"/>
    <cellStyle name="Normal 2 4 2 4 2 3 3 2" xfId="13529" xr:uid="{699BDBBB-D08B-477B-B558-030E158B545A}"/>
    <cellStyle name="Normal 2 4 2 4 2 3 3 3" xfId="26162" xr:uid="{2EF674B9-9A0E-4ED0-BE32-5789F433F493}"/>
    <cellStyle name="Normal 2 4 2 4 2 3 4" xfId="9311" xr:uid="{C10A01D0-C7D0-402F-BF46-8A684AFDF4A9}"/>
    <cellStyle name="Normal 2 4 2 4 2 3 4 2" xfId="21951" xr:uid="{2B99DBB2-2F4F-4815-B68D-19D65BDB9C58}"/>
    <cellStyle name="Normal 2 4 2 4 2 3 5" xfId="17740" xr:uid="{8B6EF596-CFD0-4DB7-8E06-43402C568C4B}"/>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667F0548-7794-489D-8D61-54DF12E3C633}"/>
    <cellStyle name="Normal 2 4 2 4 2 4 2 2 3" xfId="28720" xr:uid="{28727394-C224-4542-9350-A3D6123FCA74}"/>
    <cellStyle name="Normal 2 4 2 4 2 4 2 3" xfId="11869" xr:uid="{E889AF17-54AE-4E42-B4A7-79DB05368F72}"/>
    <cellStyle name="Normal 2 4 2 4 2 4 2 3 2" xfId="24509" xr:uid="{03667C23-0798-4EFD-AB32-C3F13EDAD401}"/>
    <cellStyle name="Normal 2 4 2 4 2 4 2 4" xfId="20298" xr:uid="{12DBCF4D-AC4F-4CB8-8749-AEFA130820C3}"/>
    <cellStyle name="Normal 2 4 2 4 2 4 3" xfId="5513" xr:uid="{00000000-0005-0000-0000-0000520F0000}"/>
    <cellStyle name="Normal 2 4 2 4 2 4 3 2" xfId="13942" xr:uid="{92605A7E-E10D-4C04-8577-5E8D6063C7DD}"/>
    <cellStyle name="Normal 2 4 2 4 2 4 3 3" xfId="26575" xr:uid="{BE328611-2934-4566-8EC8-02C86EF71DD0}"/>
    <cellStyle name="Normal 2 4 2 4 2 4 4" xfId="9724" xr:uid="{CB7E31B2-A402-464A-BF17-A0902A3CF06F}"/>
    <cellStyle name="Normal 2 4 2 4 2 4 4 2" xfId="22364" xr:uid="{10D1FCDD-FB60-45BD-AFAC-F4AF6AFAA081}"/>
    <cellStyle name="Normal 2 4 2 4 2 4 5" xfId="18153" xr:uid="{9A3F2BAB-C6F6-461F-A591-170AB47C763E}"/>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0F71488E-5BF7-4FF2-BB03-746E1A18BA32}"/>
    <cellStyle name="Normal 2 4 2 4 2 5 2 2 3" xfId="29133" xr:uid="{D137EA3B-48C3-49AA-8EC2-7833827A07D5}"/>
    <cellStyle name="Normal 2 4 2 4 2 5 2 3" xfId="12282" xr:uid="{49DB519C-A9A7-41F5-A9C0-1FBF9C189DA7}"/>
    <cellStyle name="Normal 2 4 2 4 2 5 2 3 2" xfId="24922" xr:uid="{8EC13778-0436-4986-BB25-E2339F78F845}"/>
    <cellStyle name="Normal 2 4 2 4 2 5 2 4" xfId="20711" xr:uid="{F006F358-1AA9-40E6-91AB-F1C5ACB61A7B}"/>
    <cellStyle name="Normal 2 4 2 4 2 5 3" xfId="5926" xr:uid="{00000000-0005-0000-0000-0000560F0000}"/>
    <cellStyle name="Normal 2 4 2 4 2 5 3 2" xfId="14355" xr:uid="{8CAB445E-0CA3-4E47-9CC7-9C487E914C91}"/>
    <cellStyle name="Normal 2 4 2 4 2 5 3 3" xfId="26988" xr:uid="{AB311CDE-3BDB-4DFA-A1EE-98500B0BCFB3}"/>
    <cellStyle name="Normal 2 4 2 4 2 5 4" xfId="10137" xr:uid="{0F4C2F29-C6C4-4D27-829D-AA6B44E38734}"/>
    <cellStyle name="Normal 2 4 2 4 2 5 4 2" xfId="22777" xr:uid="{27284EDE-257C-4DDC-ADCD-D64C1846B2A5}"/>
    <cellStyle name="Normal 2 4 2 4 2 5 5" xfId="18566" xr:uid="{8DCE84FB-A5C4-4786-8B2B-BEC6AF1B0923}"/>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2BFEC94C-552C-4480-A570-42413555B7C1}"/>
    <cellStyle name="Normal 2 4 2 4 2 6 2 2 3" xfId="29546" xr:uid="{4A9C9C63-D4A7-43BB-BA1A-AA66D3D1C2D3}"/>
    <cellStyle name="Normal 2 4 2 4 2 6 2 3" xfId="12695" xr:uid="{6C3736A8-2CC4-4DD9-9156-FA14189DE6AC}"/>
    <cellStyle name="Normal 2 4 2 4 2 6 2 3 2" xfId="25335" xr:uid="{2295495A-C539-4663-83F2-402D7563D136}"/>
    <cellStyle name="Normal 2 4 2 4 2 6 2 4" xfId="21124" xr:uid="{312257FC-98CC-478B-9FAC-BEE79A037708}"/>
    <cellStyle name="Normal 2 4 2 4 2 6 3" xfId="6339" xr:uid="{00000000-0005-0000-0000-00005A0F0000}"/>
    <cellStyle name="Normal 2 4 2 4 2 6 3 2" xfId="14768" xr:uid="{9499EB5B-265F-4C91-B1EC-21C59511B192}"/>
    <cellStyle name="Normal 2 4 2 4 2 6 3 3" xfId="27401" xr:uid="{65192B0E-E283-4C92-BB71-17F212969C54}"/>
    <cellStyle name="Normal 2 4 2 4 2 6 4" xfId="10550" xr:uid="{7A32B100-0155-4099-B8DC-8B38286CF39B}"/>
    <cellStyle name="Normal 2 4 2 4 2 6 4 2" xfId="23190" xr:uid="{33057529-152C-4FFE-B348-3FCC2FE568E2}"/>
    <cellStyle name="Normal 2 4 2 4 2 6 5" xfId="18979" xr:uid="{9F0F135A-91FF-4411-9CF0-1B74C2DB6E70}"/>
    <cellStyle name="Normal 2 4 2 4 2 7" xfId="2467" xr:uid="{00000000-0005-0000-0000-00005B0F0000}"/>
    <cellStyle name="Normal 2 4 2 4 2 7 2" xfId="6752" xr:uid="{00000000-0005-0000-0000-00005C0F0000}"/>
    <cellStyle name="Normal 2 4 2 4 2 7 2 2" xfId="15181" xr:uid="{FBCFDD03-3D52-4DCA-BFC6-A907D89C844C}"/>
    <cellStyle name="Normal 2 4 2 4 2 7 2 3" xfId="27814" xr:uid="{7FFF805E-0999-41CE-9278-253272A01294}"/>
    <cellStyle name="Normal 2 4 2 4 2 7 3" xfId="10963" xr:uid="{0E0719F6-FDDA-410C-B5F9-B28A112604F9}"/>
    <cellStyle name="Normal 2 4 2 4 2 7 3 2" xfId="23603" xr:uid="{145D4151-8113-427B-878F-89777961BC45}"/>
    <cellStyle name="Normal 2 4 2 4 2 7 4" xfId="19392" xr:uid="{9B7D678A-A661-464E-8649-426FA61FD7BA}"/>
    <cellStyle name="Normal 2 4 2 4 2 8" xfId="4686" xr:uid="{00000000-0005-0000-0000-00005D0F0000}"/>
    <cellStyle name="Normal 2 4 2 4 2 8 2" xfId="13115" xr:uid="{0FDA3600-F95A-407B-993E-DFFAF3690244}"/>
    <cellStyle name="Normal 2 4 2 4 2 8 3" xfId="25748" xr:uid="{42C912E1-6587-45AC-B518-2750FFC55275}"/>
    <cellStyle name="Normal 2 4 2 4 2 9" xfId="8897" xr:uid="{547C4322-7E6E-41C5-8068-42EE2D0D65F2}"/>
    <cellStyle name="Normal 2 4 2 4 2 9 2" xfId="21537" xr:uid="{3C67FC45-20E6-4B1F-9918-44B0366AF0C2}"/>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93F56734-27B9-401C-8228-35359B9CF437}"/>
    <cellStyle name="Normal 2 4 2 4 3 2 2 2 3" xfId="28309" xr:uid="{725DE5A3-427B-4EC1-8D88-05F0D3BB955F}"/>
    <cellStyle name="Normal 2 4 2 4 3 2 2 3" xfId="11458" xr:uid="{0F1382EB-5628-488B-ABD4-F8F2DD44A94F}"/>
    <cellStyle name="Normal 2 4 2 4 3 2 2 3 2" xfId="24098" xr:uid="{4F5AFEB2-594D-4370-9015-F69D2B394FBE}"/>
    <cellStyle name="Normal 2 4 2 4 3 2 2 4" xfId="19887" xr:uid="{E23FC848-C186-40EE-8516-7B256B54808C}"/>
    <cellStyle name="Normal 2 4 2 4 3 2 3" xfId="5102" xr:uid="{00000000-0005-0000-0000-0000620F0000}"/>
    <cellStyle name="Normal 2 4 2 4 3 2 3 2" xfId="13531" xr:uid="{7C02F2A2-A294-44F0-832E-9F325B563D2A}"/>
    <cellStyle name="Normal 2 4 2 4 3 2 3 3" xfId="26164" xr:uid="{5CB76146-B591-49B3-8D53-153F51E9CF2B}"/>
    <cellStyle name="Normal 2 4 2 4 3 2 4" xfId="9313" xr:uid="{D5D6069C-5B1E-4844-B97D-296E5F8F0BE2}"/>
    <cellStyle name="Normal 2 4 2 4 3 2 4 2" xfId="21953" xr:uid="{AA23F08F-BCE8-4C26-83B7-CE2D42C24F2D}"/>
    <cellStyle name="Normal 2 4 2 4 3 2 5" xfId="17742" xr:uid="{D7C76482-9EEC-4B25-BD41-E3B468E5885E}"/>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1FCBA8D4-B209-4691-A8E5-1B64AEE74895}"/>
    <cellStyle name="Normal 2 4 2 4 3 3 2 2 3" xfId="28722" xr:uid="{1992D6AC-DA5F-4182-ABF4-E120EFBE1750}"/>
    <cellStyle name="Normal 2 4 2 4 3 3 2 3" xfId="11871" xr:uid="{394A3A59-FD4F-438A-B3B3-286A201F4787}"/>
    <cellStyle name="Normal 2 4 2 4 3 3 2 3 2" xfId="24511" xr:uid="{9FF24E2A-3A98-41B1-B93E-2AC4159E8A13}"/>
    <cellStyle name="Normal 2 4 2 4 3 3 2 4" xfId="20300" xr:uid="{ED1E90CF-1213-4B4C-B65D-1E2C77E0A843}"/>
    <cellStyle name="Normal 2 4 2 4 3 3 3" xfId="5515" xr:uid="{00000000-0005-0000-0000-0000660F0000}"/>
    <cellStyle name="Normal 2 4 2 4 3 3 3 2" xfId="13944" xr:uid="{7D6AF00B-EEA9-4A62-85FB-774746388BA2}"/>
    <cellStyle name="Normal 2 4 2 4 3 3 3 3" xfId="26577" xr:uid="{A3B508C0-5C89-4EC6-8DC4-0EE30E40CD71}"/>
    <cellStyle name="Normal 2 4 2 4 3 3 4" xfId="9726" xr:uid="{D271CA47-18AF-4988-9E1B-9FA032507ACA}"/>
    <cellStyle name="Normal 2 4 2 4 3 3 4 2" xfId="22366" xr:uid="{BF604D13-3050-4DC9-ABD3-F26E64CD1512}"/>
    <cellStyle name="Normal 2 4 2 4 3 3 5" xfId="18155" xr:uid="{D4B813C5-3FB7-4F96-AA54-46F3DF8055DD}"/>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72328EE0-DB7A-417E-93CD-C1C885A1E06C}"/>
    <cellStyle name="Normal 2 4 2 4 3 4 2 2 3" xfId="29135" xr:uid="{3352B17C-0599-4E1E-8425-A06228CEA728}"/>
    <cellStyle name="Normal 2 4 2 4 3 4 2 3" xfId="12284" xr:uid="{A6F53009-21D2-41D3-B1BD-E6E5F5412475}"/>
    <cellStyle name="Normal 2 4 2 4 3 4 2 3 2" xfId="24924" xr:uid="{3C506E94-6E2C-4B30-BFBC-021B2D53C9AA}"/>
    <cellStyle name="Normal 2 4 2 4 3 4 2 4" xfId="20713" xr:uid="{5241BCCA-28C8-4E43-B525-4B2D44159854}"/>
    <cellStyle name="Normal 2 4 2 4 3 4 3" xfId="5928" xr:uid="{00000000-0005-0000-0000-00006A0F0000}"/>
    <cellStyle name="Normal 2 4 2 4 3 4 3 2" xfId="14357" xr:uid="{2A54B8DC-D002-449E-ABEA-2F1F4FE4D9FE}"/>
    <cellStyle name="Normal 2 4 2 4 3 4 3 3" xfId="26990" xr:uid="{6BB17035-9DCE-487C-8A30-294ED4A2C2DE}"/>
    <cellStyle name="Normal 2 4 2 4 3 4 4" xfId="10139" xr:uid="{C0A3B634-2800-4D0C-905C-E6A692F02A33}"/>
    <cellStyle name="Normal 2 4 2 4 3 4 4 2" xfId="22779" xr:uid="{13D685E4-A89A-4C79-88B1-DD94B445A906}"/>
    <cellStyle name="Normal 2 4 2 4 3 4 5" xfId="18568" xr:uid="{4EC8199F-9CA6-4BF2-880D-DD2797D1E0DA}"/>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AF0EE4B3-B982-4806-89ED-40BF9C41C27D}"/>
    <cellStyle name="Normal 2 4 2 4 3 5 2 2 3" xfId="29548" xr:uid="{E9A9C82B-8BE4-4CC5-B5BA-53FF22C9437A}"/>
    <cellStyle name="Normal 2 4 2 4 3 5 2 3" xfId="12697" xr:uid="{B1AA3DF9-4B2F-4AB7-B8ED-0CEAE897AD03}"/>
    <cellStyle name="Normal 2 4 2 4 3 5 2 3 2" xfId="25337" xr:uid="{1C2291CA-538F-4D22-887C-76A910209E02}"/>
    <cellStyle name="Normal 2 4 2 4 3 5 2 4" xfId="21126" xr:uid="{0A726FF7-E9E4-4B8D-A568-68C465787FDB}"/>
    <cellStyle name="Normal 2 4 2 4 3 5 3" xfId="6341" xr:uid="{00000000-0005-0000-0000-00006E0F0000}"/>
    <cellStyle name="Normal 2 4 2 4 3 5 3 2" xfId="14770" xr:uid="{0D4B35B6-6CDB-4C5B-B790-E7A9F720D600}"/>
    <cellStyle name="Normal 2 4 2 4 3 5 3 3" xfId="27403" xr:uid="{0F9950B9-885C-4F83-8791-FB9922F3F2E0}"/>
    <cellStyle name="Normal 2 4 2 4 3 5 4" xfId="10552" xr:uid="{C436248C-661A-4ED9-80A1-94B4B1E68F2C}"/>
    <cellStyle name="Normal 2 4 2 4 3 5 4 2" xfId="23192" xr:uid="{83944D84-D6C1-445D-AB7A-DD90978AB15D}"/>
    <cellStyle name="Normal 2 4 2 4 3 5 5" xfId="18981" xr:uid="{CA3DA46E-FCCA-4831-919B-8C7B6D760226}"/>
    <cellStyle name="Normal 2 4 2 4 3 6" xfId="2469" xr:uid="{00000000-0005-0000-0000-00006F0F0000}"/>
    <cellStyle name="Normal 2 4 2 4 3 6 2" xfId="6754" xr:uid="{00000000-0005-0000-0000-0000700F0000}"/>
    <cellStyle name="Normal 2 4 2 4 3 6 2 2" xfId="15183" xr:uid="{00775A3E-B803-43D1-AFC9-04055264CD7B}"/>
    <cellStyle name="Normal 2 4 2 4 3 6 2 3" xfId="27816" xr:uid="{76D08D4B-32E1-4891-88C1-7370E2E13AB2}"/>
    <cellStyle name="Normal 2 4 2 4 3 6 3" xfId="10965" xr:uid="{6F696A1C-947E-440A-AA3A-361AAB5B1FD8}"/>
    <cellStyle name="Normal 2 4 2 4 3 6 3 2" xfId="23605" xr:uid="{C46BD22D-AE2F-4780-808C-8D40992064BC}"/>
    <cellStyle name="Normal 2 4 2 4 3 6 4" xfId="19394" xr:uid="{B8886B36-CA8C-4E1C-95F6-C00BB74DDCBA}"/>
    <cellStyle name="Normal 2 4 2 4 3 7" xfId="4688" xr:uid="{00000000-0005-0000-0000-0000710F0000}"/>
    <cellStyle name="Normal 2 4 2 4 3 7 2" xfId="13117" xr:uid="{286BD206-5ADC-43C8-8A95-6EBB29646321}"/>
    <cellStyle name="Normal 2 4 2 4 3 7 3" xfId="25750" xr:uid="{74461DB7-182B-47EC-B404-F94A2D109E20}"/>
    <cellStyle name="Normal 2 4 2 4 3 8" xfId="8899" xr:uid="{287019D3-651B-4013-8081-8012A7583773}"/>
    <cellStyle name="Normal 2 4 2 4 3 8 2" xfId="21539" xr:uid="{33D82479-EC40-4111-851A-2A7ADCD5DD5A}"/>
    <cellStyle name="Normal 2 4 2 4 3 9" xfId="17328" xr:uid="{EAC3B8CC-67EC-41F9-BFCC-E10C43DCDE13}"/>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C754ACA2-18E4-4070-97FE-053C62A03B7E}"/>
    <cellStyle name="Normal 2 4 2 4 4 2 2 3" xfId="28306" xr:uid="{5171275B-E49B-4402-A4FC-47321A5BA0BF}"/>
    <cellStyle name="Normal 2 4 2 4 4 2 3" xfId="11455" xr:uid="{FE9ABBFB-7BE6-43AC-8210-76B6B350ABF9}"/>
    <cellStyle name="Normal 2 4 2 4 4 2 3 2" xfId="24095" xr:uid="{134E544F-FCC0-4382-86EF-5500C322C98F}"/>
    <cellStyle name="Normal 2 4 2 4 4 2 4" xfId="19884" xr:uid="{7925241D-8F8D-418B-91DC-E5234F9A4D56}"/>
    <cellStyle name="Normal 2 4 2 4 4 3" xfId="5099" xr:uid="{00000000-0005-0000-0000-0000750F0000}"/>
    <cellStyle name="Normal 2 4 2 4 4 3 2" xfId="13528" xr:uid="{49EAC134-7C7D-411F-A97D-B24586B8E0B0}"/>
    <cellStyle name="Normal 2 4 2 4 4 3 3" xfId="26161" xr:uid="{80552375-8D5B-4657-9806-6DB97AD387D2}"/>
    <cellStyle name="Normal 2 4 2 4 4 4" xfId="9310" xr:uid="{4219FA98-E8CB-4CE4-8900-2140130B74E5}"/>
    <cellStyle name="Normal 2 4 2 4 4 4 2" xfId="21950" xr:uid="{56910BDE-170E-48AA-9822-C18206E8210C}"/>
    <cellStyle name="Normal 2 4 2 4 4 5" xfId="17739" xr:uid="{57A6B8BA-A3DE-40A5-9854-19123C12AB57}"/>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22CEC784-8457-43CF-8463-08092680122B}"/>
    <cellStyle name="Normal 2 4 2 4 5 2 2 3" xfId="28719" xr:uid="{D41A787D-6EE2-49DC-9E5C-4DB32B4B4FBF}"/>
    <cellStyle name="Normal 2 4 2 4 5 2 3" xfId="11868" xr:uid="{6A2E8C0A-7902-4586-8FBB-4F7F8AD06B00}"/>
    <cellStyle name="Normal 2 4 2 4 5 2 3 2" xfId="24508" xr:uid="{7A78C7ED-E0C6-4169-B011-D0F5F86D5519}"/>
    <cellStyle name="Normal 2 4 2 4 5 2 4" xfId="20297" xr:uid="{CBD0DBA1-74B6-42DA-8E1E-53BE0E1D1A1E}"/>
    <cellStyle name="Normal 2 4 2 4 5 3" xfId="5512" xr:uid="{00000000-0005-0000-0000-0000790F0000}"/>
    <cellStyle name="Normal 2 4 2 4 5 3 2" xfId="13941" xr:uid="{B83EAB49-CCF1-44C0-A3EE-B9B62BE30ECF}"/>
    <cellStyle name="Normal 2 4 2 4 5 3 3" xfId="26574" xr:uid="{EECCA00E-05E3-4088-B42E-10A864F32AAE}"/>
    <cellStyle name="Normal 2 4 2 4 5 4" xfId="9723" xr:uid="{A7CC33D1-1CA1-4FDB-84F0-56F3CCC14131}"/>
    <cellStyle name="Normal 2 4 2 4 5 4 2" xfId="22363" xr:uid="{55BED813-D92E-49C0-B162-554F921BE03E}"/>
    <cellStyle name="Normal 2 4 2 4 5 5" xfId="18152" xr:uid="{6616C0C1-41AA-4653-9E53-9687FBE99157}"/>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E03D6A32-4658-4113-863C-993F90FF97F0}"/>
    <cellStyle name="Normal 2 4 2 4 6 2 2 3" xfId="29132" xr:uid="{DFAAA965-D7A9-4CBC-901A-119F5D6442A1}"/>
    <cellStyle name="Normal 2 4 2 4 6 2 3" xfId="12281" xr:uid="{4A4B8793-F877-4EA7-BC3E-717AB86BE905}"/>
    <cellStyle name="Normal 2 4 2 4 6 2 3 2" xfId="24921" xr:uid="{6DC4CDF6-3CB4-4097-B89C-AFCF3C9B0655}"/>
    <cellStyle name="Normal 2 4 2 4 6 2 4" xfId="20710" xr:uid="{3BADB449-AED8-4FD0-973F-17D9B4A62429}"/>
    <cellStyle name="Normal 2 4 2 4 6 3" xfId="5925" xr:uid="{00000000-0005-0000-0000-00007D0F0000}"/>
    <cellStyle name="Normal 2 4 2 4 6 3 2" xfId="14354" xr:uid="{3FB0BF75-3AE2-4A7B-9519-D73E28551753}"/>
    <cellStyle name="Normal 2 4 2 4 6 3 3" xfId="26987" xr:uid="{82BDA954-A1AF-4E8E-8975-75E174EC31EB}"/>
    <cellStyle name="Normal 2 4 2 4 6 4" xfId="10136" xr:uid="{E3FFFF4C-0653-4810-B061-1F9E8E9E0878}"/>
    <cellStyle name="Normal 2 4 2 4 6 4 2" xfId="22776" xr:uid="{E0A862D2-32EC-419F-8976-DB584E998CFA}"/>
    <cellStyle name="Normal 2 4 2 4 6 5" xfId="18565" xr:uid="{279B837C-2F56-4DE2-A35D-E9E33051D7CB}"/>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ECFB2CFB-4D66-420D-85AE-26A03B4E6022}"/>
    <cellStyle name="Normal 2 4 2 4 7 2 2 3" xfId="29545" xr:uid="{7F0B8E78-F848-4924-8511-955CDEB148DE}"/>
    <cellStyle name="Normal 2 4 2 4 7 2 3" xfId="12694" xr:uid="{D1D584CC-5C2C-499F-9D9F-B13921BD5709}"/>
    <cellStyle name="Normal 2 4 2 4 7 2 3 2" xfId="25334" xr:uid="{A226D123-0759-447D-ADE2-B3B448DFCFE6}"/>
    <cellStyle name="Normal 2 4 2 4 7 2 4" xfId="21123" xr:uid="{764DAC8B-EC9F-4D82-89CF-E6E1BB668F7A}"/>
    <cellStyle name="Normal 2 4 2 4 7 3" xfId="6338" xr:uid="{00000000-0005-0000-0000-0000810F0000}"/>
    <cellStyle name="Normal 2 4 2 4 7 3 2" xfId="14767" xr:uid="{5474E91A-E356-4C50-81D1-BC6E88F94BD5}"/>
    <cellStyle name="Normal 2 4 2 4 7 3 3" xfId="27400" xr:uid="{FC1F4D9E-FA75-429C-A37E-5478E7F083B6}"/>
    <cellStyle name="Normal 2 4 2 4 7 4" xfId="10549" xr:uid="{2E63D270-EA5E-4277-97AC-5EA52FE81868}"/>
    <cellStyle name="Normal 2 4 2 4 7 4 2" xfId="23189" xr:uid="{D242F5EF-D249-4C4D-9FCE-70882BF87A3E}"/>
    <cellStyle name="Normal 2 4 2 4 7 5" xfId="18978" xr:uid="{6904F31D-C87E-4D6E-BA9F-EF8F2C4F0BDC}"/>
    <cellStyle name="Normal 2 4 2 4 8" xfId="2466" xr:uid="{00000000-0005-0000-0000-0000820F0000}"/>
    <cellStyle name="Normal 2 4 2 4 8 2" xfId="6751" xr:uid="{00000000-0005-0000-0000-0000830F0000}"/>
    <cellStyle name="Normal 2 4 2 4 8 2 2" xfId="15180" xr:uid="{5D58267D-AAA8-48DB-9304-7D784E3512EE}"/>
    <cellStyle name="Normal 2 4 2 4 8 2 3" xfId="27813" xr:uid="{CAA62313-02E8-4AD7-9C2D-409ACFE2CDF6}"/>
    <cellStyle name="Normal 2 4 2 4 8 3" xfId="10962" xr:uid="{91162D0E-5C26-48F0-ABA9-260A684C0AA7}"/>
    <cellStyle name="Normal 2 4 2 4 8 3 2" xfId="23602" xr:uid="{8472CFE8-08A9-421B-9899-59387B305E03}"/>
    <cellStyle name="Normal 2 4 2 4 8 4" xfId="19391" xr:uid="{4EF61D2C-B577-488C-973B-54D277F491F3}"/>
    <cellStyle name="Normal 2 4 2 4 9" xfId="4685" xr:uid="{00000000-0005-0000-0000-0000840F0000}"/>
    <cellStyle name="Normal 2 4 2 4 9 2" xfId="13114" xr:uid="{D43DBDF7-9B2F-4BAD-8981-24110344AC14}"/>
    <cellStyle name="Normal 2 4 2 4 9 3" xfId="25747" xr:uid="{1104E673-A13D-4967-99C0-26355F150860}"/>
    <cellStyle name="Normal 2 4 2 5" xfId="293" xr:uid="{00000000-0005-0000-0000-0000850F0000}"/>
    <cellStyle name="Normal 2 4 2 5 10" xfId="17329" xr:uid="{F756B86C-1221-4FDD-A141-F4E2F4BE7518}"/>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EDA86E24-3967-4ABF-B2E7-18577D034C2D}"/>
    <cellStyle name="Normal 2 4 2 5 2 2 2 2 3" xfId="28311" xr:uid="{4CDF1FAC-B3C6-4DC0-BA71-609EE38CBC99}"/>
    <cellStyle name="Normal 2 4 2 5 2 2 2 3" xfId="11460" xr:uid="{B53B558A-526A-4975-9DB9-B8C6E61DF118}"/>
    <cellStyle name="Normal 2 4 2 5 2 2 2 3 2" xfId="24100" xr:uid="{FB4E9D71-386E-4907-9D47-D0C4676508D2}"/>
    <cellStyle name="Normal 2 4 2 5 2 2 2 4" xfId="19889" xr:uid="{CC1857FA-1EB2-41D1-A673-333CC67551D2}"/>
    <cellStyle name="Normal 2 4 2 5 2 2 3" xfId="5104" xr:uid="{00000000-0005-0000-0000-00008A0F0000}"/>
    <cellStyle name="Normal 2 4 2 5 2 2 3 2" xfId="13533" xr:uid="{6D64E02A-356C-4974-96CA-112BD1A22488}"/>
    <cellStyle name="Normal 2 4 2 5 2 2 3 3" xfId="26166" xr:uid="{206DFB93-5E32-4A1C-8EB3-BA36977E07C0}"/>
    <cellStyle name="Normal 2 4 2 5 2 2 4" xfId="9315" xr:uid="{7D650BEC-C1C7-4C55-9057-DD79EF41AD65}"/>
    <cellStyle name="Normal 2 4 2 5 2 2 4 2" xfId="21955" xr:uid="{5446FA32-7209-4D11-A1E8-5D9F11161C82}"/>
    <cellStyle name="Normal 2 4 2 5 2 2 5" xfId="17744" xr:uid="{2A7D3C6A-2645-4389-A048-C5FC9166FA0E}"/>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62A9E449-14ED-41AE-87BC-AE0DEFAB3FDA}"/>
    <cellStyle name="Normal 2 4 2 5 2 3 2 2 3" xfId="28724" xr:uid="{34121E0E-4924-41E1-B311-756E9FCAE6D1}"/>
    <cellStyle name="Normal 2 4 2 5 2 3 2 3" xfId="11873" xr:uid="{CDC6FFA5-793E-4559-91B1-314901D3A07C}"/>
    <cellStyle name="Normal 2 4 2 5 2 3 2 3 2" xfId="24513" xr:uid="{4209401E-CB4F-4BE5-860F-29E79AE0AD5D}"/>
    <cellStyle name="Normal 2 4 2 5 2 3 2 4" xfId="20302" xr:uid="{E8AA479B-BC7F-4B67-852E-5DF2A0F46445}"/>
    <cellStyle name="Normal 2 4 2 5 2 3 3" xfId="5517" xr:uid="{00000000-0005-0000-0000-00008E0F0000}"/>
    <cellStyle name="Normal 2 4 2 5 2 3 3 2" xfId="13946" xr:uid="{BF85A1CE-F5D3-4BEA-97FC-7D48C9104B06}"/>
    <cellStyle name="Normal 2 4 2 5 2 3 3 3" xfId="26579" xr:uid="{7C74BE9B-A361-4C99-A1AF-C7A4333D1976}"/>
    <cellStyle name="Normal 2 4 2 5 2 3 4" xfId="9728" xr:uid="{D4496187-1B2C-48E4-9EAB-DB73F9412797}"/>
    <cellStyle name="Normal 2 4 2 5 2 3 4 2" xfId="22368" xr:uid="{9AAFFF0A-74A3-4679-8AE1-75C3A27058D7}"/>
    <cellStyle name="Normal 2 4 2 5 2 3 5" xfId="18157" xr:uid="{12E04C45-ECFD-45E7-980C-0E4E127FE504}"/>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03B0400F-D925-4E5E-9EBA-141837CFBD68}"/>
    <cellStyle name="Normal 2 4 2 5 2 4 2 2 3" xfId="29137" xr:uid="{C651C490-D2BD-4CAE-90BE-E7983DBEB387}"/>
    <cellStyle name="Normal 2 4 2 5 2 4 2 3" xfId="12286" xr:uid="{E3E74F97-91A9-493A-B087-D55AAB90706D}"/>
    <cellStyle name="Normal 2 4 2 5 2 4 2 3 2" xfId="24926" xr:uid="{23AED199-FEA6-451C-B98F-461C5859D454}"/>
    <cellStyle name="Normal 2 4 2 5 2 4 2 4" xfId="20715" xr:uid="{A58FC78A-F0C2-4C76-83B1-C58581A7C1D2}"/>
    <cellStyle name="Normal 2 4 2 5 2 4 3" xfId="5930" xr:uid="{00000000-0005-0000-0000-0000920F0000}"/>
    <cellStyle name="Normal 2 4 2 5 2 4 3 2" xfId="14359" xr:uid="{006483E1-CB4F-4636-AFCE-820ED76FAFD4}"/>
    <cellStyle name="Normal 2 4 2 5 2 4 3 3" xfId="26992" xr:uid="{AD667BCD-46E2-4B96-8677-E0A012EFF8FA}"/>
    <cellStyle name="Normal 2 4 2 5 2 4 4" xfId="10141" xr:uid="{D5F75809-DC44-4D40-9AE2-D7DA58D751FF}"/>
    <cellStyle name="Normal 2 4 2 5 2 4 4 2" xfId="22781" xr:uid="{60806B13-2274-4E87-9603-73E83C95271E}"/>
    <cellStyle name="Normal 2 4 2 5 2 4 5" xfId="18570" xr:uid="{CD27F3F5-35F1-4298-AA63-2B2C77889DC4}"/>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AA58AB47-0648-4883-9AE6-6D29A60CDE64}"/>
    <cellStyle name="Normal 2 4 2 5 2 5 2 2 3" xfId="29550" xr:uid="{66457B15-041B-4984-B243-CF1DE51BBA5F}"/>
    <cellStyle name="Normal 2 4 2 5 2 5 2 3" xfId="12699" xr:uid="{BC344953-4DA6-4BA6-BF85-4CD62A6E8D80}"/>
    <cellStyle name="Normal 2 4 2 5 2 5 2 3 2" xfId="25339" xr:uid="{DA139C61-CB95-400F-88E1-E90142B35B4A}"/>
    <cellStyle name="Normal 2 4 2 5 2 5 2 4" xfId="21128" xr:uid="{6A0F8744-7F87-4B6D-9E2E-7B70D2AFD7BB}"/>
    <cellStyle name="Normal 2 4 2 5 2 5 3" xfId="6343" xr:uid="{00000000-0005-0000-0000-0000960F0000}"/>
    <cellStyle name="Normal 2 4 2 5 2 5 3 2" xfId="14772" xr:uid="{AAFE9A1F-9366-4BFD-862D-5A77E24969BC}"/>
    <cellStyle name="Normal 2 4 2 5 2 5 3 3" xfId="27405" xr:uid="{593CC9FA-2BD2-4872-87DD-C84C51024916}"/>
    <cellStyle name="Normal 2 4 2 5 2 5 4" xfId="10554" xr:uid="{DD67C1E7-DE17-4F0A-AD7A-854CB2C8792A}"/>
    <cellStyle name="Normal 2 4 2 5 2 5 4 2" xfId="23194" xr:uid="{10058D4A-4A0D-41B6-8A75-20E494F13191}"/>
    <cellStyle name="Normal 2 4 2 5 2 5 5" xfId="18983" xr:uid="{D6A32D0B-FD53-4059-A2CF-0B425678709C}"/>
    <cellStyle name="Normal 2 4 2 5 2 6" xfId="2471" xr:uid="{00000000-0005-0000-0000-0000970F0000}"/>
    <cellStyle name="Normal 2 4 2 5 2 6 2" xfId="6756" xr:uid="{00000000-0005-0000-0000-0000980F0000}"/>
    <cellStyle name="Normal 2 4 2 5 2 6 2 2" xfId="15185" xr:uid="{8DB72A69-65A9-406C-A623-D929040FA01C}"/>
    <cellStyle name="Normal 2 4 2 5 2 6 2 3" xfId="27818" xr:uid="{4B5E6E81-45C0-4096-913E-BF005BDF4E06}"/>
    <cellStyle name="Normal 2 4 2 5 2 6 3" xfId="10967" xr:uid="{8F8D365F-1DD5-4944-9C15-63958AA05074}"/>
    <cellStyle name="Normal 2 4 2 5 2 6 3 2" xfId="23607" xr:uid="{D14DB035-804E-46A1-888A-3467D0C5C75C}"/>
    <cellStyle name="Normal 2 4 2 5 2 6 4" xfId="19396" xr:uid="{48E6EE99-2688-4E33-9553-6EFB4EBED37F}"/>
    <cellStyle name="Normal 2 4 2 5 2 7" xfId="4690" xr:uid="{00000000-0005-0000-0000-0000990F0000}"/>
    <cellStyle name="Normal 2 4 2 5 2 7 2" xfId="13119" xr:uid="{D4E2C6AF-6A62-4C22-BC7D-D70C0DBC5EFB}"/>
    <cellStyle name="Normal 2 4 2 5 2 7 3" xfId="25752" xr:uid="{4946DEEF-5221-4915-BA96-FBDD20929685}"/>
    <cellStyle name="Normal 2 4 2 5 2 8" xfId="8901" xr:uid="{41EE6E95-52AB-4CB5-962F-EFD31E9B27B7}"/>
    <cellStyle name="Normal 2 4 2 5 2 8 2" xfId="21541" xr:uid="{A96E7C74-C365-490C-A859-A581D009CA1F}"/>
    <cellStyle name="Normal 2 4 2 5 2 9" xfId="17330" xr:uid="{086C7618-213E-43CD-8ADA-AF612EAAB03D}"/>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8FA288F6-7183-4663-ACD5-75341BB9B07E}"/>
    <cellStyle name="Normal 2 4 2 5 3 2 2 3" xfId="28310" xr:uid="{5ADDED11-2C71-4CA0-B431-8DC0D08866FE}"/>
    <cellStyle name="Normal 2 4 2 5 3 2 3" xfId="11459" xr:uid="{2E8D2F4E-A7FE-4083-A6BA-802B710DB917}"/>
    <cellStyle name="Normal 2 4 2 5 3 2 3 2" xfId="24099" xr:uid="{7C2ADB9A-A6A6-4DEB-A587-6D82B1B23CB1}"/>
    <cellStyle name="Normal 2 4 2 5 3 2 4" xfId="19888" xr:uid="{266E7277-A0CC-41B1-9A8C-5156CDDF1C6D}"/>
    <cellStyle name="Normal 2 4 2 5 3 3" xfId="5103" xr:uid="{00000000-0005-0000-0000-00009D0F0000}"/>
    <cellStyle name="Normal 2 4 2 5 3 3 2" xfId="13532" xr:uid="{95246060-5F42-4AB2-AB7D-DC91131A38B1}"/>
    <cellStyle name="Normal 2 4 2 5 3 3 3" xfId="26165" xr:uid="{9D760C0F-B901-4EE6-9F82-E87E6786821C}"/>
    <cellStyle name="Normal 2 4 2 5 3 4" xfId="9314" xr:uid="{8DD4E9FF-8456-430C-A63E-3203EDC72529}"/>
    <cellStyle name="Normal 2 4 2 5 3 4 2" xfId="21954" xr:uid="{E68FE2CE-305D-4320-9396-2205E958B168}"/>
    <cellStyle name="Normal 2 4 2 5 3 5" xfId="17743" xr:uid="{0A36F913-1789-405E-9C20-09D4252F150E}"/>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C3AB6E4C-B35C-47E5-8C2B-AA50E0AD0352}"/>
    <cellStyle name="Normal 2 4 2 5 4 2 2 3" xfId="28723" xr:uid="{29CCF019-EFC1-4CA3-9F23-7C068667B367}"/>
    <cellStyle name="Normal 2 4 2 5 4 2 3" xfId="11872" xr:uid="{80100968-A7B1-4168-9DE7-12626123E22A}"/>
    <cellStyle name="Normal 2 4 2 5 4 2 3 2" xfId="24512" xr:uid="{15FB095A-FA56-4083-BFB2-6F3F7EC777D1}"/>
    <cellStyle name="Normal 2 4 2 5 4 2 4" xfId="20301" xr:uid="{AFBE3836-CA5C-4C9C-B912-8CF49F951295}"/>
    <cellStyle name="Normal 2 4 2 5 4 3" xfId="5516" xr:uid="{00000000-0005-0000-0000-0000A10F0000}"/>
    <cellStyle name="Normal 2 4 2 5 4 3 2" xfId="13945" xr:uid="{9A9CE660-7A69-4A39-B74A-4102D2BB3E71}"/>
    <cellStyle name="Normal 2 4 2 5 4 3 3" xfId="26578" xr:uid="{14414ED9-5888-4FB6-A854-5A80DB2B7180}"/>
    <cellStyle name="Normal 2 4 2 5 4 4" xfId="9727" xr:uid="{40806C45-BA22-42E6-8522-E44F883E7431}"/>
    <cellStyle name="Normal 2 4 2 5 4 4 2" xfId="22367" xr:uid="{876F81FD-1B33-4766-8CC1-9E78501770BD}"/>
    <cellStyle name="Normal 2 4 2 5 4 5" xfId="18156" xr:uid="{DD96C698-57CF-4560-9BBB-926D21CD7880}"/>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D5290941-092B-4473-96B4-571E024958F9}"/>
    <cellStyle name="Normal 2 4 2 5 5 2 2 3" xfId="29136" xr:uid="{DC1CA692-15A9-4950-ADA1-5A004A61053B}"/>
    <cellStyle name="Normal 2 4 2 5 5 2 3" xfId="12285" xr:uid="{6C5E224C-C381-44F9-930B-F4FE85758912}"/>
    <cellStyle name="Normal 2 4 2 5 5 2 3 2" xfId="24925" xr:uid="{0A456B89-0E42-490B-8E14-72748924E7F2}"/>
    <cellStyle name="Normal 2 4 2 5 5 2 4" xfId="20714" xr:uid="{9E675B29-F974-49A6-A461-055057D5180B}"/>
    <cellStyle name="Normal 2 4 2 5 5 3" xfId="5929" xr:uid="{00000000-0005-0000-0000-0000A50F0000}"/>
    <cellStyle name="Normal 2 4 2 5 5 3 2" xfId="14358" xr:uid="{D9C16B6A-17C9-4E9E-9B0E-B05CFE155011}"/>
    <cellStyle name="Normal 2 4 2 5 5 3 3" xfId="26991" xr:uid="{94F11152-1939-4781-A33E-002F34DDDE19}"/>
    <cellStyle name="Normal 2 4 2 5 5 4" xfId="10140" xr:uid="{2075707C-4EF2-4B08-A56D-AFB4A716AC73}"/>
    <cellStyle name="Normal 2 4 2 5 5 4 2" xfId="22780" xr:uid="{DF28E5B4-4374-47EB-9210-8267A8E81A79}"/>
    <cellStyle name="Normal 2 4 2 5 5 5" xfId="18569" xr:uid="{13B87CB1-BCE9-4A9C-8CCC-9139AEF73002}"/>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0CF53CAD-3735-41F8-B7FC-EA36171E3157}"/>
    <cellStyle name="Normal 2 4 2 5 6 2 2 3" xfId="29549" xr:uid="{993C7953-A536-4C33-8A28-95D37F5E8F7F}"/>
    <cellStyle name="Normal 2 4 2 5 6 2 3" xfId="12698" xr:uid="{394843EC-C889-4046-B6B8-BB9D19E4B050}"/>
    <cellStyle name="Normal 2 4 2 5 6 2 3 2" xfId="25338" xr:uid="{17F84F53-8C9D-4FF7-84AD-D106E22BA2FE}"/>
    <cellStyle name="Normal 2 4 2 5 6 2 4" xfId="21127" xr:uid="{4B607D60-76D1-46D3-BF41-F2E1B92D38C5}"/>
    <cellStyle name="Normal 2 4 2 5 6 3" xfId="6342" xr:uid="{00000000-0005-0000-0000-0000A90F0000}"/>
    <cellStyle name="Normal 2 4 2 5 6 3 2" xfId="14771" xr:uid="{9E96B6C3-D37F-4534-A05C-F3D80FEF73A1}"/>
    <cellStyle name="Normal 2 4 2 5 6 3 3" xfId="27404" xr:uid="{338A27E1-F92D-471C-9B1D-633B426E8FF7}"/>
    <cellStyle name="Normal 2 4 2 5 6 4" xfId="10553" xr:uid="{17AAF145-352A-4A99-A33A-80EDBD1260FC}"/>
    <cellStyle name="Normal 2 4 2 5 6 4 2" xfId="23193" xr:uid="{DB327CA8-5A07-4D41-A42A-C00BFC22FDCF}"/>
    <cellStyle name="Normal 2 4 2 5 6 5" xfId="18982" xr:uid="{B48BFEA5-E35A-4A11-A4D8-B2558C5139B9}"/>
    <cellStyle name="Normal 2 4 2 5 7" xfId="2470" xr:uid="{00000000-0005-0000-0000-0000AA0F0000}"/>
    <cellStyle name="Normal 2 4 2 5 7 2" xfId="6755" xr:uid="{00000000-0005-0000-0000-0000AB0F0000}"/>
    <cellStyle name="Normal 2 4 2 5 7 2 2" xfId="15184" xr:uid="{0AB6DAEB-7F93-46B7-BBCE-63C46938B0CD}"/>
    <cellStyle name="Normal 2 4 2 5 7 2 3" xfId="27817" xr:uid="{1B077479-B8FA-4358-9822-B8DA6A5B993B}"/>
    <cellStyle name="Normal 2 4 2 5 7 3" xfId="10966" xr:uid="{4A67B023-47F7-4A74-8FE0-DF3365D2085D}"/>
    <cellStyle name="Normal 2 4 2 5 7 3 2" xfId="23606" xr:uid="{276DE3D0-860D-472B-AABA-740CE395AF2C}"/>
    <cellStyle name="Normal 2 4 2 5 7 4" xfId="19395" xr:uid="{E9F4566C-6131-483A-B500-BD6DD696FD2B}"/>
    <cellStyle name="Normal 2 4 2 5 8" xfId="4689" xr:uid="{00000000-0005-0000-0000-0000AC0F0000}"/>
    <cellStyle name="Normal 2 4 2 5 8 2" xfId="13118" xr:uid="{5E538B00-B7ED-4A70-B597-8165B3A5C422}"/>
    <cellStyle name="Normal 2 4 2 5 8 3" xfId="25751" xr:uid="{851C91EE-C02C-4750-8CF4-7E84CCF6F838}"/>
    <cellStyle name="Normal 2 4 2 5 9" xfId="8900" xr:uid="{0B35B0E5-67FD-4317-BA3E-C90DAC5B2B1C}"/>
    <cellStyle name="Normal 2 4 2 5 9 2" xfId="21540" xr:uid="{0D8C349C-9957-4B53-9BA3-BB2013C4C745}"/>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62E426D7-4FA7-4290-8746-62C45EEC64A8}"/>
    <cellStyle name="Normal 2 4 2 6 2 2 2 3" xfId="28312" xr:uid="{D638CBED-63D9-41C1-BFB7-CAE6A0BD91A8}"/>
    <cellStyle name="Normal 2 4 2 6 2 2 3" xfId="11461" xr:uid="{5936E55A-ACF2-4967-9126-8C0FE621A1BF}"/>
    <cellStyle name="Normal 2 4 2 6 2 2 3 2" xfId="24101" xr:uid="{F066F6A6-CCF0-4231-A32C-357B423C05B0}"/>
    <cellStyle name="Normal 2 4 2 6 2 2 4" xfId="19890" xr:uid="{D7DC33CC-8298-4741-A357-83F64C9B5BBE}"/>
    <cellStyle name="Normal 2 4 2 6 2 3" xfId="5105" xr:uid="{00000000-0005-0000-0000-0000B10F0000}"/>
    <cellStyle name="Normal 2 4 2 6 2 3 2" xfId="13534" xr:uid="{C59D0D27-3CA2-4D80-82E9-7E110BDC4AB2}"/>
    <cellStyle name="Normal 2 4 2 6 2 3 3" xfId="26167" xr:uid="{C657DF01-9F4A-44C9-BA75-F7C526951136}"/>
    <cellStyle name="Normal 2 4 2 6 2 4" xfId="9316" xr:uid="{F991828F-1BCD-4C07-98BA-1E763D135434}"/>
    <cellStyle name="Normal 2 4 2 6 2 4 2" xfId="21956" xr:uid="{BC3628AF-3E4C-4DA1-A321-1122AE6FE19A}"/>
    <cellStyle name="Normal 2 4 2 6 2 5" xfId="17745" xr:uid="{28410CC2-2A50-4F2D-BF48-E42CCAB1886A}"/>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CB7A945D-BF9E-4008-9A31-26132280B901}"/>
    <cellStyle name="Normal 2 4 2 6 3 2 2 3" xfId="28725" xr:uid="{1B60268D-BE01-46CD-8354-5B78108F0697}"/>
    <cellStyle name="Normal 2 4 2 6 3 2 3" xfId="11874" xr:uid="{13A7DDA0-558F-4DC3-9C1C-764E4A423B25}"/>
    <cellStyle name="Normal 2 4 2 6 3 2 3 2" xfId="24514" xr:uid="{52643977-83B2-40CC-828C-FFF0AE81997B}"/>
    <cellStyle name="Normal 2 4 2 6 3 2 4" xfId="20303" xr:uid="{D81449EC-97E8-4472-B663-051DA5A652A7}"/>
    <cellStyle name="Normal 2 4 2 6 3 3" xfId="5518" xr:uid="{00000000-0005-0000-0000-0000B50F0000}"/>
    <cellStyle name="Normal 2 4 2 6 3 3 2" xfId="13947" xr:uid="{82D9136D-1FE9-4CFD-917D-6F195FC20DAA}"/>
    <cellStyle name="Normal 2 4 2 6 3 3 3" xfId="26580" xr:uid="{CF18CFBA-76B3-4885-B497-DF0C2391A530}"/>
    <cellStyle name="Normal 2 4 2 6 3 4" xfId="9729" xr:uid="{C3D27DB9-9666-4F5A-8AEC-2ED0DE20F823}"/>
    <cellStyle name="Normal 2 4 2 6 3 4 2" xfId="22369" xr:uid="{7801BB69-8E8D-464E-A029-81CB950D8475}"/>
    <cellStyle name="Normal 2 4 2 6 3 5" xfId="18158" xr:uid="{90F0C9FE-C514-4B0F-8F73-DFB9E30AFC68}"/>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9977A762-8D45-4849-9AC7-6A30CC244BEC}"/>
    <cellStyle name="Normal 2 4 2 6 4 2 2 3" xfId="29138" xr:uid="{F022AFD3-6763-4F0C-A1E1-2B29AEC61E0C}"/>
    <cellStyle name="Normal 2 4 2 6 4 2 3" xfId="12287" xr:uid="{436E3AB4-E019-4D01-8651-CF64A8A86D4B}"/>
    <cellStyle name="Normal 2 4 2 6 4 2 3 2" xfId="24927" xr:uid="{43E1D287-C83E-4F48-B1BF-CE57378008C7}"/>
    <cellStyle name="Normal 2 4 2 6 4 2 4" xfId="20716" xr:uid="{FF262735-EE59-44E3-89B8-3C4613E8C1E9}"/>
    <cellStyle name="Normal 2 4 2 6 4 3" xfId="5931" xr:uid="{00000000-0005-0000-0000-0000B90F0000}"/>
    <cellStyle name="Normal 2 4 2 6 4 3 2" xfId="14360" xr:uid="{96CF02AC-E330-43D0-8732-73F857FD0543}"/>
    <cellStyle name="Normal 2 4 2 6 4 3 3" xfId="26993" xr:uid="{9347F7DF-F600-47B8-81CB-6E7F6B487A18}"/>
    <cellStyle name="Normal 2 4 2 6 4 4" xfId="10142" xr:uid="{7B993A13-A221-4C83-8A21-393BEBD422C7}"/>
    <cellStyle name="Normal 2 4 2 6 4 4 2" xfId="22782" xr:uid="{D75E8522-8352-4846-AB3C-B76DAC146C24}"/>
    <cellStyle name="Normal 2 4 2 6 4 5" xfId="18571" xr:uid="{5C626FCF-8AC4-49D4-AC1F-1C3C8306A89E}"/>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EFD6A1B8-4847-4A4C-93D6-FEEDFD5E2924}"/>
    <cellStyle name="Normal 2 4 2 6 5 2 2 3" xfId="29551" xr:uid="{255AECFE-103B-4D42-86F5-5C9B775E6CF8}"/>
    <cellStyle name="Normal 2 4 2 6 5 2 3" xfId="12700" xr:uid="{D42BE31E-335C-46F8-BE60-3D297E282A92}"/>
    <cellStyle name="Normal 2 4 2 6 5 2 3 2" xfId="25340" xr:uid="{6E442D4A-A98A-4FDF-9074-00E3A43A0297}"/>
    <cellStyle name="Normal 2 4 2 6 5 2 4" xfId="21129" xr:uid="{5B8AD1AD-7FA4-4675-B999-2EE50788D5C2}"/>
    <cellStyle name="Normal 2 4 2 6 5 3" xfId="6344" xr:uid="{00000000-0005-0000-0000-0000BD0F0000}"/>
    <cellStyle name="Normal 2 4 2 6 5 3 2" xfId="14773" xr:uid="{93B4F6A6-9E8F-4E0E-8AB9-FB8988FA934A}"/>
    <cellStyle name="Normal 2 4 2 6 5 3 3" xfId="27406" xr:uid="{B0E6387C-5B9E-4030-9EC3-07B08110DC00}"/>
    <cellStyle name="Normal 2 4 2 6 5 4" xfId="10555" xr:uid="{E0A4B0BC-5FEA-45CA-9EAC-05EC815E346B}"/>
    <cellStyle name="Normal 2 4 2 6 5 4 2" xfId="23195" xr:uid="{2B98CA12-BF44-483E-A9CC-93414310D7F4}"/>
    <cellStyle name="Normal 2 4 2 6 5 5" xfId="18984" xr:uid="{9B1F4CA6-5C86-4A93-AA91-460E5C6935C6}"/>
    <cellStyle name="Normal 2 4 2 6 6" xfId="2472" xr:uid="{00000000-0005-0000-0000-0000BE0F0000}"/>
    <cellStyle name="Normal 2 4 2 6 6 2" xfId="6757" xr:uid="{00000000-0005-0000-0000-0000BF0F0000}"/>
    <cellStyle name="Normal 2 4 2 6 6 2 2" xfId="15186" xr:uid="{976B4612-12B5-4AC8-AE49-A46FB05845E8}"/>
    <cellStyle name="Normal 2 4 2 6 6 2 3" xfId="27819" xr:uid="{A8226188-E9D8-4B51-9317-F9DF862947B2}"/>
    <cellStyle name="Normal 2 4 2 6 6 3" xfId="10968" xr:uid="{CB629C9D-8354-49A9-BBCA-4E084B96E4F6}"/>
    <cellStyle name="Normal 2 4 2 6 6 3 2" xfId="23608" xr:uid="{6B8AB1A7-4799-4509-880D-34ACF62C41F2}"/>
    <cellStyle name="Normal 2 4 2 6 6 4" xfId="19397" xr:uid="{F11B3D4D-FCC2-4217-AB20-8B23131C22A7}"/>
    <cellStyle name="Normal 2 4 2 6 7" xfId="4691" xr:uid="{00000000-0005-0000-0000-0000C00F0000}"/>
    <cellStyle name="Normal 2 4 2 6 7 2" xfId="13120" xr:uid="{37F428B6-F172-4295-9982-1AA328EB48CC}"/>
    <cellStyle name="Normal 2 4 2 6 7 3" xfId="25753" xr:uid="{8322A6E3-90CD-4CDE-B586-BAB21D45C5F5}"/>
    <cellStyle name="Normal 2 4 2 6 8" xfId="8902" xr:uid="{1BABAABB-B0C6-4C49-B109-0F4D040BFBD3}"/>
    <cellStyle name="Normal 2 4 2 6 8 2" xfId="21542" xr:uid="{6A3A86D1-C577-45DB-B097-629D5326DCA7}"/>
    <cellStyle name="Normal 2 4 2 6 9" xfId="17331" xr:uid="{8955FFA7-5873-45AB-8A90-223D48E0D7E5}"/>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A120C7C8-8212-4962-9CA5-2C3CA071C35D}"/>
    <cellStyle name="Normal 2 4 2 7 2 2 3" xfId="28297" xr:uid="{3A8F12DD-325F-4EFB-855B-984D40D58CA8}"/>
    <cellStyle name="Normal 2 4 2 7 2 3" xfId="11446" xr:uid="{D6624C5E-FB6D-4C1D-9812-B871F806C6E8}"/>
    <cellStyle name="Normal 2 4 2 7 2 3 2" xfId="24086" xr:uid="{021ADC6D-A994-45A1-81DA-40E9159C3B83}"/>
    <cellStyle name="Normal 2 4 2 7 2 4" xfId="19875" xr:uid="{A66BD068-EE8D-43E1-B06D-C9A17BB23D46}"/>
    <cellStyle name="Normal 2 4 2 7 3" xfId="5090" xr:uid="{00000000-0005-0000-0000-0000C40F0000}"/>
    <cellStyle name="Normal 2 4 2 7 3 2" xfId="13519" xr:uid="{D76F221C-1EA7-4839-AD90-F9A4AACFB583}"/>
    <cellStyle name="Normal 2 4 2 7 3 3" xfId="26152" xr:uid="{09F5B079-3C66-4FC5-BA24-89F90E61FE60}"/>
    <cellStyle name="Normal 2 4 2 7 4" xfId="9301" xr:uid="{7E4AEE1C-AE0B-4B74-80A3-035C110106A6}"/>
    <cellStyle name="Normal 2 4 2 7 4 2" xfId="21941" xr:uid="{A68E8906-0877-4FA7-9A2A-02A5C7EE267A}"/>
    <cellStyle name="Normal 2 4 2 7 5" xfId="17730" xr:uid="{289ABB5C-0941-42B7-98B2-8B5E9D1B56B8}"/>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2A7436C2-01D2-4044-8B77-85A8F2003869}"/>
    <cellStyle name="Normal 2 4 2 8 2 2 3" xfId="28710" xr:uid="{C3641D4D-7580-4F05-B48D-122712AE9CB0}"/>
    <cellStyle name="Normal 2 4 2 8 2 3" xfId="11859" xr:uid="{98ECEA03-2B4C-4F53-B27C-331E262AB921}"/>
    <cellStyle name="Normal 2 4 2 8 2 3 2" xfId="24499" xr:uid="{DEF0850E-8809-4458-8E6F-694E06510D54}"/>
    <cellStyle name="Normal 2 4 2 8 2 4" xfId="20288" xr:uid="{85536B64-80C6-4685-B87D-D2AF936EB299}"/>
    <cellStyle name="Normal 2 4 2 8 3" xfId="5503" xr:uid="{00000000-0005-0000-0000-0000C80F0000}"/>
    <cellStyle name="Normal 2 4 2 8 3 2" xfId="13932" xr:uid="{FA4E4D0F-0470-4654-81DE-93C781CB5A1B}"/>
    <cellStyle name="Normal 2 4 2 8 3 3" xfId="26565" xr:uid="{B2EF18AF-F55C-4262-A4FC-3EE4B0B7E665}"/>
    <cellStyle name="Normal 2 4 2 8 4" xfId="9714" xr:uid="{CC042CFA-D7C1-4389-B66F-5AC527834770}"/>
    <cellStyle name="Normal 2 4 2 8 4 2" xfId="22354" xr:uid="{E2E1DB19-4A61-4AE0-B5AB-51D6DE79A994}"/>
    <cellStyle name="Normal 2 4 2 8 5" xfId="18143" xr:uid="{A2ACF19B-052D-497A-B6AC-0EDC41991379}"/>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7E8A7B38-BECB-46A3-945C-229CC7BD69B8}"/>
    <cellStyle name="Normal 2 4 2 9 2 2 3" xfId="29123" xr:uid="{E523C50B-1F8A-4240-97BA-20B2BDD5B5EF}"/>
    <cellStyle name="Normal 2 4 2 9 2 3" xfId="12272" xr:uid="{3BE6017E-3A59-43B4-ACFC-E7572E9A42A7}"/>
    <cellStyle name="Normal 2 4 2 9 2 3 2" xfId="24912" xr:uid="{AA2D2D85-BBB9-4AD3-8AC1-0C9CD093A913}"/>
    <cellStyle name="Normal 2 4 2 9 2 4" xfId="20701" xr:uid="{1CFA4C6D-C430-430F-89E5-68DDE82AE386}"/>
    <cellStyle name="Normal 2 4 2 9 3" xfId="5916" xr:uid="{00000000-0005-0000-0000-0000CC0F0000}"/>
    <cellStyle name="Normal 2 4 2 9 3 2" xfId="14345" xr:uid="{D58EF9BA-1A08-483B-9B8D-6AA66D806DA3}"/>
    <cellStyle name="Normal 2 4 2 9 3 3" xfId="26978" xr:uid="{27F30D2D-3BB9-4EFA-9105-158AF2C2357C}"/>
    <cellStyle name="Normal 2 4 2 9 4" xfId="10127" xr:uid="{3DA04AB8-5C03-418C-AF13-B4F238D04956}"/>
    <cellStyle name="Normal 2 4 2 9 4 2" xfId="22767" xr:uid="{F60F91A1-08ED-4AB3-B693-10684F2A6D86}"/>
    <cellStyle name="Normal 2 4 2 9 5" xfId="18556" xr:uid="{9D3EC49D-20C2-4D9E-BD38-B017B9D59FD4}"/>
    <cellStyle name="Normal 2 4 3" xfId="296" xr:uid="{00000000-0005-0000-0000-0000CD0F0000}"/>
    <cellStyle name="Normal 2 4 3 10" xfId="8903" xr:uid="{01ED6CF4-AACA-4723-A407-77F5A1F83C38}"/>
    <cellStyle name="Normal 2 4 3 10 2" xfId="21543" xr:uid="{396D79C7-8CAB-448B-91AF-F586EDCACBA4}"/>
    <cellStyle name="Normal 2 4 3 11" xfId="17332" xr:uid="{80EBBE2D-F17A-4C91-BC66-6BB46B278B52}"/>
    <cellStyle name="Normal 2 4 3 2" xfId="297" xr:uid="{00000000-0005-0000-0000-0000CE0F0000}"/>
    <cellStyle name="Normal 2 4 3 3" xfId="298" xr:uid="{00000000-0005-0000-0000-0000CF0F0000}"/>
    <cellStyle name="Normal 2 4 3 3 10" xfId="8904" xr:uid="{D360FB12-C4F3-42F5-A598-12A5B2611894}"/>
    <cellStyle name="Normal 2 4 3 3 10 2" xfId="21544" xr:uid="{3938888E-557E-4EF6-98F6-6F2C65A1F75E}"/>
    <cellStyle name="Normal 2 4 3 3 11" xfId="17333" xr:uid="{31E2A96F-C1E6-48F8-8CF6-6D726A49B873}"/>
    <cellStyle name="Normal 2 4 3 3 2" xfId="299" xr:uid="{00000000-0005-0000-0000-0000D00F0000}"/>
    <cellStyle name="Normal 2 4 3 3 2 10" xfId="17334" xr:uid="{166528A4-A9D9-410E-9B01-3A17A84F40B8}"/>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14232C59-2AF1-4DA0-B30A-1BE32B21E1FD}"/>
    <cellStyle name="Normal 2 4 3 3 2 2 2 2 2 3" xfId="28316" xr:uid="{B2E0C660-771A-4997-9AB0-AE0583B4DFE4}"/>
    <cellStyle name="Normal 2 4 3 3 2 2 2 2 3" xfId="11465" xr:uid="{C49FDD1A-2011-4FAC-9FBA-9F6E8DF519C2}"/>
    <cellStyle name="Normal 2 4 3 3 2 2 2 2 3 2" xfId="24105" xr:uid="{129181FD-F14B-4E8B-AC98-DA7C94E3FA2F}"/>
    <cellStyle name="Normal 2 4 3 3 2 2 2 2 4" xfId="19894" xr:uid="{9748D480-9E73-4C88-8903-DFDDCE78DFCA}"/>
    <cellStyle name="Normal 2 4 3 3 2 2 2 3" xfId="5109" xr:uid="{00000000-0005-0000-0000-0000D50F0000}"/>
    <cellStyle name="Normal 2 4 3 3 2 2 2 3 2" xfId="13538" xr:uid="{B5B9086E-45B3-4744-8992-D18A2F991B30}"/>
    <cellStyle name="Normal 2 4 3 3 2 2 2 3 3" xfId="26171" xr:uid="{6E115807-EB02-4F2A-8278-0196B5CD9342}"/>
    <cellStyle name="Normal 2 4 3 3 2 2 2 4" xfId="9320" xr:uid="{F00FC031-6F26-42B5-8837-C45330B2E145}"/>
    <cellStyle name="Normal 2 4 3 3 2 2 2 4 2" xfId="21960" xr:uid="{06C5F202-27D0-49D9-BB14-E05C2EFE4768}"/>
    <cellStyle name="Normal 2 4 3 3 2 2 2 5" xfId="17749" xr:uid="{29AB1196-6581-4CE9-8ACD-CA602914E483}"/>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10AA0080-D318-416C-BFED-9172F704C93F}"/>
    <cellStyle name="Normal 2 4 3 3 2 2 3 2 2 3" xfId="28729" xr:uid="{A565CEC1-24CB-4D4A-9216-F79419C48CCC}"/>
    <cellStyle name="Normal 2 4 3 3 2 2 3 2 3" xfId="11878" xr:uid="{B49B93D1-02B8-4493-BA1A-6AB8761C13D6}"/>
    <cellStyle name="Normal 2 4 3 3 2 2 3 2 3 2" xfId="24518" xr:uid="{A5D1714B-C655-4523-B3C7-06151C05DD26}"/>
    <cellStyle name="Normal 2 4 3 3 2 2 3 2 4" xfId="20307" xr:uid="{0E8EEF6B-C075-4BB7-B309-1A84E565B2AD}"/>
    <cellStyle name="Normal 2 4 3 3 2 2 3 3" xfId="5522" xr:uid="{00000000-0005-0000-0000-0000D90F0000}"/>
    <cellStyle name="Normal 2 4 3 3 2 2 3 3 2" xfId="13951" xr:uid="{F865CA6A-6FAD-43FC-A624-F03EB6D90855}"/>
    <cellStyle name="Normal 2 4 3 3 2 2 3 3 3" xfId="26584" xr:uid="{710C53A6-DFC5-4BBD-8E0B-8CD81993518A}"/>
    <cellStyle name="Normal 2 4 3 3 2 2 3 4" xfId="9733" xr:uid="{32E5F8B1-75A7-44CB-B43F-778840345A52}"/>
    <cellStyle name="Normal 2 4 3 3 2 2 3 4 2" xfId="22373" xr:uid="{56D96310-D861-46D1-8B86-C7F5FB50ADC5}"/>
    <cellStyle name="Normal 2 4 3 3 2 2 3 5" xfId="18162" xr:uid="{A0155C8B-8046-463C-BB06-95412496543D}"/>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F7FA7AC1-079F-4DE5-8C23-C81662ACD5E1}"/>
    <cellStyle name="Normal 2 4 3 3 2 2 4 2 2 3" xfId="29142" xr:uid="{533C7A27-0BCA-4046-8B53-A656AE861F2B}"/>
    <cellStyle name="Normal 2 4 3 3 2 2 4 2 3" xfId="12291" xr:uid="{CD5D4EAB-93B6-487C-A8ED-E2A07521935C}"/>
    <cellStyle name="Normal 2 4 3 3 2 2 4 2 3 2" xfId="24931" xr:uid="{FEC810BB-5B55-4140-8589-ADF1D607E09C}"/>
    <cellStyle name="Normal 2 4 3 3 2 2 4 2 4" xfId="20720" xr:uid="{F46B03A7-2FB5-4F32-862A-1364B6175CF9}"/>
    <cellStyle name="Normal 2 4 3 3 2 2 4 3" xfId="5935" xr:uid="{00000000-0005-0000-0000-0000DD0F0000}"/>
    <cellStyle name="Normal 2 4 3 3 2 2 4 3 2" xfId="14364" xr:uid="{ADD8A450-BBE5-4F11-B6ED-E4FBBCCEBF73}"/>
    <cellStyle name="Normal 2 4 3 3 2 2 4 3 3" xfId="26997" xr:uid="{88272DFC-AB53-4339-80C8-3365C97D262F}"/>
    <cellStyle name="Normal 2 4 3 3 2 2 4 4" xfId="10146" xr:uid="{FEDCA320-805B-4785-B4BF-6232B96D20FF}"/>
    <cellStyle name="Normal 2 4 3 3 2 2 4 4 2" xfId="22786" xr:uid="{4442A308-3B82-429D-8EEB-C57CFC3A32DD}"/>
    <cellStyle name="Normal 2 4 3 3 2 2 4 5" xfId="18575" xr:uid="{0192581F-7689-4558-B0A4-514888C92786}"/>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4B935F08-E1BF-4B09-A20F-F1765B767F45}"/>
    <cellStyle name="Normal 2 4 3 3 2 2 5 2 2 3" xfId="29555" xr:uid="{34B06123-17B7-4E3B-B1EE-A84060E6213F}"/>
    <cellStyle name="Normal 2 4 3 3 2 2 5 2 3" xfId="12704" xr:uid="{585BAA19-168D-4A3F-9907-8FCF4BD209D7}"/>
    <cellStyle name="Normal 2 4 3 3 2 2 5 2 3 2" xfId="25344" xr:uid="{B44C6BA1-A2C6-4E5A-9996-55ABA29077D6}"/>
    <cellStyle name="Normal 2 4 3 3 2 2 5 2 4" xfId="21133" xr:uid="{E816B5CE-0070-47EE-9EBB-B87B261A48F6}"/>
    <cellStyle name="Normal 2 4 3 3 2 2 5 3" xfId="6348" xr:uid="{00000000-0005-0000-0000-0000E10F0000}"/>
    <cellStyle name="Normal 2 4 3 3 2 2 5 3 2" xfId="14777" xr:uid="{E73C4140-2C2B-4938-A8D5-AEEE5912A224}"/>
    <cellStyle name="Normal 2 4 3 3 2 2 5 3 3" xfId="27410" xr:uid="{2E309ECD-10A7-4726-9FCB-027B78E04658}"/>
    <cellStyle name="Normal 2 4 3 3 2 2 5 4" xfId="10559" xr:uid="{40752378-D443-4E19-BDFA-431DCA5E1826}"/>
    <cellStyle name="Normal 2 4 3 3 2 2 5 4 2" xfId="23199" xr:uid="{1B7F48F0-ED66-48C9-B6DF-0CC88B7435AD}"/>
    <cellStyle name="Normal 2 4 3 3 2 2 5 5" xfId="18988" xr:uid="{1DA33780-91E6-412F-9757-B7905F471F6D}"/>
    <cellStyle name="Normal 2 4 3 3 2 2 6" xfId="2476" xr:uid="{00000000-0005-0000-0000-0000E20F0000}"/>
    <cellStyle name="Normal 2 4 3 3 2 2 6 2" xfId="6761" xr:uid="{00000000-0005-0000-0000-0000E30F0000}"/>
    <cellStyle name="Normal 2 4 3 3 2 2 6 2 2" xfId="15190" xr:uid="{3476DFAE-E39E-46D3-AA83-4D2321E35FA8}"/>
    <cellStyle name="Normal 2 4 3 3 2 2 6 2 3" xfId="27823" xr:uid="{666C3E19-C9B8-47FD-B476-D002E81659B6}"/>
    <cellStyle name="Normal 2 4 3 3 2 2 6 3" xfId="10972" xr:uid="{535290BB-7281-4BD9-8537-6AD51F3AE2BA}"/>
    <cellStyle name="Normal 2 4 3 3 2 2 6 3 2" xfId="23612" xr:uid="{3A5FF575-5B21-4F01-BE60-46B2E86B611E}"/>
    <cellStyle name="Normal 2 4 3 3 2 2 6 4" xfId="19401" xr:uid="{FBF41D24-4D54-4EC6-8E51-99C8681CFB66}"/>
    <cellStyle name="Normal 2 4 3 3 2 2 7" xfId="4695" xr:uid="{00000000-0005-0000-0000-0000E40F0000}"/>
    <cellStyle name="Normal 2 4 3 3 2 2 7 2" xfId="13124" xr:uid="{80411FB4-E910-4381-8E08-36CB22EC6590}"/>
    <cellStyle name="Normal 2 4 3 3 2 2 7 3" xfId="25757" xr:uid="{2043E9DF-BC8F-4D7E-B597-EBE99D871B93}"/>
    <cellStyle name="Normal 2 4 3 3 2 2 8" xfId="8906" xr:uid="{57DD2153-A2AD-460F-8CB7-13EBDEEFD6CF}"/>
    <cellStyle name="Normal 2 4 3 3 2 2 8 2" xfId="21546" xr:uid="{B8C41D09-E583-4C7B-83C2-1F42656D06E9}"/>
    <cellStyle name="Normal 2 4 3 3 2 2 9" xfId="17335" xr:uid="{F6DCC9CE-C665-4191-BFEE-382ED1839D82}"/>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D2437E3C-2F58-4031-862F-F31E4E1A05E7}"/>
    <cellStyle name="Normal 2 4 3 3 2 3 2 2 3" xfId="28315" xr:uid="{9BCCFBAC-30B7-4718-AF9D-B521342DC388}"/>
    <cellStyle name="Normal 2 4 3 3 2 3 2 3" xfId="11464" xr:uid="{41EEC0D1-D771-4E83-A596-A571B839A752}"/>
    <cellStyle name="Normal 2 4 3 3 2 3 2 3 2" xfId="24104" xr:uid="{0E9F69BB-E6F5-4C68-81E1-1A3090C83E1B}"/>
    <cellStyle name="Normal 2 4 3 3 2 3 2 4" xfId="19893" xr:uid="{31B92966-F9FF-4A48-AFA8-E0D9BF9D076B}"/>
    <cellStyle name="Normal 2 4 3 3 2 3 3" xfId="5108" xr:uid="{00000000-0005-0000-0000-0000E80F0000}"/>
    <cellStyle name="Normal 2 4 3 3 2 3 3 2" xfId="13537" xr:uid="{C4D985E0-87EF-421B-9298-F0667BE3B6B1}"/>
    <cellStyle name="Normal 2 4 3 3 2 3 3 3" xfId="26170" xr:uid="{E31F95C6-6CE0-4947-BABC-1D542BCDA64A}"/>
    <cellStyle name="Normal 2 4 3 3 2 3 4" xfId="9319" xr:uid="{40A9D024-2639-42ED-BCDA-650D019CF6BF}"/>
    <cellStyle name="Normal 2 4 3 3 2 3 4 2" xfId="21959" xr:uid="{0DD4A91C-BBC4-4F7F-B77C-DCB37A4F54A3}"/>
    <cellStyle name="Normal 2 4 3 3 2 3 5" xfId="17748" xr:uid="{98879400-F1D7-4CF8-95B6-1E1842061402}"/>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F221DC96-B10F-4573-9890-6DC3C4AC6399}"/>
    <cellStyle name="Normal 2 4 3 3 2 4 2 2 3" xfId="28728" xr:uid="{35350D62-9594-42B1-B8F0-2677A906996C}"/>
    <cellStyle name="Normal 2 4 3 3 2 4 2 3" xfId="11877" xr:uid="{B66E9107-B06A-4AD4-8911-C578D7015E5B}"/>
    <cellStyle name="Normal 2 4 3 3 2 4 2 3 2" xfId="24517" xr:uid="{4AEB5C14-F20D-4212-AA4A-142D7E13886D}"/>
    <cellStyle name="Normal 2 4 3 3 2 4 2 4" xfId="20306" xr:uid="{46A5A76F-B18C-4E99-80E0-EB1324DD8CF4}"/>
    <cellStyle name="Normal 2 4 3 3 2 4 3" xfId="5521" xr:uid="{00000000-0005-0000-0000-0000EC0F0000}"/>
    <cellStyle name="Normal 2 4 3 3 2 4 3 2" xfId="13950" xr:uid="{5DD75973-A90A-4FBF-8446-5CF3BB7A6E30}"/>
    <cellStyle name="Normal 2 4 3 3 2 4 3 3" xfId="26583" xr:uid="{044314FA-E8A9-4F4D-975D-89891B88347C}"/>
    <cellStyle name="Normal 2 4 3 3 2 4 4" xfId="9732" xr:uid="{5BAA483A-A2C3-4A95-B8F7-C8296FF199A6}"/>
    <cellStyle name="Normal 2 4 3 3 2 4 4 2" xfId="22372" xr:uid="{DDFC606F-935A-49BA-97C4-EA2AABD1ABB2}"/>
    <cellStyle name="Normal 2 4 3 3 2 4 5" xfId="18161" xr:uid="{F62413FF-C758-4545-8D43-CB4694CCD704}"/>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844A4D3E-2C52-42FD-9FC1-BB10C31D85AA}"/>
    <cellStyle name="Normal 2 4 3 3 2 5 2 2 3" xfId="29141" xr:uid="{49172501-0C3C-4D1A-B40F-DFDD2BEFBC3C}"/>
    <cellStyle name="Normal 2 4 3 3 2 5 2 3" xfId="12290" xr:uid="{06747D46-AA99-4201-BDC8-14AC418A6556}"/>
    <cellStyle name="Normal 2 4 3 3 2 5 2 3 2" xfId="24930" xr:uid="{96AB4F18-209E-4CB6-A99C-64E071B21226}"/>
    <cellStyle name="Normal 2 4 3 3 2 5 2 4" xfId="20719" xr:uid="{2F4CEB80-12DC-432C-85B0-5D8706AF6623}"/>
    <cellStyle name="Normal 2 4 3 3 2 5 3" xfId="5934" xr:uid="{00000000-0005-0000-0000-0000F00F0000}"/>
    <cellStyle name="Normal 2 4 3 3 2 5 3 2" xfId="14363" xr:uid="{3B83E2F9-6692-4C71-A053-073869D7660E}"/>
    <cellStyle name="Normal 2 4 3 3 2 5 3 3" xfId="26996" xr:uid="{CEEC53BE-1928-436E-B43C-CD3755A673BC}"/>
    <cellStyle name="Normal 2 4 3 3 2 5 4" xfId="10145" xr:uid="{2DB1C768-B754-42E5-8B7E-C3EA936D61AF}"/>
    <cellStyle name="Normal 2 4 3 3 2 5 4 2" xfId="22785" xr:uid="{5EAF937C-C067-4FC4-9406-B2C655CA656A}"/>
    <cellStyle name="Normal 2 4 3 3 2 5 5" xfId="18574" xr:uid="{1CB1802B-3F18-4F9D-9350-A3FB68025C97}"/>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F16BEC90-B8B8-493B-8978-75F6F3C90B44}"/>
    <cellStyle name="Normal 2 4 3 3 2 6 2 2 3" xfId="29554" xr:uid="{B525DE5D-F15C-4132-82A4-D060B9F65233}"/>
    <cellStyle name="Normal 2 4 3 3 2 6 2 3" xfId="12703" xr:uid="{F08D3930-BEEB-41BB-A4AA-B4CD5F36060F}"/>
    <cellStyle name="Normal 2 4 3 3 2 6 2 3 2" xfId="25343" xr:uid="{2366C112-9567-43B5-9603-C5EC9C4D8AE9}"/>
    <cellStyle name="Normal 2 4 3 3 2 6 2 4" xfId="21132" xr:uid="{FDCB3152-D24C-47C2-A317-9A7660F73734}"/>
    <cellStyle name="Normal 2 4 3 3 2 6 3" xfId="6347" xr:uid="{00000000-0005-0000-0000-0000F40F0000}"/>
    <cellStyle name="Normal 2 4 3 3 2 6 3 2" xfId="14776" xr:uid="{5D2F9547-A7B4-40B0-9E3A-4E89B8E4DBE2}"/>
    <cellStyle name="Normal 2 4 3 3 2 6 3 3" xfId="27409" xr:uid="{875C60F1-BD3F-4432-9DD1-A9CC8E14D151}"/>
    <cellStyle name="Normal 2 4 3 3 2 6 4" xfId="10558" xr:uid="{FD95B72F-9021-4055-A5A7-0C8D812A6CC5}"/>
    <cellStyle name="Normal 2 4 3 3 2 6 4 2" xfId="23198" xr:uid="{D2AA8C28-AADD-4D8B-BF0A-B8346F27186D}"/>
    <cellStyle name="Normal 2 4 3 3 2 6 5" xfId="18987" xr:uid="{2FE330F7-61B8-4893-B257-C3B82B164D0F}"/>
    <cellStyle name="Normal 2 4 3 3 2 7" xfId="2475" xr:uid="{00000000-0005-0000-0000-0000F50F0000}"/>
    <cellStyle name="Normal 2 4 3 3 2 7 2" xfId="6760" xr:uid="{00000000-0005-0000-0000-0000F60F0000}"/>
    <cellStyle name="Normal 2 4 3 3 2 7 2 2" xfId="15189" xr:uid="{1DC33FE4-464C-4D86-B7B3-9AA9FBDE6B7A}"/>
    <cellStyle name="Normal 2 4 3 3 2 7 2 3" xfId="27822" xr:uid="{C06717F7-F5EC-48B3-BBF2-D78FC894A034}"/>
    <cellStyle name="Normal 2 4 3 3 2 7 3" xfId="10971" xr:uid="{D22807D9-AD28-4F0F-A29C-DF36B42509F3}"/>
    <cellStyle name="Normal 2 4 3 3 2 7 3 2" xfId="23611" xr:uid="{000229C0-9A09-4923-BA82-7BBCB67751D3}"/>
    <cellStyle name="Normal 2 4 3 3 2 7 4" xfId="19400" xr:uid="{8B8D16C0-CB5B-4278-815D-778BC7805C83}"/>
    <cellStyle name="Normal 2 4 3 3 2 8" xfId="4694" xr:uid="{00000000-0005-0000-0000-0000F70F0000}"/>
    <cellStyle name="Normal 2 4 3 3 2 8 2" xfId="13123" xr:uid="{2BD47B56-F5F1-4B4E-9B6D-55E882F3A68C}"/>
    <cellStyle name="Normal 2 4 3 3 2 8 3" xfId="25756" xr:uid="{09FF6958-7F44-4057-B146-7B9124F54B98}"/>
    <cellStyle name="Normal 2 4 3 3 2 9" xfId="8905" xr:uid="{F7979DDA-71B2-4D0B-B3A8-CADD55C6D74C}"/>
    <cellStyle name="Normal 2 4 3 3 2 9 2" xfId="21545" xr:uid="{D4969AE2-E903-444C-AE33-29CC246C2BE7}"/>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645F83EF-A29D-480B-AEE2-67EB1C2A60B7}"/>
    <cellStyle name="Normal 2 4 3 3 3 2 2 2 3" xfId="28317" xr:uid="{A0BA65DE-4FD0-4647-860E-55A7E99C5601}"/>
    <cellStyle name="Normal 2 4 3 3 3 2 2 3" xfId="11466" xr:uid="{FBB2AE30-873A-4813-8B10-0E419524F061}"/>
    <cellStyle name="Normal 2 4 3 3 3 2 2 3 2" xfId="24106" xr:uid="{EBFA2782-8AE5-4C12-987B-C5EA2C992EA6}"/>
    <cellStyle name="Normal 2 4 3 3 3 2 2 4" xfId="19895" xr:uid="{07941C55-E431-4DB0-9E0B-1F4D0A868F40}"/>
    <cellStyle name="Normal 2 4 3 3 3 2 3" xfId="5110" xr:uid="{00000000-0005-0000-0000-0000FC0F0000}"/>
    <cellStyle name="Normal 2 4 3 3 3 2 3 2" xfId="13539" xr:uid="{50CF17F5-D2A2-4568-9527-E07DC6D8FC55}"/>
    <cellStyle name="Normal 2 4 3 3 3 2 3 3" xfId="26172" xr:uid="{417D1275-704B-44E1-911F-9996717DAC6A}"/>
    <cellStyle name="Normal 2 4 3 3 3 2 4" xfId="9321" xr:uid="{61DE02D0-5CF3-4104-80F9-ACE6086B9B08}"/>
    <cellStyle name="Normal 2 4 3 3 3 2 4 2" xfId="21961" xr:uid="{235ED945-79E4-475D-A661-92537369F250}"/>
    <cellStyle name="Normal 2 4 3 3 3 2 5" xfId="17750" xr:uid="{C2B353AC-3150-45AB-AD34-55007714DFCE}"/>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62CA9DDF-2BB8-46A8-B43E-07F0FD2F630C}"/>
    <cellStyle name="Normal 2 4 3 3 3 3 2 2 3" xfId="28730" xr:uid="{BC72917C-D584-4038-850F-10F5951FF082}"/>
    <cellStyle name="Normal 2 4 3 3 3 3 2 3" xfId="11879" xr:uid="{A89BC84F-5286-4E85-90F1-A6E67D39F0D3}"/>
    <cellStyle name="Normal 2 4 3 3 3 3 2 3 2" xfId="24519" xr:uid="{2B6130F4-2CF9-4A31-8D91-D0E18FB88399}"/>
    <cellStyle name="Normal 2 4 3 3 3 3 2 4" xfId="20308" xr:uid="{B80A32FA-BCB3-42FD-B2FF-75447D9819AE}"/>
    <cellStyle name="Normal 2 4 3 3 3 3 3" xfId="5523" xr:uid="{00000000-0005-0000-0000-000000100000}"/>
    <cellStyle name="Normal 2 4 3 3 3 3 3 2" xfId="13952" xr:uid="{A5B1FE57-6073-41CB-81F2-F4DA525AD60D}"/>
    <cellStyle name="Normal 2 4 3 3 3 3 3 3" xfId="26585" xr:uid="{E7D1446C-29F2-45C1-A9DD-D2294E4EB6F6}"/>
    <cellStyle name="Normal 2 4 3 3 3 3 4" xfId="9734" xr:uid="{7D3AD0EE-8CFF-4117-8EDD-B7A3C850DC9A}"/>
    <cellStyle name="Normal 2 4 3 3 3 3 4 2" xfId="22374" xr:uid="{85C2DEBC-D2DE-4D0C-A589-D2C92ADAC371}"/>
    <cellStyle name="Normal 2 4 3 3 3 3 5" xfId="18163" xr:uid="{1FF2B4CD-C42D-4018-A698-F7EDC93716C3}"/>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64311434-AD86-4C37-B9E7-3C44926EC73D}"/>
    <cellStyle name="Normal 2 4 3 3 3 4 2 2 3" xfId="29143" xr:uid="{DD5A8001-E711-462B-A32A-ADDE183699FA}"/>
    <cellStyle name="Normal 2 4 3 3 3 4 2 3" xfId="12292" xr:uid="{4020604C-FC00-4BDE-8EBB-BA2A6D989473}"/>
    <cellStyle name="Normal 2 4 3 3 3 4 2 3 2" xfId="24932" xr:uid="{FE59315B-40EC-4A02-AAC2-939CD2CF741A}"/>
    <cellStyle name="Normal 2 4 3 3 3 4 2 4" xfId="20721" xr:uid="{1081F2C1-A0B0-47C2-B9CB-8C3F5A1013DA}"/>
    <cellStyle name="Normal 2 4 3 3 3 4 3" xfId="5936" xr:uid="{00000000-0005-0000-0000-000004100000}"/>
    <cellStyle name="Normal 2 4 3 3 3 4 3 2" xfId="14365" xr:uid="{92D115DD-85F4-4BBE-A8E9-456B34758412}"/>
    <cellStyle name="Normal 2 4 3 3 3 4 3 3" xfId="26998" xr:uid="{E67F1B54-9EE2-42AF-A12F-B07214871952}"/>
    <cellStyle name="Normal 2 4 3 3 3 4 4" xfId="10147" xr:uid="{A930E88F-84B5-4616-A867-85F26F49D560}"/>
    <cellStyle name="Normal 2 4 3 3 3 4 4 2" xfId="22787" xr:uid="{8640E4E4-7EC8-4BE0-8876-A45E1FAB90E4}"/>
    <cellStyle name="Normal 2 4 3 3 3 4 5" xfId="18576" xr:uid="{5603F2EF-4D9B-4F53-98B3-639E8CE50771}"/>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A9930B41-243B-4E21-9B9D-FE069B9677B4}"/>
    <cellStyle name="Normal 2 4 3 3 3 5 2 2 3" xfId="29556" xr:uid="{580A9F4B-6701-4036-95BF-DFCE1593A5A3}"/>
    <cellStyle name="Normal 2 4 3 3 3 5 2 3" xfId="12705" xr:uid="{65CDE040-1CA4-42E7-B151-CA0A3DA51DF8}"/>
    <cellStyle name="Normal 2 4 3 3 3 5 2 3 2" xfId="25345" xr:uid="{BA288F2A-D235-467C-A7DA-B641C8B8A7D8}"/>
    <cellStyle name="Normal 2 4 3 3 3 5 2 4" xfId="21134" xr:uid="{DDC301BF-E3AF-4705-A623-2773DED2DA35}"/>
    <cellStyle name="Normal 2 4 3 3 3 5 3" xfId="6349" xr:uid="{00000000-0005-0000-0000-000008100000}"/>
    <cellStyle name="Normal 2 4 3 3 3 5 3 2" xfId="14778" xr:uid="{1117341A-05FD-4EEE-B872-F3F04EAB8132}"/>
    <cellStyle name="Normal 2 4 3 3 3 5 3 3" xfId="27411" xr:uid="{1CD5351D-03CD-47F0-9D97-7381BC2CC732}"/>
    <cellStyle name="Normal 2 4 3 3 3 5 4" xfId="10560" xr:uid="{D49C9CC9-ED2A-427B-BAD7-B3D89D4D1AE9}"/>
    <cellStyle name="Normal 2 4 3 3 3 5 4 2" xfId="23200" xr:uid="{EFD0614A-DA03-4CF8-BED3-5E1419FE8B7B}"/>
    <cellStyle name="Normal 2 4 3 3 3 5 5" xfId="18989" xr:uid="{7610AA21-0841-4A9A-A152-6132AC9E213B}"/>
    <cellStyle name="Normal 2 4 3 3 3 6" xfId="2477" xr:uid="{00000000-0005-0000-0000-000009100000}"/>
    <cellStyle name="Normal 2 4 3 3 3 6 2" xfId="6762" xr:uid="{00000000-0005-0000-0000-00000A100000}"/>
    <cellStyle name="Normal 2 4 3 3 3 6 2 2" xfId="15191" xr:uid="{0A71B810-7835-4164-9BB5-0E7F4C45384B}"/>
    <cellStyle name="Normal 2 4 3 3 3 6 2 3" xfId="27824" xr:uid="{354EE2E3-E2AE-441F-BAB1-F984D88959A1}"/>
    <cellStyle name="Normal 2 4 3 3 3 6 3" xfId="10973" xr:uid="{271FFACE-6B45-40B7-9E6A-D7605832DA58}"/>
    <cellStyle name="Normal 2 4 3 3 3 6 3 2" xfId="23613" xr:uid="{38622AC3-7A36-4FC0-A59F-41B48153A790}"/>
    <cellStyle name="Normal 2 4 3 3 3 6 4" xfId="19402" xr:uid="{F0BE72C3-B969-4D4A-BCC1-C06B041A4BFE}"/>
    <cellStyle name="Normal 2 4 3 3 3 7" xfId="4696" xr:uid="{00000000-0005-0000-0000-00000B100000}"/>
    <cellStyle name="Normal 2 4 3 3 3 7 2" xfId="13125" xr:uid="{D0619469-7792-419F-A16B-EA55FC2999BF}"/>
    <cellStyle name="Normal 2 4 3 3 3 7 3" xfId="25758" xr:uid="{CF969157-74FC-42D9-92A7-3807B8D9F363}"/>
    <cellStyle name="Normal 2 4 3 3 3 8" xfId="8907" xr:uid="{EA2861D8-D47D-4E88-B8B6-10C01EFFB025}"/>
    <cellStyle name="Normal 2 4 3 3 3 8 2" xfId="21547" xr:uid="{E471B03D-B585-42EF-853C-5A753E85216F}"/>
    <cellStyle name="Normal 2 4 3 3 3 9" xfId="17336" xr:uid="{E8149C24-8CEB-47E8-9C50-46B481967926}"/>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423E7299-BF0A-4EF7-83B9-9993EEB3A037}"/>
    <cellStyle name="Normal 2 4 3 3 4 2 2 3" xfId="28314" xr:uid="{C6109D32-05EC-4A17-B98D-B26204DFAD52}"/>
    <cellStyle name="Normal 2 4 3 3 4 2 3" xfId="11463" xr:uid="{A200C2A5-8FCE-49D2-820B-36FEB62639BF}"/>
    <cellStyle name="Normal 2 4 3 3 4 2 3 2" xfId="24103" xr:uid="{83F061C6-D888-4C1D-A865-F2775D3A7880}"/>
    <cellStyle name="Normal 2 4 3 3 4 2 4" xfId="19892" xr:uid="{1BA4F680-F532-4B3D-B819-DAED9E8E7380}"/>
    <cellStyle name="Normal 2 4 3 3 4 3" xfId="5107" xr:uid="{00000000-0005-0000-0000-00000F100000}"/>
    <cellStyle name="Normal 2 4 3 3 4 3 2" xfId="13536" xr:uid="{5B132EBD-A8DA-4635-8372-9E7FA356840F}"/>
    <cellStyle name="Normal 2 4 3 3 4 3 3" xfId="26169" xr:uid="{9270C03A-1EF8-4508-8278-2C910E1EB050}"/>
    <cellStyle name="Normal 2 4 3 3 4 4" xfId="9318" xr:uid="{E615D23C-6B75-434D-911C-9806A54D7FCD}"/>
    <cellStyle name="Normal 2 4 3 3 4 4 2" xfId="21958" xr:uid="{23AFA2C6-2A89-4052-8C36-152A9118B134}"/>
    <cellStyle name="Normal 2 4 3 3 4 5" xfId="17747" xr:uid="{5F662109-F082-4AA9-A328-9906D3B40827}"/>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31DB17F9-3AA6-4E65-A710-B500E3111279}"/>
    <cellStyle name="Normal 2 4 3 3 5 2 2 3" xfId="28727" xr:uid="{DF03117B-7B14-4438-8F7D-EBC9E8EB3346}"/>
    <cellStyle name="Normal 2 4 3 3 5 2 3" xfId="11876" xr:uid="{6FB3F616-4A23-4A27-8E24-029B8643A0E5}"/>
    <cellStyle name="Normal 2 4 3 3 5 2 3 2" xfId="24516" xr:uid="{05E12E5D-FF74-4F93-AA83-0B7EDA7A0D2F}"/>
    <cellStyle name="Normal 2 4 3 3 5 2 4" xfId="20305" xr:uid="{BC5C17FC-6746-4C95-86A8-52EC44956441}"/>
    <cellStyle name="Normal 2 4 3 3 5 3" xfId="5520" xr:uid="{00000000-0005-0000-0000-000013100000}"/>
    <cellStyle name="Normal 2 4 3 3 5 3 2" xfId="13949" xr:uid="{2F28FB1E-365D-4FBB-93B7-50A2C9EDF737}"/>
    <cellStyle name="Normal 2 4 3 3 5 3 3" xfId="26582" xr:uid="{CFE62E37-A204-4290-A6A8-2BA88A629FF4}"/>
    <cellStyle name="Normal 2 4 3 3 5 4" xfId="9731" xr:uid="{22621AC7-81C0-48DD-ACE5-83400823100A}"/>
    <cellStyle name="Normal 2 4 3 3 5 4 2" xfId="22371" xr:uid="{3A310AB8-0384-4FC3-A32E-E18D336BBDA8}"/>
    <cellStyle name="Normal 2 4 3 3 5 5" xfId="18160" xr:uid="{0520CBE1-ED4E-463A-BCA9-2AAF1D149AB4}"/>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97E03301-7B6F-440B-A887-D342EBCD37ED}"/>
    <cellStyle name="Normal 2 4 3 3 6 2 2 3" xfId="29140" xr:uid="{A1962119-BA7D-4955-9B11-D9EC1CCFF6E2}"/>
    <cellStyle name="Normal 2 4 3 3 6 2 3" xfId="12289" xr:uid="{6D4D9BD2-C582-4231-AEBA-43E5723DF72C}"/>
    <cellStyle name="Normal 2 4 3 3 6 2 3 2" xfId="24929" xr:uid="{0222D096-21A6-48C4-877C-6B40FA7424EB}"/>
    <cellStyle name="Normal 2 4 3 3 6 2 4" xfId="20718" xr:uid="{BD734B42-255A-4ABF-B6DF-442F12E70598}"/>
    <cellStyle name="Normal 2 4 3 3 6 3" xfId="5933" xr:uid="{00000000-0005-0000-0000-000017100000}"/>
    <cellStyle name="Normal 2 4 3 3 6 3 2" xfId="14362" xr:uid="{12855F4D-CB54-40BF-B67A-E2FD53B59E3C}"/>
    <cellStyle name="Normal 2 4 3 3 6 3 3" xfId="26995" xr:uid="{6CA2F945-9769-4CFB-A252-2192E03692CF}"/>
    <cellStyle name="Normal 2 4 3 3 6 4" xfId="10144" xr:uid="{8FB11E50-1AAC-4B4B-B25E-1B9381050C7D}"/>
    <cellStyle name="Normal 2 4 3 3 6 4 2" xfId="22784" xr:uid="{200D8933-1D14-402E-9C2B-8D979CA49C06}"/>
    <cellStyle name="Normal 2 4 3 3 6 5" xfId="18573" xr:uid="{6BAAB13D-4279-47E9-983E-920F69F1E7E5}"/>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DCDCED81-874E-4225-8A61-C0620BE0B11D}"/>
    <cellStyle name="Normal 2 4 3 3 7 2 2 3" xfId="29553" xr:uid="{52D430DA-E32D-4C2A-B454-7870DA51BD15}"/>
    <cellStyle name="Normal 2 4 3 3 7 2 3" xfId="12702" xr:uid="{BBF0FB2D-52F2-4853-BA85-1729745365B5}"/>
    <cellStyle name="Normal 2 4 3 3 7 2 3 2" xfId="25342" xr:uid="{DE8A292E-57BA-47EE-BACA-47CE1A1C1537}"/>
    <cellStyle name="Normal 2 4 3 3 7 2 4" xfId="21131" xr:uid="{BC8F3CAF-0786-4417-9E35-8F3C3C45C25A}"/>
    <cellStyle name="Normal 2 4 3 3 7 3" xfId="6346" xr:uid="{00000000-0005-0000-0000-00001B100000}"/>
    <cellStyle name="Normal 2 4 3 3 7 3 2" xfId="14775" xr:uid="{9AAD9942-35FF-4B04-A335-449AE5610879}"/>
    <cellStyle name="Normal 2 4 3 3 7 3 3" xfId="27408" xr:uid="{207158E1-C864-40C4-AEE3-47ED326CDB37}"/>
    <cellStyle name="Normal 2 4 3 3 7 4" xfId="10557" xr:uid="{4E08773B-3D1E-469B-91CB-E2982A390462}"/>
    <cellStyle name="Normal 2 4 3 3 7 4 2" xfId="23197" xr:uid="{DB7B46C6-0B31-4A53-8CC9-D114F3A1A8EC}"/>
    <cellStyle name="Normal 2 4 3 3 7 5" xfId="18986" xr:uid="{DC6D09CF-BF27-41A0-9C0C-E03053AB32A4}"/>
    <cellStyle name="Normal 2 4 3 3 8" xfId="2474" xr:uid="{00000000-0005-0000-0000-00001C100000}"/>
    <cellStyle name="Normal 2 4 3 3 8 2" xfId="6759" xr:uid="{00000000-0005-0000-0000-00001D100000}"/>
    <cellStyle name="Normal 2 4 3 3 8 2 2" xfId="15188" xr:uid="{D7C8A4C8-78D0-4B9C-AE8C-A315D442C9C8}"/>
    <cellStyle name="Normal 2 4 3 3 8 2 3" xfId="27821" xr:uid="{C4727F84-5B83-4265-97FB-2BEFACDDF58B}"/>
    <cellStyle name="Normal 2 4 3 3 8 3" xfId="10970" xr:uid="{46548482-801E-4B89-B923-12ED4C5302FF}"/>
    <cellStyle name="Normal 2 4 3 3 8 3 2" xfId="23610" xr:uid="{2F073375-8C4B-412F-B088-4910D9193DDA}"/>
    <cellStyle name="Normal 2 4 3 3 8 4" xfId="19399" xr:uid="{1F728A7F-0580-4EAE-8525-2902F1F5BF76}"/>
    <cellStyle name="Normal 2 4 3 3 9" xfId="4693" xr:uid="{00000000-0005-0000-0000-00001E100000}"/>
    <cellStyle name="Normal 2 4 3 3 9 2" xfId="13122" xr:uid="{47C61C82-1529-44F0-8588-DD4B51E9A37F}"/>
    <cellStyle name="Normal 2 4 3 3 9 3" xfId="25755" xr:uid="{3166F576-A06E-48E3-A3DC-B7241E3B58EC}"/>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2BBD4CD2-C307-40F9-B6C5-97377606915E}"/>
    <cellStyle name="Normal 2 4 3 4 2 2 3" xfId="28313" xr:uid="{6D2C3399-4605-4F74-BAB1-D9B877F89D5F}"/>
    <cellStyle name="Normal 2 4 3 4 2 3" xfId="11462" xr:uid="{5DF46DE5-78B0-4309-B691-2673F801DD87}"/>
    <cellStyle name="Normal 2 4 3 4 2 3 2" xfId="24102" xr:uid="{27012240-8C82-4F60-A9C1-9302DB2F8DF1}"/>
    <cellStyle name="Normal 2 4 3 4 2 4" xfId="19891" xr:uid="{09225D34-6498-4EC1-9CE6-BF91F7584F59}"/>
    <cellStyle name="Normal 2 4 3 4 3" xfId="5106" xr:uid="{00000000-0005-0000-0000-000022100000}"/>
    <cellStyle name="Normal 2 4 3 4 3 2" xfId="13535" xr:uid="{53604658-EF92-4A70-AE79-8961BECF3054}"/>
    <cellStyle name="Normal 2 4 3 4 3 3" xfId="26168" xr:uid="{DB075CAD-646E-4E70-897C-D8282F9EE7C7}"/>
    <cellStyle name="Normal 2 4 3 4 4" xfId="9317" xr:uid="{EE92AE2E-9C4C-4574-A914-4EB101BB6F40}"/>
    <cellStyle name="Normal 2 4 3 4 4 2" xfId="21957" xr:uid="{6A0F5C07-46F7-43E1-AC46-5DC15A9F668A}"/>
    <cellStyle name="Normal 2 4 3 4 5" xfId="17746" xr:uid="{2EF55A73-9C27-40E7-AA9A-2019C1B501B5}"/>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7520B807-EE68-4245-8F9B-B08FC5132714}"/>
    <cellStyle name="Normal 2 4 3 5 2 2 3" xfId="28726" xr:uid="{6AD3289A-BB9E-4684-8395-6957865FEC0D}"/>
    <cellStyle name="Normal 2 4 3 5 2 3" xfId="11875" xr:uid="{D06C34FF-DC80-4788-A8B9-961F3D0BF2E3}"/>
    <cellStyle name="Normal 2 4 3 5 2 3 2" xfId="24515" xr:uid="{5C7171C9-FFDA-436B-AB8F-D0B405901E34}"/>
    <cellStyle name="Normal 2 4 3 5 2 4" xfId="20304" xr:uid="{9DACB477-0B6C-4315-B6C3-D436230F0CF2}"/>
    <cellStyle name="Normal 2 4 3 5 3" xfId="5519" xr:uid="{00000000-0005-0000-0000-000026100000}"/>
    <cellStyle name="Normal 2 4 3 5 3 2" xfId="13948" xr:uid="{614B31E3-4250-490A-AC7F-F8156858D3BA}"/>
    <cellStyle name="Normal 2 4 3 5 3 3" xfId="26581" xr:uid="{31E454F3-EBEB-49A5-BCCF-EBE2B2A0B759}"/>
    <cellStyle name="Normal 2 4 3 5 4" xfId="9730" xr:uid="{0FBF56F5-89AD-4321-AD09-86B44943A6CC}"/>
    <cellStyle name="Normal 2 4 3 5 4 2" xfId="22370" xr:uid="{66FA6D8C-2334-46C2-A967-049ABFA5FE77}"/>
    <cellStyle name="Normal 2 4 3 5 5" xfId="18159" xr:uid="{B90E6AB5-3E40-4D1B-AD70-AD8D7E6428FC}"/>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72B8785B-6135-42F5-9804-CB79E171C7C2}"/>
    <cellStyle name="Normal 2 4 3 6 2 2 3" xfId="29139" xr:uid="{C1DB989C-675D-49BF-9FD2-6BFE01AB63A9}"/>
    <cellStyle name="Normal 2 4 3 6 2 3" xfId="12288" xr:uid="{8CB1526A-B842-469F-8888-57243251C5A1}"/>
    <cellStyle name="Normal 2 4 3 6 2 3 2" xfId="24928" xr:uid="{60E1298D-0927-441D-8B6B-968439B8F868}"/>
    <cellStyle name="Normal 2 4 3 6 2 4" xfId="20717" xr:uid="{F9030C42-EFA8-49AD-AEB7-EE60DC2C13DF}"/>
    <cellStyle name="Normal 2 4 3 6 3" xfId="5932" xr:uid="{00000000-0005-0000-0000-00002A100000}"/>
    <cellStyle name="Normal 2 4 3 6 3 2" xfId="14361" xr:uid="{F623C4BA-AED6-40ED-8E6D-82BD239DC210}"/>
    <cellStyle name="Normal 2 4 3 6 3 3" xfId="26994" xr:uid="{4C1F8CC7-C9CC-46C4-BEE0-B726AB545AEF}"/>
    <cellStyle name="Normal 2 4 3 6 4" xfId="10143" xr:uid="{31945860-9496-4B61-A5DA-95B92B01CD61}"/>
    <cellStyle name="Normal 2 4 3 6 4 2" xfId="22783" xr:uid="{A176D551-6533-4B8E-80FB-BC773AD2DF88}"/>
    <cellStyle name="Normal 2 4 3 6 5" xfId="18572" xr:uid="{49164835-0A91-404A-B6DE-3ACBBCEEA444}"/>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1D556B4F-D1F3-45D6-B7D3-26158A06F0A1}"/>
    <cellStyle name="Normal 2 4 3 7 2 2 3" xfId="29552" xr:uid="{D46FF6CC-6468-43C8-BEFA-C415E756A2AD}"/>
    <cellStyle name="Normal 2 4 3 7 2 3" xfId="12701" xr:uid="{998CAEE2-11D0-4D3F-B41F-FFA003FF6918}"/>
    <cellStyle name="Normal 2 4 3 7 2 3 2" xfId="25341" xr:uid="{52827E23-576E-4CD9-B303-05D3A350A30C}"/>
    <cellStyle name="Normal 2 4 3 7 2 4" xfId="21130" xr:uid="{46B7B3B4-29A4-4B42-88D6-5779823E6851}"/>
    <cellStyle name="Normal 2 4 3 7 3" xfId="6345" xr:uid="{00000000-0005-0000-0000-00002E100000}"/>
    <cellStyle name="Normal 2 4 3 7 3 2" xfId="14774" xr:uid="{38C7B41A-562A-4E84-83CE-EB208403ABF3}"/>
    <cellStyle name="Normal 2 4 3 7 3 3" xfId="27407" xr:uid="{5EBC0843-7E28-4393-A857-6545A8B511FE}"/>
    <cellStyle name="Normal 2 4 3 7 4" xfId="10556" xr:uid="{F74D589B-91ED-483D-917E-BBE5257672B6}"/>
    <cellStyle name="Normal 2 4 3 7 4 2" xfId="23196" xr:uid="{41B9E588-D9C0-4A08-9B00-4A66BB3B5AA8}"/>
    <cellStyle name="Normal 2 4 3 7 5" xfId="18985" xr:uid="{B5CC0036-15B3-42FA-9F91-64F198A7BFEA}"/>
    <cellStyle name="Normal 2 4 3 8" xfId="2473" xr:uid="{00000000-0005-0000-0000-00002F100000}"/>
    <cellStyle name="Normal 2 4 3 8 2" xfId="6758" xr:uid="{00000000-0005-0000-0000-000030100000}"/>
    <cellStyle name="Normal 2 4 3 8 2 2" xfId="15187" xr:uid="{3F41099C-E692-4830-BAC0-F9621741C73B}"/>
    <cellStyle name="Normal 2 4 3 8 2 3" xfId="27820" xr:uid="{DF712BC1-A869-4A58-B5B9-C8A931686DC1}"/>
    <cellStyle name="Normal 2 4 3 8 3" xfId="10969" xr:uid="{DB95D67B-AF44-49E5-8559-ADB9664C3B20}"/>
    <cellStyle name="Normal 2 4 3 8 3 2" xfId="23609" xr:uid="{5EE9287F-FAD7-4C07-BD1D-9F8C2DDFA8E6}"/>
    <cellStyle name="Normal 2 4 3 8 4" xfId="19398" xr:uid="{58C8CC00-2C41-4063-9F42-1CE0E5D4B4DD}"/>
    <cellStyle name="Normal 2 4 3 9" xfId="4692" xr:uid="{00000000-0005-0000-0000-000031100000}"/>
    <cellStyle name="Normal 2 4 3 9 2" xfId="13121" xr:uid="{4EC3E5A1-B69B-4204-96AD-2CC87CA05BF5}"/>
    <cellStyle name="Normal 2 4 3 9 3" xfId="25754" xr:uid="{42B3E473-3C4D-4C6B-B212-79952274C777}"/>
    <cellStyle name="Normal 2 4 4" xfId="302" xr:uid="{00000000-0005-0000-0000-000032100000}"/>
    <cellStyle name="Normal 2 4 5" xfId="303" xr:uid="{00000000-0005-0000-0000-000033100000}"/>
    <cellStyle name="Normal 2 4 5 10" xfId="4697" xr:uid="{00000000-0005-0000-0000-000034100000}"/>
    <cellStyle name="Normal 2 4 5 10 2" xfId="13126" xr:uid="{E7AE9138-363E-40FC-BA6C-E95EC7A925CD}"/>
    <cellStyle name="Normal 2 4 5 10 3" xfId="25759" xr:uid="{87D916B1-E175-4052-890A-D2221112C161}"/>
    <cellStyle name="Normal 2 4 5 11" xfId="8908" xr:uid="{AC61930F-2B2D-4F2A-BF0F-C9BF00B069A4}"/>
    <cellStyle name="Normal 2 4 5 11 2" xfId="21548" xr:uid="{617573C6-FB8D-4D42-927A-E12DCE3A5429}"/>
    <cellStyle name="Normal 2 4 5 12" xfId="17337" xr:uid="{EBDA4F52-8530-49B8-A479-44AB06649587}"/>
    <cellStyle name="Normal 2 4 5 2" xfId="304" xr:uid="{00000000-0005-0000-0000-000035100000}"/>
    <cellStyle name="Normal 2 4 5 2 10" xfId="8909" xr:uid="{B311BA7D-84F2-40C8-9D4F-83E81A8C482D}"/>
    <cellStyle name="Normal 2 4 5 2 10 2" xfId="21549" xr:uid="{173A7437-2262-43A1-B4D5-86F5DD2C98A6}"/>
    <cellStyle name="Normal 2 4 5 2 11" xfId="17338" xr:uid="{4019E4CF-BDEE-4ECD-9D6D-3B84C31635B7}"/>
    <cellStyle name="Normal 2 4 5 2 2" xfId="305" xr:uid="{00000000-0005-0000-0000-000036100000}"/>
    <cellStyle name="Normal 2 4 5 2 2 10" xfId="17339" xr:uid="{30B2232D-1428-4124-A8D2-A5D3AE169C29}"/>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A8818560-0828-4BA0-AC21-57DDF632D6D9}"/>
    <cellStyle name="Normal 2 4 5 2 2 2 2 2 2 3" xfId="28321" xr:uid="{E6E1B5A0-2D21-4AC6-9C52-CE11A24B0455}"/>
    <cellStyle name="Normal 2 4 5 2 2 2 2 2 3" xfId="11470" xr:uid="{90F7A448-7E07-4301-BC24-999E4827AF14}"/>
    <cellStyle name="Normal 2 4 5 2 2 2 2 2 3 2" xfId="24110" xr:uid="{DA3A72B0-EE9C-4A99-A055-E0A000D124B0}"/>
    <cellStyle name="Normal 2 4 5 2 2 2 2 2 4" xfId="19899" xr:uid="{0E668EFD-2E53-4C48-81E2-8861C1370AC0}"/>
    <cellStyle name="Normal 2 4 5 2 2 2 2 3" xfId="5114" xr:uid="{00000000-0005-0000-0000-00003B100000}"/>
    <cellStyle name="Normal 2 4 5 2 2 2 2 3 2" xfId="13543" xr:uid="{A4DB77AD-1D1A-4379-8405-095D5ABC5F34}"/>
    <cellStyle name="Normal 2 4 5 2 2 2 2 3 3" xfId="26176" xr:uid="{5ED978C0-588E-4820-B74F-0D1BC1390C9E}"/>
    <cellStyle name="Normal 2 4 5 2 2 2 2 4" xfId="9325" xr:uid="{834A76F8-A015-4957-99AC-D45C13E83A96}"/>
    <cellStyle name="Normal 2 4 5 2 2 2 2 4 2" xfId="21965" xr:uid="{617C2984-D2CB-4A78-B29C-2634605C5508}"/>
    <cellStyle name="Normal 2 4 5 2 2 2 2 5" xfId="17754" xr:uid="{2350B45E-572A-4EFF-81D7-DBE5D048C2C6}"/>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6AB5AAC2-6A09-4B5E-A6F2-AB20DF178409}"/>
    <cellStyle name="Normal 2 4 5 2 2 2 3 2 2 3" xfId="28734" xr:uid="{B9B08F11-99B0-4038-B6BC-E5B722D3D847}"/>
    <cellStyle name="Normal 2 4 5 2 2 2 3 2 3" xfId="11883" xr:uid="{E73BC920-FC15-475D-94B4-52A7B25C3D20}"/>
    <cellStyle name="Normal 2 4 5 2 2 2 3 2 3 2" xfId="24523" xr:uid="{98BBB14D-F8AE-4BC5-BF05-9E79D06DCC01}"/>
    <cellStyle name="Normal 2 4 5 2 2 2 3 2 4" xfId="20312" xr:uid="{969988E2-230A-4594-BA10-C96B8AA2527F}"/>
    <cellStyle name="Normal 2 4 5 2 2 2 3 3" xfId="5527" xr:uid="{00000000-0005-0000-0000-00003F100000}"/>
    <cellStyle name="Normal 2 4 5 2 2 2 3 3 2" xfId="13956" xr:uid="{6F3BCE87-737E-4F98-88B2-1DF0570D9BED}"/>
    <cellStyle name="Normal 2 4 5 2 2 2 3 3 3" xfId="26589" xr:uid="{D1B5D6D8-5891-4FD0-8E57-F0BF79AB3BB5}"/>
    <cellStyle name="Normal 2 4 5 2 2 2 3 4" xfId="9738" xr:uid="{775F9217-31D5-4520-A76F-527AEBED342F}"/>
    <cellStyle name="Normal 2 4 5 2 2 2 3 4 2" xfId="22378" xr:uid="{18BE4CF4-4EAC-4298-89AF-3A9AE1896BFF}"/>
    <cellStyle name="Normal 2 4 5 2 2 2 3 5" xfId="18167" xr:uid="{5461F476-BD02-4D26-8D3C-2B57CDB9879D}"/>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7475C3CD-6163-4FB6-892F-5E4E72031230}"/>
    <cellStyle name="Normal 2 4 5 2 2 2 4 2 2 3" xfId="29147" xr:uid="{F63B8F8E-A892-4827-8F77-C3A83B00AB72}"/>
    <cellStyle name="Normal 2 4 5 2 2 2 4 2 3" xfId="12296" xr:uid="{8CD75A4C-415C-4BD7-B204-F2613A2877DA}"/>
    <cellStyle name="Normal 2 4 5 2 2 2 4 2 3 2" xfId="24936" xr:uid="{B92C8EFA-A6A9-447D-BB17-518EE16BE696}"/>
    <cellStyle name="Normal 2 4 5 2 2 2 4 2 4" xfId="20725" xr:uid="{E436DE82-43E2-4C6F-B340-807B54BF4395}"/>
    <cellStyle name="Normal 2 4 5 2 2 2 4 3" xfId="5940" xr:uid="{00000000-0005-0000-0000-000043100000}"/>
    <cellStyle name="Normal 2 4 5 2 2 2 4 3 2" xfId="14369" xr:uid="{23836D9F-4E93-4581-A405-30598CB67402}"/>
    <cellStyle name="Normal 2 4 5 2 2 2 4 3 3" xfId="27002" xr:uid="{513E889A-76D8-417F-9BE5-A42D1302D4B9}"/>
    <cellStyle name="Normal 2 4 5 2 2 2 4 4" xfId="10151" xr:uid="{6AC25F25-C2A5-4B65-BAD7-C1EACB130A4C}"/>
    <cellStyle name="Normal 2 4 5 2 2 2 4 4 2" xfId="22791" xr:uid="{31C140C4-F8B0-4C92-8D5A-978C58315889}"/>
    <cellStyle name="Normal 2 4 5 2 2 2 4 5" xfId="18580" xr:uid="{FC476A44-6B31-40AD-B409-03DBCC7DA64E}"/>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DF736DCE-C7B9-4B0C-B768-87C28061F180}"/>
    <cellStyle name="Normal 2 4 5 2 2 2 5 2 2 3" xfId="29560" xr:uid="{CABEFE27-41AA-4591-A30E-5EC54999B8BC}"/>
    <cellStyle name="Normal 2 4 5 2 2 2 5 2 3" xfId="12709" xr:uid="{6543F58A-06F4-40DA-9CB6-7056AF01D637}"/>
    <cellStyle name="Normal 2 4 5 2 2 2 5 2 3 2" xfId="25349" xr:uid="{E7458EF0-79E7-4E13-BC39-D192E629ABE7}"/>
    <cellStyle name="Normal 2 4 5 2 2 2 5 2 4" xfId="21138" xr:uid="{FE0B9C66-0F64-4062-A46F-06A3824F5769}"/>
    <cellStyle name="Normal 2 4 5 2 2 2 5 3" xfId="6353" xr:uid="{00000000-0005-0000-0000-000047100000}"/>
    <cellStyle name="Normal 2 4 5 2 2 2 5 3 2" xfId="14782" xr:uid="{3DA198CC-D7A3-4A83-83D2-5E4C56E3AEB9}"/>
    <cellStyle name="Normal 2 4 5 2 2 2 5 3 3" xfId="27415" xr:uid="{649C6162-1880-4CBE-92C1-3DCC82971C19}"/>
    <cellStyle name="Normal 2 4 5 2 2 2 5 4" xfId="10564" xr:uid="{1E00E91D-3D97-486A-A8EB-86A415B99075}"/>
    <cellStyle name="Normal 2 4 5 2 2 2 5 4 2" xfId="23204" xr:uid="{C8BA89F7-073C-451F-B5BD-821F14EA2B25}"/>
    <cellStyle name="Normal 2 4 5 2 2 2 5 5" xfId="18993" xr:uid="{CF1F3648-4ED5-453A-82AC-BF224A77135A}"/>
    <cellStyle name="Normal 2 4 5 2 2 2 6" xfId="2481" xr:uid="{00000000-0005-0000-0000-000048100000}"/>
    <cellStyle name="Normal 2 4 5 2 2 2 6 2" xfId="6766" xr:uid="{00000000-0005-0000-0000-000049100000}"/>
    <cellStyle name="Normal 2 4 5 2 2 2 6 2 2" xfId="15195" xr:uid="{C5AF6A76-0025-4F39-858A-78A9EA39C621}"/>
    <cellStyle name="Normal 2 4 5 2 2 2 6 2 3" xfId="27828" xr:uid="{122D6A8E-7B7E-4D7F-91F3-025021B65563}"/>
    <cellStyle name="Normal 2 4 5 2 2 2 6 3" xfId="10977" xr:uid="{13DD5A51-5ABC-4832-A2FB-E810BBB961A5}"/>
    <cellStyle name="Normal 2 4 5 2 2 2 6 3 2" xfId="23617" xr:uid="{302F070A-1E0F-4695-B801-1D3D43EC44EC}"/>
    <cellStyle name="Normal 2 4 5 2 2 2 6 4" xfId="19406" xr:uid="{50820272-AB6D-4487-8042-81F607C1FF1B}"/>
    <cellStyle name="Normal 2 4 5 2 2 2 7" xfId="4700" xr:uid="{00000000-0005-0000-0000-00004A100000}"/>
    <cellStyle name="Normal 2 4 5 2 2 2 7 2" xfId="13129" xr:uid="{6DF2EE56-6F4D-41C4-BD9D-FA08A141B1AC}"/>
    <cellStyle name="Normal 2 4 5 2 2 2 7 3" xfId="25762" xr:uid="{5F39964E-951D-41DD-8164-66CFBD1EEC66}"/>
    <cellStyle name="Normal 2 4 5 2 2 2 8" xfId="8911" xr:uid="{10C30D69-1311-4C4F-9B12-66719BE2D9D2}"/>
    <cellStyle name="Normal 2 4 5 2 2 2 8 2" xfId="21551" xr:uid="{A9E02414-AED6-4ADD-9A90-13AE230F3674}"/>
    <cellStyle name="Normal 2 4 5 2 2 2 9" xfId="17340" xr:uid="{16B513D5-403D-4116-B7BE-9A89D02BD04C}"/>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638DDC82-DB87-4A04-9C84-7A9633ABA445}"/>
    <cellStyle name="Normal 2 4 5 2 2 3 2 2 3" xfId="28320" xr:uid="{ECBC3EE5-2D41-4965-A497-5A56BB91C19C}"/>
    <cellStyle name="Normal 2 4 5 2 2 3 2 3" xfId="11469" xr:uid="{306E3600-468F-47B8-A74C-FAFF2DCE81F2}"/>
    <cellStyle name="Normal 2 4 5 2 2 3 2 3 2" xfId="24109" xr:uid="{EACB9960-D17F-4E1E-892D-62C1E42AA840}"/>
    <cellStyle name="Normal 2 4 5 2 2 3 2 4" xfId="19898" xr:uid="{DCC142DB-2725-499B-AE67-AE3E6E41AE2C}"/>
    <cellStyle name="Normal 2 4 5 2 2 3 3" xfId="5113" xr:uid="{00000000-0005-0000-0000-00004E100000}"/>
    <cellStyle name="Normal 2 4 5 2 2 3 3 2" xfId="13542" xr:uid="{8F4B6D4F-0659-46E4-9C66-2FFADBAA90B8}"/>
    <cellStyle name="Normal 2 4 5 2 2 3 3 3" xfId="26175" xr:uid="{5B07900C-1B53-4270-A7FD-19D6D0A3E374}"/>
    <cellStyle name="Normal 2 4 5 2 2 3 4" xfId="9324" xr:uid="{C67B9CD9-8038-41F9-A590-E3411E6F0AD8}"/>
    <cellStyle name="Normal 2 4 5 2 2 3 4 2" xfId="21964" xr:uid="{75CB9386-BE05-449D-837E-7CCE5BB8DC5B}"/>
    <cellStyle name="Normal 2 4 5 2 2 3 5" xfId="17753" xr:uid="{1CDAB0D6-A7C8-4455-AB69-34632EA5C657}"/>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C154A603-FFD5-45AA-89EF-CFBF40CD14F3}"/>
    <cellStyle name="Normal 2 4 5 2 2 4 2 2 3" xfId="28733" xr:uid="{C7A297DC-E331-45C3-8F3C-E2C5F0CF1445}"/>
    <cellStyle name="Normal 2 4 5 2 2 4 2 3" xfId="11882" xr:uid="{14DBFCB3-C411-4C6E-A1E2-CA1C0F454966}"/>
    <cellStyle name="Normal 2 4 5 2 2 4 2 3 2" xfId="24522" xr:uid="{7169EF16-C49C-4D55-B4F1-E058CA635823}"/>
    <cellStyle name="Normal 2 4 5 2 2 4 2 4" xfId="20311" xr:uid="{97F4A08D-1F85-47C4-AADE-37A87FF27E9C}"/>
    <cellStyle name="Normal 2 4 5 2 2 4 3" xfId="5526" xr:uid="{00000000-0005-0000-0000-000052100000}"/>
    <cellStyle name="Normal 2 4 5 2 2 4 3 2" xfId="13955" xr:uid="{72D92525-846C-44DD-BCBA-F47A488545F5}"/>
    <cellStyle name="Normal 2 4 5 2 2 4 3 3" xfId="26588" xr:uid="{73B93EB8-DF35-4932-83C8-1036E63B6DBD}"/>
    <cellStyle name="Normal 2 4 5 2 2 4 4" xfId="9737" xr:uid="{BF5227C4-ABD9-423D-A435-5B771F3CEBC9}"/>
    <cellStyle name="Normal 2 4 5 2 2 4 4 2" xfId="22377" xr:uid="{9726019F-C858-4F22-9CAC-F562A1FD13BC}"/>
    <cellStyle name="Normal 2 4 5 2 2 4 5" xfId="18166" xr:uid="{E7AF4F58-785D-4E35-A2A5-617EF2A0FDDA}"/>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6DFCFA9E-0CCE-4AB4-83C6-A255C1D10988}"/>
    <cellStyle name="Normal 2 4 5 2 2 5 2 2 3" xfId="29146" xr:uid="{C49CD5FE-75D6-4C0C-BFE9-E1B05A696D87}"/>
    <cellStyle name="Normal 2 4 5 2 2 5 2 3" xfId="12295" xr:uid="{BEB05FB7-8117-486F-8F60-7B8FB6A1665C}"/>
    <cellStyle name="Normal 2 4 5 2 2 5 2 3 2" xfId="24935" xr:uid="{095975FA-B6D1-4CC3-A593-D1488C9A3239}"/>
    <cellStyle name="Normal 2 4 5 2 2 5 2 4" xfId="20724" xr:uid="{9ACE065F-CAAF-4F00-B5F5-48ADDB03FD2C}"/>
    <cellStyle name="Normal 2 4 5 2 2 5 3" xfId="5939" xr:uid="{00000000-0005-0000-0000-000056100000}"/>
    <cellStyle name="Normal 2 4 5 2 2 5 3 2" xfId="14368" xr:uid="{91130A0D-DDC8-49C3-8823-DEBBD6D40CF8}"/>
    <cellStyle name="Normal 2 4 5 2 2 5 3 3" xfId="27001" xr:uid="{4C921413-997A-4B15-A079-0CB6C60E4ED7}"/>
    <cellStyle name="Normal 2 4 5 2 2 5 4" xfId="10150" xr:uid="{9913A713-E974-4A2F-B1F4-195378BDF5A2}"/>
    <cellStyle name="Normal 2 4 5 2 2 5 4 2" xfId="22790" xr:uid="{5C9FF9B0-487C-4028-9EF6-BD3649C2BF06}"/>
    <cellStyle name="Normal 2 4 5 2 2 5 5" xfId="18579" xr:uid="{83DADBB9-66A0-48A3-A902-663A4747B543}"/>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6AAF47B0-B1B7-4719-A75F-E5F0796861BF}"/>
    <cellStyle name="Normal 2 4 5 2 2 6 2 2 3" xfId="29559" xr:uid="{A752F141-9F7E-430A-95ED-CDDF2F6789B3}"/>
    <cellStyle name="Normal 2 4 5 2 2 6 2 3" xfId="12708" xr:uid="{B39DFF12-A515-4FDF-A7E8-9A08BBA3DC08}"/>
    <cellStyle name="Normal 2 4 5 2 2 6 2 3 2" xfId="25348" xr:uid="{0DA8A1F5-DBAD-42D1-8B49-934D86428928}"/>
    <cellStyle name="Normal 2 4 5 2 2 6 2 4" xfId="21137" xr:uid="{91DD7B63-3083-49AE-A960-6AA432B41746}"/>
    <cellStyle name="Normal 2 4 5 2 2 6 3" xfId="6352" xr:uid="{00000000-0005-0000-0000-00005A100000}"/>
    <cellStyle name="Normal 2 4 5 2 2 6 3 2" xfId="14781" xr:uid="{C427EFD9-C6D4-4B6C-9F2B-345F18EFD6F7}"/>
    <cellStyle name="Normal 2 4 5 2 2 6 3 3" xfId="27414" xr:uid="{95542623-7094-40DB-98AC-3A846F1257B3}"/>
    <cellStyle name="Normal 2 4 5 2 2 6 4" xfId="10563" xr:uid="{2153DC07-E32F-4B36-B563-0CF2F5750F48}"/>
    <cellStyle name="Normal 2 4 5 2 2 6 4 2" xfId="23203" xr:uid="{58195C3A-B93B-46C1-BCB4-B94A5CB53E2A}"/>
    <cellStyle name="Normal 2 4 5 2 2 6 5" xfId="18992" xr:uid="{97028494-ED17-4249-A953-A4BB0E388358}"/>
    <cellStyle name="Normal 2 4 5 2 2 7" xfId="2480" xr:uid="{00000000-0005-0000-0000-00005B100000}"/>
    <cellStyle name="Normal 2 4 5 2 2 7 2" xfId="6765" xr:uid="{00000000-0005-0000-0000-00005C100000}"/>
    <cellStyle name="Normal 2 4 5 2 2 7 2 2" xfId="15194" xr:uid="{E1B6A3FA-1EC4-4730-8174-BB37D2DC4CB5}"/>
    <cellStyle name="Normal 2 4 5 2 2 7 2 3" xfId="27827" xr:uid="{F826B4C7-ADC4-44F7-98EB-3C94059F44C5}"/>
    <cellStyle name="Normal 2 4 5 2 2 7 3" xfId="10976" xr:uid="{2FD91940-2695-402B-A25B-70A5855F14A5}"/>
    <cellStyle name="Normal 2 4 5 2 2 7 3 2" xfId="23616" xr:uid="{7B1D3572-D849-477A-BE93-0BC2D668C94E}"/>
    <cellStyle name="Normal 2 4 5 2 2 7 4" xfId="19405" xr:uid="{52EAFBEE-E82B-45FB-B20A-EFAF96C8D847}"/>
    <cellStyle name="Normal 2 4 5 2 2 8" xfId="4699" xr:uid="{00000000-0005-0000-0000-00005D100000}"/>
    <cellStyle name="Normal 2 4 5 2 2 8 2" xfId="13128" xr:uid="{82D24467-6053-4891-9673-0F219CCF1AEE}"/>
    <cellStyle name="Normal 2 4 5 2 2 8 3" xfId="25761" xr:uid="{F96E2C62-0878-474A-AC15-BF9F985F0A36}"/>
    <cellStyle name="Normal 2 4 5 2 2 9" xfId="8910" xr:uid="{224240F5-37A1-4EE6-ABE5-F21A63B7AE8A}"/>
    <cellStyle name="Normal 2 4 5 2 2 9 2" xfId="21550" xr:uid="{88A99896-7E3B-471D-8D39-990990E98759}"/>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2F57158D-6B99-4DB5-B4B8-A8107C4BEA60}"/>
    <cellStyle name="Normal 2 4 5 2 3 2 2 2 3" xfId="28322" xr:uid="{D41B6D50-480D-4699-9595-76D0D3CE8265}"/>
    <cellStyle name="Normal 2 4 5 2 3 2 2 3" xfId="11471" xr:uid="{41D513F3-F65A-4F1D-A128-73502753F6F7}"/>
    <cellStyle name="Normal 2 4 5 2 3 2 2 3 2" xfId="24111" xr:uid="{4CD2A89D-6F2C-46D8-B424-DF187647494C}"/>
    <cellStyle name="Normal 2 4 5 2 3 2 2 4" xfId="19900" xr:uid="{DAAC1526-931B-42C1-B81F-8D9D27C03C3B}"/>
    <cellStyle name="Normal 2 4 5 2 3 2 3" xfId="5115" xr:uid="{00000000-0005-0000-0000-000062100000}"/>
    <cellStyle name="Normal 2 4 5 2 3 2 3 2" xfId="13544" xr:uid="{3E337907-C623-4F04-8E36-36246CAEA7EB}"/>
    <cellStyle name="Normal 2 4 5 2 3 2 3 3" xfId="26177" xr:uid="{27217D54-1E15-4A6A-8654-63FD67FC2DF3}"/>
    <cellStyle name="Normal 2 4 5 2 3 2 4" xfId="9326" xr:uid="{3FCF81C9-AA23-44EE-A87E-1CEBAEF00EDE}"/>
    <cellStyle name="Normal 2 4 5 2 3 2 4 2" xfId="21966" xr:uid="{37671140-8AA9-4283-8155-10DFD0B445E9}"/>
    <cellStyle name="Normal 2 4 5 2 3 2 5" xfId="17755" xr:uid="{CB3A06A8-BA4B-4411-96CE-8F4FE19FEB73}"/>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E6FDEAD6-3ECF-4427-8F9A-F851C7E8F1B5}"/>
    <cellStyle name="Normal 2 4 5 2 3 3 2 2 3" xfId="28735" xr:uid="{82CBD6CF-C232-431C-A31C-E72DBD31F0ED}"/>
    <cellStyle name="Normal 2 4 5 2 3 3 2 3" xfId="11884" xr:uid="{B62D9F44-E3DC-4929-9C61-A59CE49C2755}"/>
    <cellStyle name="Normal 2 4 5 2 3 3 2 3 2" xfId="24524" xr:uid="{ADDADE6B-3CAE-459B-A719-CBA8A75A8CA2}"/>
    <cellStyle name="Normal 2 4 5 2 3 3 2 4" xfId="20313" xr:uid="{68DF3D3E-91EA-4397-BEAE-4D65A2502970}"/>
    <cellStyle name="Normal 2 4 5 2 3 3 3" xfId="5528" xr:uid="{00000000-0005-0000-0000-000066100000}"/>
    <cellStyle name="Normal 2 4 5 2 3 3 3 2" xfId="13957" xr:uid="{24C75EDC-E771-42B9-ADF2-0F1456B32C14}"/>
    <cellStyle name="Normal 2 4 5 2 3 3 3 3" xfId="26590" xr:uid="{BA0CB5F0-C296-482F-8803-77360B4980E3}"/>
    <cellStyle name="Normal 2 4 5 2 3 3 4" xfId="9739" xr:uid="{E0028FFF-2837-4425-B48A-F57992F3A3FE}"/>
    <cellStyle name="Normal 2 4 5 2 3 3 4 2" xfId="22379" xr:uid="{9E1BEC40-4703-4F67-B068-2A093CCF7B10}"/>
    <cellStyle name="Normal 2 4 5 2 3 3 5" xfId="18168" xr:uid="{C4905862-C381-42F9-AE9F-ABB9BDC7B4ED}"/>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D2B939D1-544C-4345-BF9A-4AD20844CF89}"/>
    <cellStyle name="Normal 2 4 5 2 3 4 2 2 3" xfId="29148" xr:uid="{FCDEAB44-E396-4B48-96A2-472B1E6DB8F4}"/>
    <cellStyle name="Normal 2 4 5 2 3 4 2 3" xfId="12297" xr:uid="{BC7E01C2-7126-4A0A-9384-6FA5D3FB89CA}"/>
    <cellStyle name="Normal 2 4 5 2 3 4 2 3 2" xfId="24937" xr:uid="{D6AC7973-20A4-46DA-AF32-4B1B91BDAB6D}"/>
    <cellStyle name="Normal 2 4 5 2 3 4 2 4" xfId="20726" xr:uid="{21BD12FB-9E87-4216-9968-80FEFD537F65}"/>
    <cellStyle name="Normal 2 4 5 2 3 4 3" xfId="5941" xr:uid="{00000000-0005-0000-0000-00006A100000}"/>
    <cellStyle name="Normal 2 4 5 2 3 4 3 2" xfId="14370" xr:uid="{C5B3E82B-49BD-402D-B9BA-BD67AECC4B1E}"/>
    <cellStyle name="Normal 2 4 5 2 3 4 3 3" xfId="27003" xr:uid="{43D921AA-0AF9-4517-A0E5-6D2383A0C1C8}"/>
    <cellStyle name="Normal 2 4 5 2 3 4 4" xfId="10152" xr:uid="{147DC672-CC97-4C5B-A5AD-1BCD578BA23B}"/>
    <cellStyle name="Normal 2 4 5 2 3 4 4 2" xfId="22792" xr:uid="{0F58A4A5-01C3-45BD-9B16-23FCADC710BF}"/>
    <cellStyle name="Normal 2 4 5 2 3 4 5" xfId="18581" xr:uid="{1238C974-0804-42AD-AC21-66CA940D973D}"/>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08E0FC62-1E8D-4D23-A7FD-CEB76E94D48B}"/>
    <cellStyle name="Normal 2 4 5 2 3 5 2 2 3" xfId="29561" xr:uid="{5CD2C6C1-0211-476C-98D6-3AAC2F142735}"/>
    <cellStyle name="Normal 2 4 5 2 3 5 2 3" xfId="12710" xr:uid="{DE47708B-12FA-4798-8B4E-1C4CA994773D}"/>
    <cellStyle name="Normal 2 4 5 2 3 5 2 3 2" xfId="25350" xr:uid="{872DB94D-319E-442A-9932-E5544B9C0F79}"/>
    <cellStyle name="Normal 2 4 5 2 3 5 2 4" xfId="21139" xr:uid="{B56F452E-BB93-4E84-AB04-8382FDA37784}"/>
    <cellStyle name="Normal 2 4 5 2 3 5 3" xfId="6354" xr:uid="{00000000-0005-0000-0000-00006E100000}"/>
    <cellStyle name="Normal 2 4 5 2 3 5 3 2" xfId="14783" xr:uid="{99F79BF3-5ECB-4A3B-A936-463A443D1CBB}"/>
    <cellStyle name="Normal 2 4 5 2 3 5 3 3" xfId="27416" xr:uid="{A74475FE-0D40-4C8B-9E87-F3558B658B99}"/>
    <cellStyle name="Normal 2 4 5 2 3 5 4" xfId="10565" xr:uid="{21EDC706-0CE6-4FE1-B4F5-4CE8A5F62689}"/>
    <cellStyle name="Normal 2 4 5 2 3 5 4 2" xfId="23205" xr:uid="{87BFE3CF-9B71-4C9D-BF2D-BC64954149A8}"/>
    <cellStyle name="Normal 2 4 5 2 3 5 5" xfId="18994" xr:uid="{249B16B6-99D8-458F-A82A-E856DCEFC8A5}"/>
    <cellStyle name="Normal 2 4 5 2 3 6" xfId="2482" xr:uid="{00000000-0005-0000-0000-00006F100000}"/>
    <cellStyle name="Normal 2 4 5 2 3 6 2" xfId="6767" xr:uid="{00000000-0005-0000-0000-000070100000}"/>
    <cellStyle name="Normal 2 4 5 2 3 6 2 2" xfId="15196" xr:uid="{DC8C3126-884E-4F0C-BF09-EE5D7D22D100}"/>
    <cellStyle name="Normal 2 4 5 2 3 6 2 3" xfId="27829" xr:uid="{E91D25DE-156A-4CCB-B9BC-AF63E432F53C}"/>
    <cellStyle name="Normal 2 4 5 2 3 6 3" xfId="10978" xr:uid="{95B97DE4-0F85-46A8-8BA5-F69CDFE20B7D}"/>
    <cellStyle name="Normal 2 4 5 2 3 6 3 2" xfId="23618" xr:uid="{1B0B9B5F-30EF-4B0F-B45C-8E48BDEEF79C}"/>
    <cellStyle name="Normal 2 4 5 2 3 6 4" xfId="19407" xr:uid="{E9E1A892-89AC-467F-93DB-BE391BE76880}"/>
    <cellStyle name="Normal 2 4 5 2 3 7" xfId="4701" xr:uid="{00000000-0005-0000-0000-000071100000}"/>
    <cellStyle name="Normal 2 4 5 2 3 7 2" xfId="13130" xr:uid="{2612A56D-F2B7-48CD-A406-42FA78DF6073}"/>
    <cellStyle name="Normal 2 4 5 2 3 7 3" xfId="25763" xr:uid="{8E76404A-66D7-4894-B8DB-3B8681BC09CF}"/>
    <cellStyle name="Normal 2 4 5 2 3 8" xfId="8912" xr:uid="{830644B3-B316-46D6-9C14-E9041CE8BD01}"/>
    <cellStyle name="Normal 2 4 5 2 3 8 2" xfId="21552" xr:uid="{2ABB87FA-5BB7-418B-AAAE-BAD26EDCFFBD}"/>
    <cellStyle name="Normal 2 4 5 2 3 9" xfId="17341" xr:uid="{B531ACD4-5A4B-40F1-8F74-55BCDF60A481}"/>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06F79CFE-3D6B-466C-B1D6-DE202E66B80D}"/>
    <cellStyle name="Normal 2 4 5 2 4 2 2 3" xfId="28319" xr:uid="{8F40F673-19D9-4D55-9DA9-5FB5A143B6A4}"/>
    <cellStyle name="Normal 2 4 5 2 4 2 3" xfId="11468" xr:uid="{8106AD34-B081-497E-880D-1149ABB9A5E0}"/>
    <cellStyle name="Normal 2 4 5 2 4 2 3 2" xfId="24108" xr:uid="{35AE545B-444B-40E3-9455-01092BFDCDBC}"/>
    <cellStyle name="Normal 2 4 5 2 4 2 4" xfId="19897" xr:uid="{593B8935-9505-494C-90E1-C3CA3B4B837D}"/>
    <cellStyle name="Normal 2 4 5 2 4 3" xfId="5112" xr:uid="{00000000-0005-0000-0000-000075100000}"/>
    <cellStyle name="Normal 2 4 5 2 4 3 2" xfId="13541" xr:uid="{225CA870-965E-48FF-B773-F8F5D4864089}"/>
    <cellStyle name="Normal 2 4 5 2 4 3 3" xfId="26174" xr:uid="{B3DB9944-7FF0-4FE4-9104-CE135B23EC00}"/>
    <cellStyle name="Normal 2 4 5 2 4 4" xfId="9323" xr:uid="{51DD536F-7FF6-475A-80FD-3FA0EA3590FF}"/>
    <cellStyle name="Normal 2 4 5 2 4 4 2" xfId="21963" xr:uid="{49FC0D57-C7B8-4B4D-8240-6BEB20A47961}"/>
    <cellStyle name="Normal 2 4 5 2 4 5" xfId="17752" xr:uid="{5432CBCB-EAD1-4295-8A14-4F862CC2A5C4}"/>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486F2850-2ABD-4A36-ACFF-7FEC466C5E35}"/>
    <cellStyle name="Normal 2 4 5 2 5 2 2 3" xfId="28732" xr:uid="{42553146-2BE9-4F70-A07C-B804D1515FEA}"/>
    <cellStyle name="Normal 2 4 5 2 5 2 3" xfId="11881" xr:uid="{46DC1B78-15DE-428C-A4EF-3E58285A5B00}"/>
    <cellStyle name="Normal 2 4 5 2 5 2 3 2" xfId="24521" xr:uid="{FDFA6BA9-8555-4949-92E3-08642EC0473A}"/>
    <cellStyle name="Normal 2 4 5 2 5 2 4" xfId="20310" xr:uid="{4E93FA7C-E271-4EDE-A3D2-38C7C8F04799}"/>
    <cellStyle name="Normal 2 4 5 2 5 3" xfId="5525" xr:uid="{00000000-0005-0000-0000-000079100000}"/>
    <cellStyle name="Normal 2 4 5 2 5 3 2" xfId="13954" xr:uid="{AEDF59D7-6B6B-4FB0-8266-4DFE32A6E272}"/>
    <cellStyle name="Normal 2 4 5 2 5 3 3" xfId="26587" xr:uid="{C2607759-38D3-4FFC-8FE2-8562163203F0}"/>
    <cellStyle name="Normal 2 4 5 2 5 4" xfId="9736" xr:uid="{96AE24D8-FA9E-45E7-B2E0-81C5E8A2CACD}"/>
    <cellStyle name="Normal 2 4 5 2 5 4 2" xfId="22376" xr:uid="{DB4D5AEC-E82A-4A41-9BF3-91B2B5102B1D}"/>
    <cellStyle name="Normal 2 4 5 2 5 5" xfId="18165" xr:uid="{8BB83D89-D86A-4786-9D93-5AEC379229EA}"/>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9C15FA98-3FA9-4CED-BC01-5678E80EBC57}"/>
    <cellStyle name="Normal 2 4 5 2 6 2 2 3" xfId="29145" xr:uid="{82A7E0F0-5615-4558-A5EF-1C9AC10F2658}"/>
    <cellStyle name="Normal 2 4 5 2 6 2 3" xfId="12294" xr:uid="{DEF64E20-36EB-41A7-B3C1-A213F9C03C99}"/>
    <cellStyle name="Normal 2 4 5 2 6 2 3 2" xfId="24934" xr:uid="{88C7DA21-D3F5-4ED2-8128-6C25232311D0}"/>
    <cellStyle name="Normal 2 4 5 2 6 2 4" xfId="20723" xr:uid="{AF5AC945-B3D9-4DC1-8968-800ADFFA89AE}"/>
    <cellStyle name="Normal 2 4 5 2 6 3" xfId="5938" xr:uid="{00000000-0005-0000-0000-00007D100000}"/>
    <cellStyle name="Normal 2 4 5 2 6 3 2" xfId="14367" xr:uid="{892CC754-8CC4-4885-9ADC-EA815D3E2D5D}"/>
    <cellStyle name="Normal 2 4 5 2 6 3 3" xfId="27000" xr:uid="{0C30F771-1AB0-4802-9782-CE21A91DF54C}"/>
    <cellStyle name="Normal 2 4 5 2 6 4" xfId="10149" xr:uid="{44CDE95E-5CBA-41B6-A56C-EE9839B7D043}"/>
    <cellStyle name="Normal 2 4 5 2 6 4 2" xfId="22789" xr:uid="{FDB76771-010A-4778-87D1-BABDE918C825}"/>
    <cellStyle name="Normal 2 4 5 2 6 5" xfId="18578" xr:uid="{ED18E607-62F7-49F8-8A97-5472D0A47813}"/>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5CDB9420-72D4-43A1-AD04-519B34CFABFA}"/>
    <cellStyle name="Normal 2 4 5 2 7 2 2 3" xfId="29558" xr:uid="{61F51C7F-0CAE-4A6C-B538-FD4E3F1E8555}"/>
    <cellStyle name="Normal 2 4 5 2 7 2 3" xfId="12707" xr:uid="{4E986AF3-483A-433A-A271-98BC3AC9515F}"/>
    <cellStyle name="Normal 2 4 5 2 7 2 3 2" xfId="25347" xr:uid="{865C2A86-C2B7-432F-AF18-C7D4A0024E34}"/>
    <cellStyle name="Normal 2 4 5 2 7 2 4" xfId="21136" xr:uid="{22900C85-3D9D-452C-9C62-FD9A31C657AC}"/>
    <cellStyle name="Normal 2 4 5 2 7 3" xfId="6351" xr:uid="{00000000-0005-0000-0000-000081100000}"/>
    <cellStyle name="Normal 2 4 5 2 7 3 2" xfId="14780" xr:uid="{206A587B-0E47-470E-B4A8-480D1DBA5EA5}"/>
    <cellStyle name="Normal 2 4 5 2 7 3 3" xfId="27413" xr:uid="{07EC6C61-D19E-4860-A9CE-781E15164580}"/>
    <cellStyle name="Normal 2 4 5 2 7 4" xfId="10562" xr:uid="{2E73E119-E9DA-4090-8940-DB20E92C28A4}"/>
    <cellStyle name="Normal 2 4 5 2 7 4 2" xfId="23202" xr:uid="{E29E1CB7-C766-4D8C-A27F-2E504EA33552}"/>
    <cellStyle name="Normal 2 4 5 2 7 5" xfId="18991" xr:uid="{BC957E1C-C088-4E07-B4A3-AE5A7866621F}"/>
    <cellStyle name="Normal 2 4 5 2 8" xfId="2479" xr:uid="{00000000-0005-0000-0000-000082100000}"/>
    <cellStyle name="Normal 2 4 5 2 8 2" xfId="6764" xr:uid="{00000000-0005-0000-0000-000083100000}"/>
    <cellStyle name="Normal 2 4 5 2 8 2 2" xfId="15193" xr:uid="{74F6F5FB-64EC-484A-804B-C8B164364C99}"/>
    <cellStyle name="Normal 2 4 5 2 8 2 3" xfId="27826" xr:uid="{75E7CC01-8D0D-48EA-8C67-E07A1C6B2BCC}"/>
    <cellStyle name="Normal 2 4 5 2 8 3" xfId="10975" xr:uid="{3FEFDE22-5555-4AAE-B995-F678D7F79EB7}"/>
    <cellStyle name="Normal 2 4 5 2 8 3 2" xfId="23615" xr:uid="{CECA38AB-97B7-4112-85D8-5F91F46909DA}"/>
    <cellStyle name="Normal 2 4 5 2 8 4" xfId="19404" xr:uid="{FB23ED58-C361-45AF-9125-2F7A854344BB}"/>
    <cellStyle name="Normal 2 4 5 2 9" xfId="4698" xr:uid="{00000000-0005-0000-0000-000084100000}"/>
    <cellStyle name="Normal 2 4 5 2 9 2" xfId="13127" xr:uid="{B055BB5D-AA38-4773-ACF5-0D40C9C1334F}"/>
    <cellStyle name="Normal 2 4 5 2 9 3" xfId="25760" xr:uid="{6B115314-3C34-419E-8C8F-87A0BE2EA4B1}"/>
    <cellStyle name="Normal 2 4 5 3" xfId="308" xr:uid="{00000000-0005-0000-0000-000085100000}"/>
    <cellStyle name="Normal 2 4 5 3 10" xfId="17342" xr:uid="{71E592DA-BEFF-4A03-A28C-F4A568976D5A}"/>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DB9BFE50-41A7-4890-827D-AC0AF31DC0E6}"/>
    <cellStyle name="Normal 2 4 5 3 2 2 2 2 3" xfId="28324" xr:uid="{B4561123-5FEB-44FC-8E68-87FE4A8B959A}"/>
    <cellStyle name="Normal 2 4 5 3 2 2 2 3" xfId="11473" xr:uid="{EA19D72B-FD72-4600-9673-C83966E3516A}"/>
    <cellStyle name="Normal 2 4 5 3 2 2 2 3 2" xfId="24113" xr:uid="{1478FD34-08EE-42CD-A85E-B20A6C5A5498}"/>
    <cellStyle name="Normal 2 4 5 3 2 2 2 4" xfId="19902" xr:uid="{A1844B4E-7227-412E-8E6F-B593A0C34DF4}"/>
    <cellStyle name="Normal 2 4 5 3 2 2 3" xfId="5117" xr:uid="{00000000-0005-0000-0000-00008A100000}"/>
    <cellStyle name="Normal 2 4 5 3 2 2 3 2" xfId="13546" xr:uid="{C4C66941-DF97-4990-8715-407B2C7B4AF6}"/>
    <cellStyle name="Normal 2 4 5 3 2 2 3 3" xfId="26179" xr:uid="{602D8C96-D55B-4DDC-A02B-11DE41CF59E9}"/>
    <cellStyle name="Normal 2 4 5 3 2 2 4" xfId="9328" xr:uid="{EEB64FA0-1783-45FA-B29E-813D22805F08}"/>
    <cellStyle name="Normal 2 4 5 3 2 2 4 2" xfId="21968" xr:uid="{212765C0-907A-4C86-894B-DE35941B2C51}"/>
    <cellStyle name="Normal 2 4 5 3 2 2 5" xfId="17757" xr:uid="{C2CD6579-9696-41B1-8276-0003DA3DB314}"/>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5A49C5F2-A6D9-4565-BF68-2CF033CEE4C6}"/>
    <cellStyle name="Normal 2 4 5 3 2 3 2 2 3" xfId="28737" xr:uid="{E5A995B4-A8E7-4380-9C5B-F2CC45C25AA7}"/>
    <cellStyle name="Normal 2 4 5 3 2 3 2 3" xfId="11886" xr:uid="{3343C32D-DACB-4ADB-BA13-0FCFBDD7218D}"/>
    <cellStyle name="Normal 2 4 5 3 2 3 2 3 2" xfId="24526" xr:uid="{E4A76CCF-5C4A-4BEF-B327-EF525A07CDDB}"/>
    <cellStyle name="Normal 2 4 5 3 2 3 2 4" xfId="20315" xr:uid="{3BB31BE1-F62F-4953-8F0D-719027C1D226}"/>
    <cellStyle name="Normal 2 4 5 3 2 3 3" xfId="5530" xr:uid="{00000000-0005-0000-0000-00008E100000}"/>
    <cellStyle name="Normal 2 4 5 3 2 3 3 2" xfId="13959" xr:uid="{D53DBE64-A721-4F6A-AB1E-80B0E3AA500F}"/>
    <cellStyle name="Normal 2 4 5 3 2 3 3 3" xfId="26592" xr:uid="{AF1D4640-3105-480A-8F1F-7C3A6922E28A}"/>
    <cellStyle name="Normal 2 4 5 3 2 3 4" xfId="9741" xr:uid="{C6495048-4981-43F9-B172-9AB7B309FBBD}"/>
    <cellStyle name="Normal 2 4 5 3 2 3 4 2" xfId="22381" xr:uid="{3086D2B5-5983-4749-944D-0466E1CE2BE1}"/>
    <cellStyle name="Normal 2 4 5 3 2 3 5" xfId="18170" xr:uid="{64A817F4-FA54-4C73-BF58-6A137911642C}"/>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9B068A32-2B64-4B9A-ABFA-B576930D585E}"/>
    <cellStyle name="Normal 2 4 5 3 2 4 2 2 3" xfId="29150" xr:uid="{F9A77653-0F8D-40D0-A81E-04F6732DE50C}"/>
    <cellStyle name="Normal 2 4 5 3 2 4 2 3" xfId="12299" xr:uid="{384F3908-2B0B-40DF-9291-FC10F649E8DF}"/>
    <cellStyle name="Normal 2 4 5 3 2 4 2 3 2" xfId="24939" xr:uid="{36D9B8D8-6DE6-4742-A1AC-2AC49EE4AABD}"/>
    <cellStyle name="Normal 2 4 5 3 2 4 2 4" xfId="20728" xr:uid="{E975935A-580A-4CC4-B2D8-E12C3EBE0443}"/>
    <cellStyle name="Normal 2 4 5 3 2 4 3" xfId="5943" xr:uid="{00000000-0005-0000-0000-000092100000}"/>
    <cellStyle name="Normal 2 4 5 3 2 4 3 2" xfId="14372" xr:uid="{A029EBAA-0D61-4A22-A310-7ADE06E6DD25}"/>
    <cellStyle name="Normal 2 4 5 3 2 4 3 3" xfId="27005" xr:uid="{06BFF0A6-50AF-499E-BC09-D8B75E3EE430}"/>
    <cellStyle name="Normal 2 4 5 3 2 4 4" xfId="10154" xr:uid="{A95E477A-759B-4C4D-8571-8D283CDCBC59}"/>
    <cellStyle name="Normal 2 4 5 3 2 4 4 2" xfId="22794" xr:uid="{B3294491-9E27-491A-8353-DB3C368C88E8}"/>
    <cellStyle name="Normal 2 4 5 3 2 4 5" xfId="18583" xr:uid="{87004AA5-3F00-43DE-92E2-B9AB7197175C}"/>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99FF441B-9BDD-4F10-BB41-119E239935F3}"/>
    <cellStyle name="Normal 2 4 5 3 2 5 2 2 3" xfId="29563" xr:uid="{F23DE852-D6AD-4011-BB4E-6D7298A17C61}"/>
    <cellStyle name="Normal 2 4 5 3 2 5 2 3" xfId="12712" xr:uid="{8FEDA472-27C3-4B0A-ACB4-5D1156D66176}"/>
    <cellStyle name="Normal 2 4 5 3 2 5 2 3 2" xfId="25352" xr:uid="{8FF8F6CB-B21A-4470-B7EC-22D57E2FDAC9}"/>
    <cellStyle name="Normal 2 4 5 3 2 5 2 4" xfId="21141" xr:uid="{3D06C5F1-4BFE-40FB-A163-465444187147}"/>
    <cellStyle name="Normal 2 4 5 3 2 5 3" xfId="6356" xr:uid="{00000000-0005-0000-0000-000096100000}"/>
    <cellStyle name="Normal 2 4 5 3 2 5 3 2" xfId="14785" xr:uid="{0D793DA6-6645-447A-A235-AA7362E2031B}"/>
    <cellStyle name="Normal 2 4 5 3 2 5 3 3" xfId="27418" xr:uid="{15B71970-5367-4311-AD43-4FAFBC432526}"/>
    <cellStyle name="Normal 2 4 5 3 2 5 4" xfId="10567" xr:uid="{DBE901F9-D4F6-4286-A8A2-2DD71C516F7C}"/>
    <cellStyle name="Normal 2 4 5 3 2 5 4 2" xfId="23207" xr:uid="{092EFAB1-0418-4296-A099-4065C5E23BBA}"/>
    <cellStyle name="Normal 2 4 5 3 2 5 5" xfId="18996" xr:uid="{26133464-F2DC-422A-8D7D-229D60E46A38}"/>
    <cellStyle name="Normal 2 4 5 3 2 6" xfId="2484" xr:uid="{00000000-0005-0000-0000-000097100000}"/>
    <cellStyle name="Normal 2 4 5 3 2 6 2" xfId="6769" xr:uid="{00000000-0005-0000-0000-000098100000}"/>
    <cellStyle name="Normal 2 4 5 3 2 6 2 2" xfId="15198" xr:uid="{778CEEA3-28E7-42C5-B934-C32C346E3012}"/>
    <cellStyle name="Normal 2 4 5 3 2 6 2 3" xfId="27831" xr:uid="{CA15DBDE-0A1A-4CD8-863F-EFC421C44124}"/>
    <cellStyle name="Normal 2 4 5 3 2 6 3" xfId="10980" xr:uid="{147E67D2-BBC7-4FC8-AA0F-1920F050681E}"/>
    <cellStyle name="Normal 2 4 5 3 2 6 3 2" xfId="23620" xr:uid="{9940A926-DCBB-482B-B62C-929D3141DDE8}"/>
    <cellStyle name="Normal 2 4 5 3 2 6 4" xfId="19409" xr:uid="{D38C581E-E938-45F9-A4AE-BCEAA9AC22F2}"/>
    <cellStyle name="Normal 2 4 5 3 2 7" xfId="4703" xr:uid="{00000000-0005-0000-0000-000099100000}"/>
    <cellStyle name="Normal 2 4 5 3 2 7 2" xfId="13132" xr:uid="{69D722C4-613F-4670-A0DA-5E649CF5ACA2}"/>
    <cellStyle name="Normal 2 4 5 3 2 7 3" xfId="25765" xr:uid="{98E74CBF-42AC-4571-AD0C-A745C3BB960A}"/>
    <cellStyle name="Normal 2 4 5 3 2 8" xfId="8914" xr:uid="{80E5CF42-ABE9-4E81-9FBF-997737A75804}"/>
    <cellStyle name="Normal 2 4 5 3 2 8 2" xfId="21554" xr:uid="{B0C4E63E-BA34-434F-9D99-A418AC6DACB8}"/>
    <cellStyle name="Normal 2 4 5 3 2 9" xfId="17343" xr:uid="{58390136-F84C-46B4-B913-367A527F8A4B}"/>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05793334-7E32-4BC0-8DF5-09506F9A2477}"/>
    <cellStyle name="Normal 2 4 5 3 3 2 2 3" xfId="28323" xr:uid="{F313D37B-0B84-4D67-9539-11DE46A6CF2A}"/>
    <cellStyle name="Normal 2 4 5 3 3 2 3" xfId="11472" xr:uid="{6936EEE0-2ACD-4A72-A474-37C87A998FCF}"/>
    <cellStyle name="Normal 2 4 5 3 3 2 3 2" xfId="24112" xr:uid="{DC5B8FB2-AEEB-4067-B43D-F9B4994C5944}"/>
    <cellStyle name="Normal 2 4 5 3 3 2 4" xfId="19901" xr:uid="{711BC2A6-8AF6-417A-945E-8F9CCA1EFD9B}"/>
    <cellStyle name="Normal 2 4 5 3 3 3" xfId="5116" xr:uid="{00000000-0005-0000-0000-00009D100000}"/>
    <cellStyle name="Normal 2 4 5 3 3 3 2" xfId="13545" xr:uid="{B0D3331B-BD41-458D-9F77-B7601C87F134}"/>
    <cellStyle name="Normal 2 4 5 3 3 3 3" xfId="26178" xr:uid="{95AA20F6-938A-4D39-93C1-69AE9E9E025C}"/>
    <cellStyle name="Normal 2 4 5 3 3 4" xfId="9327" xr:uid="{650C5EA6-5C6A-4D39-9DC6-A3146A04540A}"/>
    <cellStyle name="Normal 2 4 5 3 3 4 2" xfId="21967" xr:uid="{18376B98-3F07-49D5-826D-247B975127E2}"/>
    <cellStyle name="Normal 2 4 5 3 3 5" xfId="17756" xr:uid="{49636546-B551-456E-B202-AD5CCD962CB2}"/>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06D9E146-6892-484C-8F22-93B1FAC57C9B}"/>
    <cellStyle name="Normal 2 4 5 3 4 2 2 3" xfId="28736" xr:uid="{F6B7D310-7792-45B7-BA36-3B1C32A8F53D}"/>
    <cellStyle name="Normal 2 4 5 3 4 2 3" xfId="11885" xr:uid="{FBF30465-2771-4B68-AA60-6245AAF70D3A}"/>
    <cellStyle name="Normal 2 4 5 3 4 2 3 2" xfId="24525" xr:uid="{DA1398B1-26C8-410C-852B-918A80804E30}"/>
    <cellStyle name="Normal 2 4 5 3 4 2 4" xfId="20314" xr:uid="{1F45F2AE-9B40-41F9-A043-BD15DCB7F944}"/>
    <cellStyle name="Normal 2 4 5 3 4 3" xfId="5529" xr:uid="{00000000-0005-0000-0000-0000A1100000}"/>
    <cellStyle name="Normal 2 4 5 3 4 3 2" xfId="13958" xr:uid="{0DFE7D68-E409-42EE-B2D7-774FF4A0424F}"/>
    <cellStyle name="Normal 2 4 5 3 4 3 3" xfId="26591" xr:uid="{7AACFF9A-39F7-419B-8215-0321E759BC78}"/>
    <cellStyle name="Normal 2 4 5 3 4 4" xfId="9740" xr:uid="{E6F62B25-A74B-43B2-9322-28037F04FA17}"/>
    <cellStyle name="Normal 2 4 5 3 4 4 2" xfId="22380" xr:uid="{778A7BD2-2C0C-48D4-BC6A-38AD068EB027}"/>
    <cellStyle name="Normal 2 4 5 3 4 5" xfId="18169" xr:uid="{DB9BD139-B18A-4796-A3E4-3273B958BF22}"/>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A4F87AF2-85A1-44DB-95AB-22E139F71CB8}"/>
    <cellStyle name="Normal 2 4 5 3 5 2 2 3" xfId="29149" xr:uid="{43CF45E7-C673-41F0-BA97-32AC551123BA}"/>
    <cellStyle name="Normal 2 4 5 3 5 2 3" xfId="12298" xr:uid="{35703909-C98F-4DAC-8DDE-FF4A579FA399}"/>
    <cellStyle name="Normal 2 4 5 3 5 2 3 2" xfId="24938" xr:uid="{B4DAA42F-FA6A-4831-B767-87577633FFD8}"/>
    <cellStyle name="Normal 2 4 5 3 5 2 4" xfId="20727" xr:uid="{57B7CA48-4B41-472E-824C-3BF7FC57FD4C}"/>
    <cellStyle name="Normal 2 4 5 3 5 3" xfId="5942" xr:uid="{00000000-0005-0000-0000-0000A5100000}"/>
    <cellStyle name="Normal 2 4 5 3 5 3 2" xfId="14371" xr:uid="{982351D3-42B0-412E-AD17-DD2537E1F192}"/>
    <cellStyle name="Normal 2 4 5 3 5 3 3" xfId="27004" xr:uid="{4CEA6E5D-11F9-454E-B584-6AB6A0971B56}"/>
    <cellStyle name="Normal 2 4 5 3 5 4" xfId="10153" xr:uid="{8C484D5F-F0DD-4B92-96CE-FFF362547107}"/>
    <cellStyle name="Normal 2 4 5 3 5 4 2" xfId="22793" xr:uid="{F85B7C9B-4507-40A2-9242-D7DD1F574A63}"/>
    <cellStyle name="Normal 2 4 5 3 5 5" xfId="18582" xr:uid="{87807A85-ED53-4975-AD26-3429727E7604}"/>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D915DD6D-5AE7-44EE-ADD4-EA2EBD84E31C}"/>
    <cellStyle name="Normal 2 4 5 3 6 2 2 3" xfId="29562" xr:uid="{6FBDEF04-1991-47B1-93C0-82D57F6B4EB0}"/>
    <cellStyle name="Normal 2 4 5 3 6 2 3" xfId="12711" xr:uid="{C4F86951-3BDC-47E2-9E8A-9DB95601ADCA}"/>
    <cellStyle name="Normal 2 4 5 3 6 2 3 2" xfId="25351" xr:uid="{76B4A019-A8B2-4573-9744-4D5D1B7DAB22}"/>
    <cellStyle name="Normal 2 4 5 3 6 2 4" xfId="21140" xr:uid="{431CB881-2320-4BD4-8DE0-11F84130B5E7}"/>
    <cellStyle name="Normal 2 4 5 3 6 3" xfId="6355" xr:uid="{00000000-0005-0000-0000-0000A9100000}"/>
    <cellStyle name="Normal 2 4 5 3 6 3 2" xfId="14784" xr:uid="{A7A0133B-A06F-4425-B912-4F3AF4980CDD}"/>
    <cellStyle name="Normal 2 4 5 3 6 3 3" xfId="27417" xr:uid="{2ACDF027-1BCB-41CE-8BCC-CEC4CDCE9A76}"/>
    <cellStyle name="Normal 2 4 5 3 6 4" xfId="10566" xr:uid="{A660E700-F2CF-48F8-9F0F-E217DD2CE8AF}"/>
    <cellStyle name="Normal 2 4 5 3 6 4 2" xfId="23206" xr:uid="{4062D462-BBCB-4A00-A164-7EA66B8B4A50}"/>
    <cellStyle name="Normal 2 4 5 3 6 5" xfId="18995" xr:uid="{6A1F7564-CFF1-44C5-9D0C-3CD2065F6B9D}"/>
    <cellStyle name="Normal 2 4 5 3 7" xfId="2483" xr:uid="{00000000-0005-0000-0000-0000AA100000}"/>
    <cellStyle name="Normal 2 4 5 3 7 2" xfId="6768" xr:uid="{00000000-0005-0000-0000-0000AB100000}"/>
    <cellStyle name="Normal 2 4 5 3 7 2 2" xfId="15197" xr:uid="{C5C0FC50-C50D-42C8-B848-63F6A9FDC1CA}"/>
    <cellStyle name="Normal 2 4 5 3 7 2 3" xfId="27830" xr:uid="{D134DD02-ED6E-4E89-B5DB-AF9F03E16435}"/>
    <cellStyle name="Normal 2 4 5 3 7 3" xfId="10979" xr:uid="{4B49939F-71D7-48BD-AFF3-5EA904AF13AB}"/>
    <cellStyle name="Normal 2 4 5 3 7 3 2" xfId="23619" xr:uid="{F7B092E9-1643-4FCF-9B50-CB2F83383848}"/>
    <cellStyle name="Normal 2 4 5 3 7 4" xfId="19408" xr:uid="{2C5D6368-9A0B-4BC1-8ACC-FD43799BD803}"/>
    <cellStyle name="Normal 2 4 5 3 8" xfId="4702" xr:uid="{00000000-0005-0000-0000-0000AC100000}"/>
    <cellStyle name="Normal 2 4 5 3 8 2" xfId="13131" xr:uid="{92B9B04E-12FC-4407-9890-3D1FEA52265C}"/>
    <cellStyle name="Normal 2 4 5 3 8 3" xfId="25764" xr:uid="{1BB222BD-60CE-4F3C-ACB7-28C236F26F48}"/>
    <cellStyle name="Normal 2 4 5 3 9" xfId="8913" xr:uid="{B1E8BDDA-C3E2-4DE8-8F03-A0F5D63A33A0}"/>
    <cellStyle name="Normal 2 4 5 3 9 2" xfId="21553" xr:uid="{32A4B154-4637-4BEE-9A5D-8E943BBDDF19}"/>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6ACCA5B0-6DDB-408E-A580-B00520653824}"/>
    <cellStyle name="Normal 2 4 5 4 2 2 2 3" xfId="28325" xr:uid="{3034B64D-37E3-4A94-80E2-C69C1148B9C9}"/>
    <cellStyle name="Normal 2 4 5 4 2 2 3" xfId="11474" xr:uid="{57C16938-521B-4145-8D85-997E21CD49A6}"/>
    <cellStyle name="Normal 2 4 5 4 2 2 3 2" xfId="24114" xr:uid="{1ACD34EB-9314-4EC9-B68C-6FC738E9800A}"/>
    <cellStyle name="Normal 2 4 5 4 2 2 4" xfId="19903" xr:uid="{04D3F1E3-607A-42FB-A071-23F8B83C5B1E}"/>
    <cellStyle name="Normal 2 4 5 4 2 3" xfId="5118" xr:uid="{00000000-0005-0000-0000-0000B1100000}"/>
    <cellStyle name="Normal 2 4 5 4 2 3 2" xfId="13547" xr:uid="{41AFCBE3-592E-4F1D-9B8C-05C243633F17}"/>
    <cellStyle name="Normal 2 4 5 4 2 3 3" xfId="26180" xr:uid="{5E3F4326-5E06-4539-A8D6-AEE546F78548}"/>
    <cellStyle name="Normal 2 4 5 4 2 4" xfId="9329" xr:uid="{5607199A-066A-4C67-B4E3-F684B3B4FF2E}"/>
    <cellStyle name="Normal 2 4 5 4 2 4 2" xfId="21969" xr:uid="{A42F2455-B40A-4C6D-9601-1D59602F70C2}"/>
    <cellStyle name="Normal 2 4 5 4 2 5" xfId="17758" xr:uid="{E52BABE3-5013-46FB-BCD9-DF5ACF0EDBCB}"/>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CD7153E9-9692-463E-A356-387292AE6FBA}"/>
    <cellStyle name="Normal 2 4 5 4 3 2 2 3" xfId="28738" xr:uid="{7009938D-D917-472A-8294-9BDDCF174799}"/>
    <cellStyle name="Normal 2 4 5 4 3 2 3" xfId="11887" xr:uid="{D25A5695-185F-47EB-9040-41221B69F3B3}"/>
    <cellStyle name="Normal 2 4 5 4 3 2 3 2" xfId="24527" xr:uid="{43FF754A-DFDE-422A-B5C3-EE7509E4A0D2}"/>
    <cellStyle name="Normal 2 4 5 4 3 2 4" xfId="20316" xr:uid="{F8D7DE30-5A95-44D7-A8EC-8D2B30D6CE78}"/>
    <cellStyle name="Normal 2 4 5 4 3 3" xfId="5531" xr:uid="{00000000-0005-0000-0000-0000B5100000}"/>
    <cellStyle name="Normal 2 4 5 4 3 3 2" xfId="13960" xr:uid="{71FD112E-6DA3-49F4-8F6A-35093AA89AD0}"/>
    <cellStyle name="Normal 2 4 5 4 3 3 3" xfId="26593" xr:uid="{441C33E9-A15F-4B55-BFF2-E860339529EC}"/>
    <cellStyle name="Normal 2 4 5 4 3 4" xfId="9742" xr:uid="{CF81682D-B72C-4CD1-859D-EBF6D0A51A49}"/>
    <cellStyle name="Normal 2 4 5 4 3 4 2" xfId="22382" xr:uid="{5B6ED7C3-345A-4EFE-8883-D36C2E0102CC}"/>
    <cellStyle name="Normal 2 4 5 4 3 5" xfId="18171" xr:uid="{9E680E7E-12B9-49D9-B9A0-CA09D232E438}"/>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872A3B33-2067-48AD-832C-A271CE87C49E}"/>
    <cellStyle name="Normal 2 4 5 4 4 2 2 3" xfId="29151" xr:uid="{BBB27039-22C0-4751-A326-BF9237EE3E77}"/>
    <cellStyle name="Normal 2 4 5 4 4 2 3" xfId="12300" xr:uid="{CB12276E-B7DB-4E8A-A5BD-D5306EE323DD}"/>
    <cellStyle name="Normal 2 4 5 4 4 2 3 2" xfId="24940" xr:uid="{15E831A0-8E66-473E-B3A2-31CF4CDE2E6D}"/>
    <cellStyle name="Normal 2 4 5 4 4 2 4" xfId="20729" xr:uid="{9B33E8E3-837B-481A-9B11-668A3246F042}"/>
    <cellStyle name="Normal 2 4 5 4 4 3" xfId="5944" xr:uid="{00000000-0005-0000-0000-0000B9100000}"/>
    <cellStyle name="Normal 2 4 5 4 4 3 2" xfId="14373" xr:uid="{C2F36FAC-213B-48BD-8F86-8D294E93A55E}"/>
    <cellStyle name="Normal 2 4 5 4 4 3 3" xfId="27006" xr:uid="{6929E118-30FE-4028-BA98-D09E4A255953}"/>
    <cellStyle name="Normal 2 4 5 4 4 4" xfId="10155" xr:uid="{7B7F89AD-7EE1-495D-B0B7-2CA1E7C02D9C}"/>
    <cellStyle name="Normal 2 4 5 4 4 4 2" xfId="22795" xr:uid="{2ED20A94-CFB3-46C7-B8C3-D71964D5CE05}"/>
    <cellStyle name="Normal 2 4 5 4 4 5" xfId="18584" xr:uid="{9E14D68D-2779-4B61-9EC2-59BF13C7CEA2}"/>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03D8442C-D736-48AC-96EF-2854964CB9F6}"/>
    <cellStyle name="Normal 2 4 5 4 5 2 2 3" xfId="29564" xr:uid="{286BCC3E-3E50-49DD-9ED0-C7D6F074D13A}"/>
    <cellStyle name="Normal 2 4 5 4 5 2 3" xfId="12713" xr:uid="{4DED2C12-BDCA-40E2-8E37-9C28864468C9}"/>
    <cellStyle name="Normal 2 4 5 4 5 2 3 2" xfId="25353" xr:uid="{C11C8527-510F-43B8-9428-E83B532493E7}"/>
    <cellStyle name="Normal 2 4 5 4 5 2 4" xfId="21142" xr:uid="{9899A5FF-6D3B-4890-BDC4-3237A5F83234}"/>
    <cellStyle name="Normal 2 4 5 4 5 3" xfId="6357" xr:uid="{00000000-0005-0000-0000-0000BD100000}"/>
    <cellStyle name="Normal 2 4 5 4 5 3 2" xfId="14786" xr:uid="{185144ED-C852-44ED-8BCA-2A2E4EFDDE56}"/>
    <cellStyle name="Normal 2 4 5 4 5 3 3" xfId="27419" xr:uid="{1ED8F2B0-CFEC-4A60-B7F4-7D9EBEA6BF3A}"/>
    <cellStyle name="Normal 2 4 5 4 5 4" xfId="10568" xr:uid="{BB74E4F6-6FAA-4B36-B5E1-90E20C0A6DB2}"/>
    <cellStyle name="Normal 2 4 5 4 5 4 2" xfId="23208" xr:uid="{817B8FEC-0C18-4A93-B816-FFF6547C7356}"/>
    <cellStyle name="Normal 2 4 5 4 5 5" xfId="18997" xr:uid="{35687D97-A5B5-42EC-986B-FC977431C97F}"/>
    <cellStyle name="Normal 2 4 5 4 6" xfId="2485" xr:uid="{00000000-0005-0000-0000-0000BE100000}"/>
    <cellStyle name="Normal 2 4 5 4 6 2" xfId="6770" xr:uid="{00000000-0005-0000-0000-0000BF100000}"/>
    <cellStyle name="Normal 2 4 5 4 6 2 2" xfId="15199" xr:uid="{7843DA72-DEE6-417F-9FCC-6BFE51B7FA9D}"/>
    <cellStyle name="Normal 2 4 5 4 6 2 3" xfId="27832" xr:uid="{4A71DBA7-E408-4509-BD6D-0D239BA393D9}"/>
    <cellStyle name="Normal 2 4 5 4 6 3" xfId="10981" xr:uid="{FE285B38-59FA-4B48-B87A-B6143D21B89A}"/>
    <cellStyle name="Normal 2 4 5 4 6 3 2" xfId="23621" xr:uid="{289F1A22-9F1D-48A1-B65B-0625E7B98A2F}"/>
    <cellStyle name="Normal 2 4 5 4 6 4" xfId="19410" xr:uid="{445F9FC0-372C-43DF-B355-04B1A8410095}"/>
    <cellStyle name="Normal 2 4 5 4 7" xfId="4704" xr:uid="{00000000-0005-0000-0000-0000C0100000}"/>
    <cellStyle name="Normal 2 4 5 4 7 2" xfId="13133" xr:uid="{A5AD8F9A-4946-4243-A16B-A42893C8BC46}"/>
    <cellStyle name="Normal 2 4 5 4 7 3" xfId="25766" xr:uid="{83350B9D-9622-47E6-A9F4-7129A71B6E49}"/>
    <cellStyle name="Normal 2 4 5 4 8" xfId="8915" xr:uid="{F520F670-D1DE-4EFB-BC04-73B2DCBE93EB}"/>
    <cellStyle name="Normal 2 4 5 4 8 2" xfId="21555" xr:uid="{BE37196D-02D5-4A87-B2DE-869D8B5745EA}"/>
    <cellStyle name="Normal 2 4 5 4 9" xfId="17344" xr:uid="{68BE97F3-3F0D-4A8F-9572-E4435A8E9585}"/>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508FB35C-7EDF-45B0-9F08-9467E9D9DE0D}"/>
    <cellStyle name="Normal 2 4 5 5 2 2 3" xfId="28318" xr:uid="{2D15D75A-5FBA-460C-B96D-D6E9D4C2AFA7}"/>
    <cellStyle name="Normal 2 4 5 5 2 3" xfId="11467" xr:uid="{9876707A-D4E4-489B-A0A4-7775CF823FE2}"/>
    <cellStyle name="Normal 2 4 5 5 2 3 2" xfId="24107" xr:uid="{C6BE92C0-69DA-47AE-9D48-AF855D3E53B0}"/>
    <cellStyle name="Normal 2 4 5 5 2 4" xfId="19896" xr:uid="{87F486FA-718C-48C2-967E-FF4A9F031FD5}"/>
    <cellStyle name="Normal 2 4 5 5 3" xfId="5111" xr:uid="{00000000-0005-0000-0000-0000C4100000}"/>
    <cellStyle name="Normal 2 4 5 5 3 2" xfId="13540" xr:uid="{95AC0597-CCF6-4702-ADD5-003459400A17}"/>
    <cellStyle name="Normal 2 4 5 5 3 3" xfId="26173" xr:uid="{B45A2725-B760-4CEE-B36F-3D532E554EDA}"/>
    <cellStyle name="Normal 2 4 5 5 4" xfId="9322" xr:uid="{7532B241-C53D-4CE9-9EDC-44EFDE5AA0BE}"/>
    <cellStyle name="Normal 2 4 5 5 4 2" xfId="21962" xr:uid="{17F7BEB5-1AE4-496C-81CC-04767E081E95}"/>
    <cellStyle name="Normal 2 4 5 5 5" xfId="17751" xr:uid="{5A7B26A5-79B4-469C-832E-DAFE4796AC44}"/>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AC20F2D6-C07A-4B5A-8BE5-30E3A961178E}"/>
    <cellStyle name="Normal 2 4 5 6 2 2 3" xfId="28731" xr:uid="{B8FFC760-132F-40D2-916C-F1283DFD64DD}"/>
    <cellStyle name="Normal 2 4 5 6 2 3" xfId="11880" xr:uid="{4F4E1023-BA99-4852-9CDC-A2CA8A0452A1}"/>
    <cellStyle name="Normal 2 4 5 6 2 3 2" xfId="24520" xr:uid="{52ECBCAB-929C-4D1D-B26D-6977086A76A3}"/>
    <cellStyle name="Normal 2 4 5 6 2 4" xfId="20309" xr:uid="{CB22A072-C678-4914-9B0A-47C83EE3C482}"/>
    <cellStyle name="Normal 2 4 5 6 3" xfId="5524" xr:uid="{00000000-0005-0000-0000-0000C8100000}"/>
    <cellStyle name="Normal 2 4 5 6 3 2" xfId="13953" xr:uid="{168850E5-F9B6-46B1-B7DA-B378B6CA881B}"/>
    <cellStyle name="Normal 2 4 5 6 3 3" xfId="26586" xr:uid="{FC07442C-9B44-4B30-B4A3-DB53CECA0286}"/>
    <cellStyle name="Normal 2 4 5 6 4" xfId="9735" xr:uid="{19896832-7D9B-4A3B-AE56-4E07445A3C9E}"/>
    <cellStyle name="Normal 2 4 5 6 4 2" xfId="22375" xr:uid="{412623CE-820C-4D0B-ACE1-1E7297B6DB1D}"/>
    <cellStyle name="Normal 2 4 5 6 5" xfId="18164" xr:uid="{24099819-3C06-4E41-B4D0-3D795A3CE645}"/>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6CC14A8A-F81A-43F5-B867-6DA4A79CFF78}"/>
    <cellStyle name="Normal 2 4 5 7 2 2 3" xfId="29144" xr:uid="{D1C7E1FE-0CFD-4544-AD67-ED93CF3C446F}"/>
    <cellStyle name="Normal 2 4 5 7 2 3" xfId="12293" xr:uid="{40C28869-6953-4F6B-93DD-C1A509C4354A}"/>
    <cellStyle name="Normal 2 4 5 7 2 3 2" xfId="24933" xr:uid="{B3F9F3B5-43E3-4EC4-B0D0-E775EAA93C8C}"/>
    <cellStyle name="Normal 2 4 5 7 2 4" xfId="20722" xr:uid="{9B06ADA7-16A1-4F05-8C9F-EC19B84D35F7}"/>
    <cellStyle name="Normal 2 4 5 7 3" xfId="5937" xr:uid="{00000000-0005-0000-0000-0000CC100000}"/>
    <cellStyle name="Normal 2 4 5 7 3 2" xfId="14366" xr:uid="{44546710-6935-4528-BAF0-CFE9DA95A98A}"/>
    <cellStyle name="Normal 2 4 5 7 3 3" xfId="26999" xr:uid="{6EAFF926-B61E-4083-B467-B7F228DA263E}"/>
    <cellStyle name="Normal 2 4 5 7 4" xfId="10148" xr:uid="{CEF07B00-7849-46FA-B8B2-F7065ACC11A3}"/>
    <cellStyle name="Normal 2 4 5 7 4 2" xfId="22788" xr:uid="{39C1F52D-6919-474F-8459-06CE620E48F6}"/>
    <cellStyle name="Normal 2 4 5 7 5" xfId="18577" xr:uid="{0354BD9F-052A-42C5-88C6-4C3748FB7C70}"/>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A4559B84-D282-430A-BCDC-3624422AFC5B}"/>
    <cellStyle name="Normal 2 4 5 8 2 2 3" xfId="29557" xr:uid="{C41B9EDF-A7A3-4095-A855-90EE0F61F3F4}"/>
    <cellStyle name="Normal 2 4 5 8 2 3" xfId="12706" xr:uid="{FA4F4347-E1C1-437B-9D0D-E800995F2FB6}"/>
    <cellStyle name="Normal 2 4 5 8 2 3 2" xfId="25346" xr:uid="{31C67810-0919-4E28-936E-8EDAE28CDB5E}"/>
    <cellStyle name="Normal 2 4 5 8 2 4" xfId="21135" xr:uid="{6BEA4542-D322-44D4-B10B-26E5A84322C0}"/>
    <cellStyle name="Normal 2 4 5 8 3" xfId="6350" xr:uid="{00000000-0005-0000-0000-0000D0100000}"/>
    <cellStyle name="Normal 2 4 5 8 3 2" xfId="14779" xr:uid="{BADDFF03-0487-4016-B36C-6C4AD7E9815F}"/>
    <cellStyle name="Normal 2 4 5 8 3 3" xfId="27412" xr:uid="{5C18BFC6-8C70-465B-9EBA-3C1E9A3AC8C1}"/>
    <cellStyle name="Normal 2 4 5 8 4" xfId="10561" xr:uid="{AD4CC300-9DD5-4DA3-A32C-2717239586D5}"/>
    <cellStyle name="Normal 2 4 5 8 4 2" xfId="23201" xr:uid="{1095C77A-9710-4180-94C1-2CF504C381F4}"/>
    <cellStyle name="Normal 2 4 5 8 5" xfId="18990" xr:uid="{045DCECE-29B7-465A-86FB-F7847FC1DAEE}"/>
    <cellStyle name="Normal 2 4 5 9" xfId="2478" xr:uid="{00000000-0005-0000-0000-0000D1100000}"/>
    <cellStyle name="Normal 2 4 5 9 2" xfId="6763" xr:uid="{00000000-0005-0000-0000-0000D2100000}"/>
    <cellStyle name="Normal 2 4 5 9 2 2" xfId="15192" xr:uid="{20D4AE75-7DCF-4838-8931-1FDD16B4FD5E}"/>
    <cellStyle name="Normal 2 4 5 9 2 3" xfId="27825" xr:uid="{EACA46E7-ED89-405D-9450-17CB60C9F9E4}"/>
    <cellStyle name="Normal 2 4 5 9 3" xfId="10974" xr:uid="{5C2DA4D5-9422-4A98-AE90-39BE6C356049}"/>
    <cellStyle name="Normal 2 4 5 9 3 2" xfId="23614" xr:uid="{F98A4743-C0F5-4439-BADF-93244EAEDFC2}"/>
    <cellStyle name="Normal 2 4 5 9 4" xfId="19403" xr:uid="{D84FF7A9-2697-4B4B-B0E9-3F4FC81134DD}"/>
    <cellStyle name="Normal 2 4 6" xfId="311" xr:uid="{00000000-0005-0000-0000-0000D3100000}"/>
    <cellStyle name="Normal 2 4 7" xfId="312" xr:uid="{00000000-0005-0000-0000-0000D4100000}"/>
    <cellStyle name="Normal 2 4 7 10" xfId="17345" xr:uid="{7857A0EF-9B33-48C5-A19E-8A98C2DC0F78}"/>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BC94ED3F-E444-4CDE-8267-83EE1FF2468B}"/>
    <cellStyle name="Normal 2 4 7 2 2 2 2 3" xfId="28327" xr:uid="{F40CB1CD-AFDE-4228-8F3A-2C209B122BC8}"/>
    <cellStyle name="Normal 2 4 7 2 2 2 3" xfId="11476" xr:uid="{2B6A0C2D-5A62-416F-9D19-21F64B82D8D4}"/>
    <cellStyle name="Normal 2 4 7 2 2 2 3 2" xfId="24116" xr:uid="{BB6212B9-2A25-4744-A78C-0F639BC53B08}"/>
    <cellStyle name="Normal 2 4 7 2 2 2 4" xfId="19905" xr:uid="{E15EF584-3DBE-4949-9A99-26D619E9A866}"/>
    <cellStyle name="Normal 2 4 7 2 2 3" xfId="5120" xr:uid="{00000000-0005-0000-0000-0000D9100000}"/>
    <cellStyle name="Normal 2 4 7 2 2 3 2" xfId="13549" xr:uid="{360490AB-CE81-4B48-B717-81F37CBBD1B6}"/>
    <cellStyle name="Normal 2 4 7 2 2 3 3" xfId="26182" xr:uid="{7A40DDFE-22A9-4A74-B86F-4258ED276833}"/>
    <cellStyle name="Normal 2 4 7 2 2 4" xfId="9331" xr:uid="{87FBDE1A-BD2C-4882-BBD3-3CC026F7B563}"/>
    <cellStyle name="Normal 2 4 7 2 2 4 2" xfId="21971" xr:uid="{F79F5186-7320-4447-8CED-CC21042E6434}"/>
    <cellStyle name="Normal 2 4 7 2 2 5" xfId="17760" xr:uid="{79AA30E3-EFE5-4A3A-BF89-4CFA9AC60037}"/>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A310A211-C561-4BB7-BC37-F248FF47920F}"/>
    <cellStyle name="Normal 2 4 7 2 3 2 2 3" xfId="28740" xr:uid="{6DE12395-94E0-4DA3-B163-A132993BF434}"/>
    <cellStyle name="Normal 2 4 7 2 3 2 3" xfId="11889" xr:uid="{7350A231-5238-4524-B6BA-F549AA40768C}"/>
    <cellStyle name="Normal 2 4 7 2 3 2 3 2" xfId="24529" xr:uid="{89023BF1-913E-4BC2-A418-30837C847BBE}"/>
    <cellStyle name="Normal 2 4 7 2 3 2 4" xfId="20318" xr:uid="{472FE3F3-ACB7-461E-9910-8DAB6F95728A}"/>
    <cellStyle name="Normal 2 4 7 2 3 3" xfId="5533" xr:uid="{00000000-0005-0000-0000-0000DD100000}"/>
    <cellStyle name="Normal 2 4 7 2 3 3 2" xfId="13962" xr:uid="{6F6F1A68-7178-4226-8275-CBBAB5B557B6}"/>
    <cellStyle name="Normal 2 4 7 2 3 3 3" xfId="26595" xr:uid="{7264C9DF-0F73-4BBA-B9A3-CF24665DB5AC}"/>
    <cellStyle name="Normal 2 4 7 2 3 4" xfId="9744" xr:uid="{43060EAD-152F-4185-A9BC-9E30EC1171BE}"/>
    <cellStyle name="Normal 2 4 7 2 3 4 2" xfId="22384" xr:uid="{DA6A4C77-C3D9-4EA7-A9DE-1B29A425DAF3}"/>
    <cellStyle name="Normal 2 4 7 2 3 5" xfId="18173" xr:uid="{2D23F1A3-80A5-448B-AAA4-7C098C740E86}"/>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CB46A237-17C6-438A-96CB-767FE47B8E6F}"/>
    <cellStyle name="Normal 2 4 7 2 4 2 2 3" xfId="29153" xr:uid="{5D7EDDB5-4F61-4978-8AA2-0585A63E1E50}"/>
    <cellStyle name="Normal 2 4 7 2 4 2 3" xfId="12302" xr:uid="{122F8461-2FE9-4826-B3EA-9DC81B0A5673}"/>
    <cellStyle name="Normal 2 4 7 2 4 2 3 2" xfId="24942" xr:uid="{3C49A4E1-353D-47E8-9F42-61752C81D5D2}"/>
    <cellStyle name="Normal 2 4 7 2 4 2 4" xfId="20731" xr:uid="{72ABB476-89BA-4E6D-9443-EB1AC5A0B857}"/>
    <cellStyle name="Normal 2 4 7 2 4 3" xfId="5946" xr:uid="{00000000-0005-0000-0000-0000E1100000}"/>
    <cellStyle name="Normal 2 4 7 2 4 3 2" xfId="14375" xr:uid="{238E3A3B-5786-4BBB-84DE-EA83785AD2C9}"/>
    <cellStyle name="Normal 2 4 7 2 4 3 3" xfId="27008" xr:uid="{8BB6613B-F46C-45A6-B105-70B70C1ABD90}"/>
    <cellStyle name="Normal 2 4 7 2 4 4" xfId="10157" xr:uid="{874B4E81-3669-4B2F-BBFC-227749592479}"/>
    <cellStyle name="Normal 2 4 7 2 4 4 2" xfId="22797" xr:uid="{D9CB4944-BC8B-47B9-91AA-2F569AED6AE6}"/>
    <cellStyle name="Normal 2 4 7 2 4 5" xfId="18586" xr:uid="{9F08DD14-796C-4C66-9A2F-1036AF95D892}"/>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62244040-BB45-403A-AD3F-B71B9FCA1C66}"/>
    <cellStyle name="Normal 2 4 7 2 5 2 2 3" xfId="29566" xr:uid="{8F81BDF5-7E90-4288-A6BA-18EB746E6402}"/>
    <cellStyle name="Normal 2 4 7 2 5 2 3" xfId="12715" xr:uid="{9D131FBC-6244-4A81-B548-AC5647936C2B}"/>
    <cellStyle name="Normal 2 4 7 2 5 2 3 2" xfId="25355" xr:uid="{47A4C700-ED89-4151-9479-EBFD583E993B}"/>
    <cellStyle name="Normal 2 4 7 2 5 2 4" xfId="21144" xr:uid="{505F44B3-3B0D-46B0-8D29-9B7479288535}"/>
    <cellStyle name="Normal 2 4 7 2 5 3" xfId="6359" xr:uid="{00000000-0005-0000-0000-0000E5100000}"/>
    <cellStyle name="Normal 2 4 7 2 5 3 2" xfId="14788" xr:uid="{8E372E91-9F3A-4FE6-A31B-C18B2DED6DAF}"/>
    <cellStyle name="Normal 2 4 7 2 5 3 3" xfId="27421" xr:uid="{66B6F970-22C3-4E24-A558-2A62B6FB1160}"/>
    <cellStyle name="Normal 2 4 7 2 5 4" xfId="10570" xr:uid="{BF472336-6B64-44E9-8F8A-2C9E39EDEA00}"/>
    <cellStyle name="Normal 2 4 7 2 5 4 2" xfId="23210" xr:uid="{488BC484-9C17-4322-8D58-FC9B5519C122}"/>
    <cellStyle name="Normal 2 4 7 2 5 5" xfId="18999" xr:uid="{E62A43A0-FDD7-4C36-875C-AC45BA5A8FCC}"/>
    <cellStyle name="Normal 2 4 7 2 6" xfId="2487" xr:uid="{00000000-0005-0000-0000-0000E6100000}"/>
    <cellStyle name="Normal 2 4 7 2 6 2" xfId="6772" xr:uid="{00000000-0005-0000-0000-0000E7100000}"/>
    <cellStyle name="Normal 2 4 7 2 6 2 2" xfId="15201" xr:uid="{F59D2CF4-10FE-4BD3-B9C0-EF860BE3E341}"/>
    <cellStyle name="Normal 2 4 7 2 6 2 3" xfId="27834" xr:uid="{9D77E5FD-EA20-482D-ACF3-CD63EDC84094}"/>
    <cellStyle name="Normal 2 4 7 2 6 3" xfId="10983" xr:uid="{A1E06CA5-0F47-4445-B0CD-4971BA143CD9}"/>
    <cellStyle name="Normal 2 4 7 2 6 3 2" xfId="23623" xr:uid="{910578D9-7CBF-4B1D-B27A-3F01F3A3A94B}"/>
    <cellStyle name="Normal 2 4 7 2 6 4" xfId="19412" xr:uid="{E5BB525C-259A-469B-8A43-70C9DA1200C5}"/>
    <cellStyle name="Normal 2 4 7 2 7" xfId="4706" xr:uid="{00000000-0005-0000-0000-0000E8100000}"/>
    <cellStyle name="Normal 2 4 7 2 7 2" xfId="13135" xr:uid="{37ADC934-A1A1-4DE9-B4E6-F08B79A15D93}"/>
    <cellStyle name="Normal 2 4 7 2 7 3" xfId="25768" xr:uid="{78E85734-A7AD-47FA-9E18-3F759AAD2FAB}"/>
    <cellStyle name="Normal 2 4 7 2 8" xfId="8917" xr:uid="{E377195E-ABD3-4155-AF92-5C9775415EDF}"/>
    <cellStyle name="Normal 2 4 7 2 8 2" xfId="21557" xr:uid="{6C581F93-D35F-4C8F-9E96-FB33E2645B28}"/>
    <cellStyle name="Normal 2 4 7 2 9" xfId="17346" xr:uid="{3F665168-8BCA-4C8B-8833-517E90E63654}"/>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ED53EBC8-10E5-4628-9EFE-828062262A1D}"/>
    <cellStyle name="Normal 2 4 7 3 2 2 3" xfId="28326" xr:uid="{FBFA24F3-EB10-41EF-9C41-2E89820A456C}"/>
    <cellStyle name="Normal 2 4 7 3 2 3" xfId="11475" xr:uid="{B54770E6-6031-44E6-9AEE-B05742F885A2}"/>
    <cellStyle name="Normal 2 4 7 3 2 3 2" xfId="24115" xr:uid="{92B26356-43A2-4DC6-9F5D-7A8122B3BE04}"/>
    <cellStyle name="Normal 2 4 7 3 2 4" xfId="19904" xr:uid="{143A74BA-7DC6-49D1-98DF-FEF5588FD292}"/>
    <cellStyle name="Normal 2 4 7 3 3" xfId="5119" xr:uid="{00000000-0005-0000-0000-0000EC100000}"/>
    <cellStyle name="Normal 2 4 7 3 3 2" xfId="13548" xr:uid="{3A02C428-934A-448F-A6D5-502CEA6B1897}"/>
    <cellStyle name="Normal 2 4 7 3 3 3" xfId="26181" xr:uid="{2BC0E552-2C57-4CCC-8837-8DFC7995E9EA}"/>
    <cellStyle name="Normal 2 4 7 3 4" xfId="9330" xr:uid="{DFF73DBB-FC7A-43D3-BC7C-74E6A5547E74}"/>
    <cellStyle name="Normal 2 4 7 3 4 2" xfId="21970" xr:uid="{EE07C2E3-6C8F-428D-88F8-F826EFFBDE6D}"/>
    <cellStyle name="Normal 2 4 7 3 5" xfId="17759" xr:uid="{314C6EFB-CBCF-45F2-9B0A-503E57B80447}"/>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42DD84F6-3DA7-4317-951D-369FF0AF84C5}"/>
    <cellStyle name="Normal 2 4 7 4 2 2 3" xfId="28739" xr:uid="{0D14018C-B064-4986-9059-C7CFB0D3293A}"/>
    <cellStyle name="Normal 2 4 7 4 2 3" xfId="11888" xr:uid="{36FBFF3A-848D-4849-96F9-5EF61F3095C1}"/>
    <cellStyle name="Normal 2 4 7 4 2 3 2" xfId="24528" xr:uid="{6A21BB7C-D4E0-4D29-9F7A-574191D2DAAA}"/>
    <cellStyle name="Normal 2 4 7 4 2 4" xfId="20317" xr:uid="{19665CB1-C7B7-41D9-A3F7-A974F8C78715}"/>
    <cellStyle name="Normal 2 4 7 4 3" xfId="5532" xr:uid="{00000000-0005-0000-0000-0000F0100000}"/>
    <cellStyle name="Normal 2 4 7 4 3 2" xfId="13961" xr:uid="{76383900-4A73-45A4-B00E-DAAF7CD820E8}"/>
    <cellStyle name="Normal 2 4 7 4 3 3" xfId="26594" xr:uid="{B25D2C6F-B9E7-4B97-8CAD-61051335CA08}"/>
    <cellStyle name="Normal 2 4 7 4 4" xfId="9743" xr:uid="{80A51D40-E7AB-4480-A9EF-FA46A0412285}"/>
    <cellStyle name="Normal 2 4 7 4 4 2" xfId="22383" xr:uid="{77D0B924-A8D8-4E24-A164-FAF2E39D6B15}"/>
    <cellStyle name="Normal 2 4 7 4 5" xfId="18172" xr:uid="{F02E5713-BEE4-4D2C-907A-DF8BEB422E6B}"/>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E3AB5D95-9E1B-42F3-889C-C4013226D22E}"/>
    <cellStyle name="Normal 2 4 7 5 2 2 3" xfId="29152" xr:uid="{EC49C457-72E3-487F-99A6-68FB78C3F085}"/>
    <cellStyle name="Normal 2 4 7 5 2 3" xfId="12301" xr:uid="{165291A7-6A7B-47AD-9918-582EB83EECC0}"/>
    <cellStyle name="Normal 2 4 7 5 2 3 2" xfId="24941" xr:uid="{978801DA-3E99-49E6-AA5E-96B3D84FC785}"/>
    <cellStyle name="Normal 2 4 7 5 2 4" xfId="20730" xr:uid="{86C2538C-12E4-4079-A60C-FA1298007B0B}"/>
    <cellStyle name="Normal 2 4 7 5 3" xfId="5945" xr:uid="{00000000-0005-0000-0000-0000F4100000}"/>
    <cellStyle name="Normal 2 4 7 5 3 2" xfId="14374" xr:uid="{804EA759-0E77-4EB3-9A3B-7E6A7A859A42}"/>
    <cellStyle name="Normal 2 4 7 5 3 3" xfId="27007" xr:uid="{4D17D4ED-CA2C-486D-BCA4-A3F6E28776B2}"/>
    <cellStyle name="Normal 2 4 7 5 4" xfId="10156" xr:uid="{A077DDAF-7D88-4E97-BD27-8A2740C7089D}"/>
    <cellStyle name="Normal 2 4 7 5 4 2" xfId="22796" xr:uid="{D8AA041E-141A-469A-BC56-D0E20957F8B8}"/>
    <cellStyle name="Normal 2 4 7 5 5" xfId="18585" xr:uid="{063FC421-EDE5-4E11-99C0-EF5E02200EA7}"/>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707A0997-A59D-493A-923B-C300C23675C6}"/>
    <cellStyle name="Normal 2 4 7 6 2 2 3" xfId="29565" xr:uid="{E9B9FA5B-B205-46FF-A90C-4EAD0F1322CC}"/>
    <cellStyle name="Normal 2 4 7 6 2 3" xfId="12714" xr:uid="{87E8506C-C436-40D3-9FF6-A65946C92635}"/>
    <cellStyle name="Normal 2 4 7 6 2 3 2" xfId="25354" xr:uid="{DBEAFD01-05EF-47E8-87BF-64DB614B73C4}"/>
    <cellStyle name="Normal 2 4 7 6 2 4" xfId="21143" xr:uid="{E2386563-AF03-4EF4-BE26-7CA3DCDD64E7}"/>
    <cellStyle name="Normal 2 4 7 6 3" xfId="6358" xr:uid="{00000000-0005-0000-0000-0000F8100000}"/>
    <cellStyle name="Normal 2 4 7 6 3 2" xfId="14787" xr:uid="{E35882AB-8F89-4C93-83E9-600BC81324D0}"/>
    <cellStyle name="Normal 2 4 7 6 3 3" xfId="27420" xr:uid="{1A6253D8-4DA9-4BE6-93E1-A3109C207E13}"/>
    <cellStyle name="Normal 2 4 7 6 4" xfId="10569" xr:uid="{9462BB77-AF7A-480B-9F17-940A71D34CFD}"/>
    <cellStyle name="Normal 2 4 7 6 4 2" xfId="23209" xr:uid="{0EF09C01-20BD-4B0C-A361-E09D334F9358}"/>
    <cellStyle name="Normal 2 4 7 6 5" xfId="18998" xr:uid="{8C609244-7673-4B5C-A8B3-EED69F46344B}"/>
    <cellStyle name="Normal 2 4 7 7" xfId="2486" xr:uid="{00000000-0005-0000-0000-0000F9100000}"/>
    <cellStyle name="Normal 2 4 7 7 2" xfId="6771" xr:uid="{00000000-0005-0000-0000-0000FA100000}"/>
    <cellStyle name="Normal 2 4 7 7 2 2" xfId="15200" xr:uid="{9BA6DFDF-B545-4848-96E3-62477B95CEF1}"/>
    <cellStyle name="Normal 2 4 7 7 2 3" xfId="27833" xr:uid="{B5F07F72-8E72-4865-BD6C-778F0AEDF126}"/>
    <cellStyle name="Normal 2 4 7 7 3" xfId="10982" xr:uid="{A95DE40C-F474-4128-9D59-BB73F2DF6CEE}"/>
    <cellStyle name="Normal 2 4 7 7 3 2" xfId="23622" xr:uid="{D183FC32-2461-4999-84A3-C2F0ACB19B76}"/>
    <cellStyle name="Normal 2 4 7 7 4" xfId="19411" xr:uid="{725FA58E-0A37-42A7-909E-23B140E0B8DF}"/>
    <cellStyle name="Normal 2 4 7 8" xfId="4705" xr:uid="{00000000-0005-0000-0000-0000FB100000}"/>
    <cellStyle name="Normal 2 4 7 8 2" xfId="13134" xr:uid="{69D48B94-BD41-4F73-B239-B1D7E9064EE7}"/>
    <cellStyle name="Normal 2 4 7 8 3" xfId="25767" xr:uid="{C0D9526F-37AD-45E8-83BD-4AA9131F00E9}"/>
    <cellStyle name="Normal 2 4 7 9" xfId="8916" xr:uid="{F46800A2-42A0-4B46-ACA4-F64DE1A077B1}"/>
    <cellStyle name="Normal 2 4 7 9 2" xfId="21556" xr:uid="{4174025F-6D10-4B88-9A82-1A7A496AD0A2}"/>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C61F87CB-545D-440C-9B24-E49556F491B4}"/>
    <cellStyle name="Normal 2 4 8 2 2 2 3" xfId="28328" xr:uid="{952833E9-4FA7-48DD-9ACA-860B169B4514}"/>
    <cellStyle name="Normal 2 4 8 2 2 3" xfId="11477" xr:uid="{9AEE4F4D-0250-4362-BC63-D8BFC80D36B5}"/>
    <cellStyle name="Normal 2 4 8 2 2 3 2" xfId="24117" xr:uid="{B57A574A-E9C1-4640-937D-CEA773A7B8C1}"/>
    <cellStyle name="Normal 2 4 8 2 2 4" xfId="19906" xr:uid="{4D84E832-B1DD-4E63-9BE6-70ED16EDC064}"/>
    <cellStyle name="Normal 2 4 8 2 3" xfId="5121" xr:uid="{00000000-0005-0000-0000-000000110000}"/>
    <cellStyle name="Normal 2 4 8 2 3 2" xfId="13550" xr:uid="{E6AEA18F-17E5-4B87-8311-E34D10B33A2D}"/>
    <cellStyle name="Normal 2 4 8 2 3 3" xfId="26183" xr:uid="{431B0DBF-A9F5-4FE5-B653-76991627DC7A}"/>
    <cellStyle name="Normal 2 4 8 2 4" xfId="9332" xr:uid="{2C90E1BA-B4F6-4628-8CEA-13F6797034D0}"/>
    <cellStyle name="Normal 2 4 8 2 4 2" xfId="21972" xr:uid="{9FED9E82-DEDD-40A7-B7BE-5994526E3403}"/>
    <cellStyle name="Normal 2 4 8 2 5" xfId="17761" xr:uid="{D1F0A55C-3CD6-4792-BB84-8E4E2600CC4A}"/>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0B534410-AD04-4A46-B13A-4874FD2930EC}"/>
    <cellStyle name="Normal 2 4 8 3 2 2 3" xfId="28741" xr:uid="{E4BBEB79-D05F-4F7F-B156-C5098A908A52}"/>
    <cellStyle name="Normal 2 4 8 3 2 3" xfId="11890" xr:uid="{74ECB8BD-846D-4875-96EB-F9933AF4DEEF}"/>
    <cellStyle name="Normal 2 4 8 3 2 3 2" xfId="24530" xr:uid="{59CCF2EA-52D5-46EE-9564-7F52FFDECB15}"/>
    <cellStyle name="Normal 2 4 8 3 2 4" xfId="20319" xr:uid="{A1AF16E4-D127-4021-80A7-D90C599F86AD}"/>
    <cellStyle name="Normal 2 4 8 3 3" xfId="5534" xr:uid="{00000000-0005-0000-0000-000004110000}"/>
    <cellStyle name="Normal 2 4 8 3 3 2" xfId="13963" xr:uid="{7229E398-BA30-46EF-876E-C388C1523EEC}"/>
    <cellStyle name="Normal 2 4 8 3 3 3" xfId="26596" xr:uid="{08D81E33-542A-4B90-A3BE-80510F0EC340}"/>
    <cellStyle name="Normal 2 4 8 3 4" xfId="9745" xr:uid="{759A5758-0412-4916-B992-1AE52C48C2C4}"/>
    <cellStyle name="Normal 2 4 8 3 4 2" xfId="22385" xr:uid="{09EE75CD-004A-4391-A672-E554808AE5CB}"/>
    <cellStyle name="Normal 2 4 8 3 5" xfId="18174" xr:uid="{727E0FAB-433A-4A45-9C8A-9B5D6E27F4A6}"/>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9249F4DC-809C-4E36-8C37-97F8B072A2FF}"/>
    <cellStyle name="Normal 2 4 8 4 2 2 3" xfId="29154" xr:uid="{CACE2117-852C-4F7D-8047-EBBD812074F2}"/>
    <cellStyle name="Normal 2 4 8 4 2 3" xfId="12303" xr:uid="{DAE51700-714B-478F-AEB9-959F8FF53CAA}"/>
    <cellStyle name="Normal 2 4 8 4 2 3 2" xfId="24943" xr:uid="{614B23C7-7CC1-4F25-AC0B-26281034D140}"/>
    <cellStyle name="Normal 2 4 8 4 2 4" xfId="20732" xr:uid="{F833BF5D-9727-4C30-98C1-619FB2348AFF}"/>
    <cellStyle name="Normal 2 4 8 4 3" xfId="5947" xr:uid="{00000000-0005-0000-0000-000008110000}"/>
    <cellStyle name="Normal 2 4 8 4 3 2" xfId="14376" xr:uid="{2123C8B1-404E-4AFA-AF88-35EA8B5FB98E}"/>
    <cellStyle name="Normal 2 4 8 4 3 3" xfId="27009" xr:uid="{2DCB9E75-7ED8-46B1-BA76-C464D48F7CE3}"/>
    <cellStyle name="Normal 2 4 8 4 4" xfId="10158" xr:uid="{8FF1145C-B952-4825-937C-087AD1DA773A}"/>
    <cellStyle name="Normal 2 4 8 4 4 2" xfId="22798" xr:uid="{7C987098-0014-4F2D-AAAE-6A36E6CD5231}"/>
    <cellStyle name="Normal 2 4 8 4 5" xfId="18587" xr:uid="{34D00B33-01E7-4A7C-97AA-7B5B9E52AB20}"/>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A754D19E-115D-43FB-B2F2-7151A0820C12}"/>
    <cellStyle name="Normal 2 4 8 5 2 2 3" xfId="29567" xr:uid="{3215D69F-88D2-4D23-A2C6-A2BA52D93C41}"/>
    <cellStyle name="Normal 2 4 8 5 2 3" xfId="12716" xr:uid="{22EAFE5D-8FF8-4A77-B1F1-0ED375968706}"/>
    <cellStyle name="Normal 2 4 8 5 2 3 2" xfId="25356" xr:uid="{AA968AFE-4DC7-4783-86FB-AE63EC722F6A}"/>
    <cellStyle name="Normal 2 4 8 5 2 4" xfId="21145" xr:uid="{FFA8DBD4-779A-463E-A7DF-0B6918018463}"/>
    <cellStyle name="Normal 2 4 8 5 3" xfId="6360" xr:uid="{00000000-0005-0000-0000-00000C110000}"/>
    <cellStyle name="Normal 2 4 8 5 3 2" xfId="14789" xr:uid="{4C6F8E80-8938-4A5B-8E2B-78B28F5BA985}"/>
    <cellStyle name="Normal 2 4 8 5 3 3" xfId="27422" xr:uid="{46394D2E-6ACA-4FDE-9E14-B12F007E8E3A}"/>
    <cellStyle name="Normal 2 4 8 5 4" xfId="10571" xr:uid="{0A06846A-EAFF-4044-B37B-7F581407AE21}"/>
    <cellStyle name="Normal 2 4 8 5 4 2" xfId="23211" xr:uid="{2E835D55-DBD9-420B-8FFD-76F35D6EA491}"/>
    <cellStyle name="Normal 2 4 8 5 5" xfId="19000" xr:uid="{16BE48F7-A191-44E9-8A8A-E67FA1C0EF9D}"/>
    <cellStyle name="Normal 2 4 8 6" xfId="2488" xr:uid="{00000000-0005-0000-0000-00000D110000}"/>
    <cellStyle name="Normal 2 4 8 6 2" xfId="6773" xr:uid="{00000000-0005-0000-0000-00000E110000}"/>
    <cellStyle name="Normal 2 4 8 6 2 2" xfId="15202" xr:uid="{C5A498F0-AE6F-4305-AF27-5553DCDCFAEA}"/>
    <cellStyle name="Normal 2 4 8 6 2 3" xfId="27835" xr:uid="{FD941462-3F81-424D-BCDB-E49D6F5A5E9D}"/>
    <cellStyle name="Normal 2 4 8 6 3" xfId="10984" xr:uid="{AAA80D5F-DF48-4E9F-BC51-2C2FEFDA3D42}"/>
    <cellStyle name="Normal 2 4 8 6 3 2" xfId="23624" xr:uid="{7BE3CC04-38E5-49F1-B3AB-FD392DAB41FB}"/>
    <cellStyle name="Normal 2 4 8 6 4" xfId="19413" xr:uid="{3C904B89-F9D4-4F82-AA05-E53911CCE8C2}"/>
    <cellStyle name="Normal 2 4 8 7" xfId="4707" xr:uid="{00000000-0005-0000-0000-00000F110000}"/>
    <cellStyle name="Normal 2 4 8 7 2" xfId="13136" xr:uid="{F51D57E9-BCD8-4840-B32D-CFB332884BBE}"/>
    <cellStyle name="Normal 2 4 8 7 3" xfId="25769" xr:uid="{CFF533F2-9AB9-4A50-ABA2-DB6F9278D847}"/>
    <cellStyle name="Normal 2 4 8 8" xfId="8918" xr:uid="{24B36481-6018-434A-AB10-EE453AE39875}"/>
    <cellStyle name="Normal 2 4 8 8 2" xfId="21558" xr:uid="{49B29675-0EB6-4584-BF07-10E43E40C9F9}"/>
    <cellStyle name="Normal 2 4 8 9" xfId="17347" xr:uid="{218806EC-8266-4630-B870-E4603203A475}"/>
    <cellStyle name="Normal 2 5" xfId="315" xr:uid="{00000000-0005-0000-0000-000010110000}"/>
    <cellStyle name="Normal 2 5 10" xfId="4708" xr:uid="{00000000-0005-0000-0000-000011110000}"/>
    <cellStyle name="Normal 2 5 10 2" xfId="13137" xr:uid="{5C404186-E5A8-4D33-8369-EEFFFDE57380}"/>
    <cellStyle name="Normal 2 5 10 3" xfId="25770" xr:uid="{7CFEA5AE-A26D-4291-B89B-E30BE1682A1F}"/>
    <cellStyle name="Normal 2 5 11" xfId="8919" xr:uid="{00CEF0BC-4EFF-488F-9D1C-0AC21B1D11B5}"/>
    <cellStyle name="Normal 2 5 11 2" xfId="21559" xr:uid="{853E64D8-338C-432E-8E42-3E2AE184BA70}"/>
    <cellStyle name="Normal 2 5 12" xfId="17348" xr:uid="{33525BCC-B371-4231-9F8B-2AE7026025B8}"/>
    <cellStyle name="Normal 2 5 2" xfId="316" xr:uid="{00000000-0005-0000-0000-000012110000}"/>
    <cellStyle name="Normal 2 5 3" xfId="317" xr:uid="{00000000-0005-0000-0000-000013110000}"/>
    <cellStyle name="Normal 2 5 4" xfId="318" xr:uid="{00000000-0005-0000-0000-000014110000}"/>
    <cellStyle name="Normal 2 5 4 10" xfId="8920" xr:uid="{20D485EF-901D-4D12-A941-15742D47248B}"/>
    <cellStyle name="Normal 2 5 4 10 2" xfId="21560" xr:uid="{8C7840F7-8F89-4E70-8242-368BA35EBBF0}"/>
    <cellStyle name="Normal 2 5 4 11" xfId="17349" xr:uid="{3016562C-12E1-401D-94F1-F33551A9B2E9}"/>
    <cellStyle name="Normal 2 5 4 2" xfId="319" xr:uid="{00000000-0005-0000-0000-000015110000}"/>
    <cellStyle name="Normal 2 5 4 2 10" xfId="17350" xr:uid="{3114A29F-2322-4E7F-89DC-0A07533A5416}"/>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73B545D0-6471-4890-96C7-EE6858972BEA}"/>
    <cellStyle name="Normal 2 5 4 2 2 2 2 2 3" xfId="28332" xr:uid="{D12F09A8-E3D9-41F9-A8A2-3578DB0F1924}"/>
    <cellStyle name="Normal 2 5 4 2 2 2 2 3" xfId="11481" xr:uid="{943BFF70-8689-47B0-B2E7-3273DD45EAFA}"/>
    <cellStyle name="Normal 2 5 4 2 2 2 2 3 2" xfId="24121" xr:uid="{4493D7CF-F9AA-4621-BB1B-887ADD8145BB}"/>
    <cellStyle name="Normal 2 5 4 2 2 2 2 4" xfId="19910" xr:uid="{E29ABF94-19B6-4B4D-BC4D-0DAC4C2E2EFF}"/>
    <cellStyle name="Normal 2 5 4 2 2 2 3" xfId="5125" xr:uid="{00000000-0005-0000-0000-00001A110000}"/>
    <cellStyle name="Normal 2 5 4 2 2 2 3 2" xfId="13554" xr:uid="{FC97592E-7971-4406-B50C-3DDD5EEFBE95}"/>
    <cellStyle name="Normal 2 5 4 2 2 2 3 3" xfId="26187" xr:uid="{EE2EA7CA-4B40-48AF-BED4-16BFCD7E4B0B}"/>
    <cellStyle name="Normal 2 5 4 2 2 2 4" xfId="9336" xr:uid="{BD97B915-710F-436C-B50D-69E055831989}"/>
    <cellStyle name="Normal 2 5 4 2 2 2 4 2" xfId="21976" xr:uid="{9A8D3DDD-8699-4369-B988-4938246847F0}"/>
    <cellStyle name="Normal 2 5 4 2 2 2 5" xfId="17765" xr:uid="{2B547B5A-2400-4812-89A9-8794B5F3E819}"/>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2D7FF766-98CB-494C-AABD-0DF1D0BC4F22}"/>
    <cellStyle name="Normal 2 5 4 2 2 3 2 2 3" xfId="28745" xr:uid="{2FF6670C-D30D-4A17-AF0C-C2AC53264061}"/>
    <cellStyle name="Normal 2 5 4 2 2 3 2 3" xfId="11894" xr:uid="{E4949BEA-BF56-4004-A680-F3A79E596CD9}"/>
    <cellStyle name="Normal 2 5 4 2 2 3 2 3 2" xfId="24534" xr:uid="{66A2EC9D-638C-4D07-B492-6817320E601A}"/>
    <cellStyle name="Normal 2 5 4 2 2 3 2 4" xfId="20323" xr:uid="{B6A0B56F-9B59-4DB8-B2A9-A520D5580018}"/>
    <cellStyle name="Normal 2 5 4 2 2 3 3" xfId="5538" xr:uid="{00000000-0005-0000-0000-00001E110000}"/>
    <cellStyle name="Normal 2 5 4 2 2 3 3 2" xfId="13967" xr:uid="{0BC6635A-B1A6-44BC-8FD0-A1B6C4C28F07}"/>
    <cellStyle name="Normal 2 5 4 2 2 3 3 3" xfId="26600" xr:uid="{CCC413D6-5DD8-42D5-AE81-3ABBD1949C98}"/>
    <cellStyle name="Normal 2 5 4 2 2 3 4" xfId="9749" xr:uid="{2535EA99-04C9-434E-BA79-CB18BC432471}"/>
    <cellStyle name="Normal 2 5 4 2 2 3 4 2" xfId="22389" xr:uid="{72849522-C10A-4FEC-BBBE-3E83BC15929B}"/>
    <cellStyle name="Normal 2 5 4 2 2 3 5" xfId="18178" xr:uid="{72955FCE-50ED-4BEB-A330-DC15D00A78D1}"/>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86A4240E-5B32-443F-A7B3-386F6CEFD92D}"/>
    <cellStyle name="Normal 2 5 4 2 2 4 2 2 3" xfId="29158" xr:uid="{7776E6EF-75EB-4163-A578-38EBF942CDC1}"/>
    <cellStyle name="Normal 2 5 4 2 2 4 2 3" xfId="12307" xr:uid="{853C4AE0-26B3-4247-85B0-194E19B6C680}"/>
    <cellStyle name="Normal 2 5 4 2 2 4 2 3 2" xfId="24947" xr:uid="{0AE35DF4-B918-4D02-8511-8D787F33B663}"/>
    <cellStyle name="Normal 2 5 4 2 2 4 2 4" xfId="20736" xr:uid="{3D5D7CFD-2F7C-4E6C-A5F6-91A4D5D5A6B0}"/>
    <cellStyle name="Normal 2 5 4 2 2 4 3" xfId="5951" xr:uid="{00000000-0005-0000-0000-000022110000}"/>
    <cellStyle name="Normal 2 5 4 2 2 4 3 2" xfId="14380" xr:uid="{AF136827-1EF1-4790-98B3-F826D7FE21D9}"/>
    <cellStyle name="Normal 2 5 4 2 2 4 3 3" xfId="27013" xr:uid="{11C1126E-DD64-4A31-BF07-B926E736886D}"/>
    <cellStyle name="Normal 2 5 4 2 2 4 4" xfId="10162" xr:uid="{1FB6E55B-664F-4E89-900A-D08F879D8AD7}"/>
    <cellStyle name="Normal 2 5 4 2 2 4 4 2" xfId="22802" xr:uid="{5A5D21FC-14FD-4458-A9AD-5D61E1B5FFA8}"/>
    <cellStyle name="Normal 2 5 4 2 2 4 5" xfId="18591" xr:uid="{1D8542F4-FC84-47C4-ABF8-1D7AD177426D}"/>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57A69B8A-7EBD-43FE-A957-69AE82EFE4EA}"/>
    <cellStyle name="Normal 2 5 4 2 2 5 2 2 3" xfId="29571" xr:uid="{730EB3F3-3BEE-41D3-8008-9AB1E6B76664}"/>
    <cellStyle name="Normal 2 5 4 2 2 5 2 3" xfId="12720" xr:uid="{48C8FC9E-4566-48F5-A22C-FC906971BB49}"/>
    <cellStyle name="Normal 2 5 4 2 2 5 2 3 2" xfId="25360" xr:uid="{D15CB1CE-050B-43E2-A63C-6F7460F82495}"/>
    <cellStyle name="Normal 2 5 4 2 2 5 2 4" xfId="21149" xr:uid="{3605A59F-9E9B-484F-8F31-0933333F40C2}"/>
    <cellStyle name="Normal 2 5 4 2 2 5 3" xfId="6364" xr:uid="{00000000-0005-0000-0000-000026110000}"/>
    <cellStyle name="Normal 2 5 4 2 2 5 3 2" xfId="14793" xr:uid="{19D18465-B3E2-4ECA-99B2-89FE2CFF38C3}"/>
    <cellStyle name="Normal 2 5 4 2 2 5 3 3" xfId="27426" xr:uid="{B0C6B517-6B50-4EEC-9D2F-B66146A62BDE}"/>
    <cellStyle name="Normal 2 5 4 2 2 5 4" xfId="10575" xr:uid="{8AEB5AA0-6A50-4814-8A12-05D03E2A762E}"/>
    <cellStyle name="Normal 2 5 4 2 2 5 4 2" xfId="23215" xr:uid="{78D9E072-75D1-4511-BB73-24DF27A95F43}"/>
    <cellStyle name="Normal 2 5 4 2 2 5 5" xfId="19004" xr:uid="{D6154BCD-E5B6-4D8C-BB8E-48A86B18BC1E}"/>
    <cellStyle name="Normal 2 5 4 2 2 6" xfId="2492" xr:uid="{00000000-0005-0000-0000-000027110000}"/>
    <cellStyle name="Normal 2 5 4 2 2 6 2" xfId="6777" xr:uid="{00000000-0005-0000-0000-000028110000}"/>
    <cellStyle name="Normal 2 5 4 2 2 6 2 2" xfId="15206" xr:uid="{3723E855-A608-4250-8EAF-6A0E36B98111}"/>
    <cellStyle name="Normal 2 5 4 2 2 6 2 3" xfId="27839" xr:uid="{4EA4330E-A4BA-47F5-85CE-34C2A71F19D0}"/>
    <cellStyle name="Normal 2 5 4 2 2 6 3" xfId="10988" xr:uid="{3BC7C55D-C2A4-4453-8D69-63A8A2A21F0E}"/>
    <cellStyle name="Normal 2 5 4 2 2 6 3 2" xfId="23628" xr:uid="{A8DB0730-B8E9-441E-B79A-732BC42C0E2F}"/>
    <cellStyle name="Normal 2 5 4 2 2 6 4" xfId="19417" xr:uid="{A864BA1F-8C1A-42DF-94F4-49CE725D9114}"/>
    <cellStyle name="Normal 2 5 4 2 2 7" xfId="4711" xr:uid="{00000000-0005-0000-0000-000029110000}"/>
    <cellStyle name="Normal 2 5 4 2 2 7 2" xfId="13140" xr:uid="{DC6075A4-45F3-4D96-8C3B-4AB8363F6947}"/>
    <cellStyle name="Normal 2 5 4 2 2 7 3" xfId="25773" xr:uid="{129ACEB5-B30F-41D8-9541-18A0A9985F08}"/>
    <cellStyle name="Normal 2 5 4 2 2 8" xfId="8922" xr:uid="{F41EFB0F-5B08-42EB-BADE-3F4CB6D1532D}"/>
    <cellStyle name="Normal 2 5 4 2 2 8 2" xfId="21562" xr:uid="{3A1C1EE1-5C8F-4D5C-8CE4-54644C828C83}"/>
    <cellStyle name="Normal 2 5 4 2 2 9" xfId="17351" xr:uid="{2499C25E-96B0-4AD1-BEC3-43FD97B73F5D}"/>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66C757C4-6EA9-406C-B28F-FC97D31263EB}"/>
    <cellStyle name="Normal 2 5 4 2 3 2 2 3" xfId="28331" xr:uid="{5C1D4ACF-425D-44DA-9790-6F03D620A03B}"/>
    <cellStyle name="Normal 2 5 4 2 3 2 3" xfId="11480" xr:uid="{BEA7563D-61A2-4395-9D18-E08C360A573C}"/>
    <cellStyle name="Normal 2 5 4 2 3 2 3 2" xfId="24120" xr:uid="{EF9953AA-5198-4633-9D3F-AB1BD4C412CC}"/>
    <cellStyle name="Normal 2 5 4 2 3 2 4" xfId="19909" xr:uid="{6BD77A36-9E64-4D71-AAB6-9E0F5B7ED124}"/>
    <cellStyle name="Normal 2 5 4 2 3 3" xfId="5124" xr:uid="{00000000-0005-0000-0000-00002D110000}"/>
    <cellStyle name="Normal 2 5 4 2 3 3 2" xfId="13553" xr:uid="{511926E6-B8AC-4348-BD00-32693EC14093}"/>
    <cellStyle name="Normal 2 5 4 2 3 3 3" xfId="26186" xr:uid="{65B9438A-2421-43F5-B18D-7F4C9DB18CA7}"/>
    <cellStyle name="Normal 2 5 4 2 3 4" xfId="9335" xr:uid="{81CD02EB-A8B9-4C15-8571-6E0E76B1D63A}"/>
    <cellStyle name="Normal 2 5 4 2 3 4 2" xfId="21975" xr:uid="{C6D6ACBF-695E-4518-AEE7-D3465A7DEA34}"/>
    <cellStyle name="Normal 2 5 4 2 3 5" xfId="17764" xr:uid="{9AC4FB5A-E3F2-4D63-971F-48A3D928C59D}"/>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64BC2E91-E8F2-4726-80D7-693AD7AF22A8}"/>
    <cellStyle name="Normal 2 5 4 2 4 2 2 3" xfId="28744" xr:uid="{43CC2461-F55C-4E50-8F36-088DF5BFE260}"/>
    <cellStyle name="Normal 2 5 4 2 4 2 3" xfId="11893" xr:uid="{340C4631-C500-4F59-AADF-3EED2DBDAB2C}"/>
    <cellStyle name="Normal 2 5 4 2 4 2 3 2" xfId="24533" xr:uid="{ABF5F93C-89D6-4329-AAA4-4141C5AC977F}"/>
    <cellStyle name="Normal 2 5 4 2 4 2 4" xfId="20322" xr:uid="{02590555-33E6-4FB0-8AAD-EED8E29FA755}"/>
    <cellStyle name="Normal 2 5 4 2 4 3" xfId="5537" xr:uid="{00000000-0005-0000-0000-000031110000}"/>
    <cellStyle name="Normal 2 5 4 2 4 3 2" xfId="13966" xr:uid="{2BB2DB26-F7D5-4BD7-A9CE-9055EBD7F3F5}"/>
    <cellStyle name="Normal 2 5 4 2 4 3 3" xfId="26599" xr:uid="{0486522F-11D3-4206-A34A-788ECCEE35E7}"/>
    <cellStyle name="Normal 2 5 4 2 4 4" xfId="9748" xr:uid="{55B54EA3-0066-4C1D-8EE0-AC1C445CC7F0}"/>
    <cellStyle name="Normal 2 5 4 2 4 4 2" xfId="22388" xr:uid="{1CB1FF96-0605-4E5D-9CE0-2EC4B702898C}"/>
    <cellStyle name="Normal 2 5 4 2 4 5" xfId="18177" xr:uid="{D3B17B01-80BF-40CC-8F4B-F438BB85B580}"/>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A2ED61CF-3D0C-4BF7-B6D8-EB0E2774C6EF}"/>
    <cellStyle name="Normal 2 5 4 2 5 2 2 3" xfId="29157" xr:uid="{3E21C2C6-4334-472B-9D4E-6B5958C8B654}"/>
    <cellStyle name="Normal 2 5 4 2 5 2 3" xfId="12306" xr:uid="{0D7A248D-0B6A-47CD-901A-EA53D958AFFB}"/>
    <cellStyle name="Normal 2 5 4 2 5 2 3 2" xfId="24946" xr:uid="{EDA1F877-87DE-475A-8BAA-B311E70604A6}"/>
    <cellStyle name="Normal 2 5 4 2 5 2 4" xfId="20735" xr:uid="{44795072-A17C-4F8A-AF53-AC9EE854F5BF}"/>
    <cellStyle name="Normal 2 5 4 2 5 3" xfId="5950" xr:uid="{00000000-0005-0000-0000-000035110000}"/>
    <cellStyle name="Normal 2 5 4 2 5 3 2" xfId="14379" xr:uid="{A7F08DF3-EAB5-4A9B-B5EA-87E2FD71F9F4}"/>
    <cellStyle name="Normal 2 5 4 2 5 3 3" xfId="27012" xr:uid="{79E32DE5-CE72-4C73-BA4E-7B515AB14A34}"/>
    <cellStyle name="Normal 2 5 4 2 5 4" xfId="10161" xr:uid="{C61E923E-6719-40DC-AD2C-3B68837E6E53}"/>
    <cellStyle name="Normal 2 5 4 2 5 4 2" xfId="22801" xr:uid="{27FCD1B7-B700-4E13-9DCB-78F45579FEC8}"/>
    <cellStyle name="Normal 2 5 4 2 5 5" xfId="18590" xr:uid="{532BBB6D-9B9A-4817-BAD2-562F25E80586}"/>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605F0AD7-3226-4221-8041-B0C24737A95D}"/>
    <cellStyle name="Normal 2 5 4 2 6 2 2 3" xfId="29570" xr:uid="{FC6D1362-5C27-42C6-BFDE-D6CEB44A7CC0}"/>
    <cellStyle name="Normal 2 5 4 2 6 2 3" xfId="12719" xr:uid="{968EC1A4-E107-46B9-BF83-D30C9B124663}"/>
    <cellStyle name="Normal 2 5 4 2 6 2 3 2" xfId="25359" xr:uid="{3C986F74-4ABE-4D63-8D90-BBFA5648A733}"/>
    <cellStyle name="Normal 2 5 4 2 6 2 4" xfId="21148" xr:uid="{B930B1CD-6AE6-485E-A9D6-B2AF8D9B7195}"/>
    <cellStyle name="Normal 2 5 4 2 6 3" xfId="6363" xr:uid="{00000000-0005-0000-0000-000039110000}"/>
    <cellStyle name="Normal 2 5 4 2 6 3 2" xfId="14792" xr:uid="{6A0F12F6-F9FC-464D-95DC-22CF3F703F4C}"/>
    <cellStyle name="Normal 2 5 4 2 6 3 3" xfId="27425" xr:uid="{F891D167-3CFA-4F35-8048-E84A48505E23}"/>
    <cellStyle name="Normal 2 5 4 2 6 4" xfId="10574" xr:uid="{27112AA4-9D5F-4E17-B012-A344D2668A63}"/>
    <cellStyle name="Normal 2 5 4 2 6 4 2" xfId="23214" xr:uid="{456CC7F8-575E-4245-BFA5-6DF47252B25E}"/>
    <cellStyle name="Normal 2 5 4 2 6 5" xfId="19003" xr:uid="{9862E239-A613-4D63-956A-13BCAF1C354F}"/>
    <cellStyle name="Normal 2 5 4 2 7" xfId="2491" xr:uid="{00000000-0005-0000-0000-00003A110000}"/>
    <cellStyle name="Normal 2 5 4 2 7 2" xfId="6776" xr:uid="{00000000-0005-0000-0000-00003B110000}"/>
    <cellStyle name="Normal 2 5 4 2 7 2 2" xfId="15205" xr:uid="{6030AE30-472F-4E42-9D3B-15D90EA7D781}"/>
    <cellStyle name="Normal 2 5 4 2 7 2 3" xfId="27838" xr:uid="{B8A3F52C-8162-4339-9A79-C3E064C15678}"/>
    <cellStyle name="Normal 2 5 4 2 7 3" xfId="10987" xr:uid="{4199F587-D4D9-4302-913D-2900305A85A5}"/>
    <cellStyle name="Normal 2 5 4 2 7 3 2" xfId="23627" xr:uid="{E4175F8E-8F1B-464E-A37E-FB7B9930E850}"/>
    <cellStyle name="Normal 2 5 4 2 7 4" xfId="19416" xr:uid="{FC81C715-23A2-4E4E-8859-05643A237024}"/>
    <cellStyle name="Normal 2 5 4 2 8" xfId="4710" xr:uid="{00000000-0005-0000-0000-00003C110000}"/>
    <cellStyle name="Normal 2 5 4 2 8 2" xfId="13139" xr:uid="{F61913A1-CEED-42F9-8EDB-CDDA09B319DA}"/>
    <cellStyle name="Normal 2 5 4 2 8 3" xfId="25772" xr:uid="{734E8BAD-CC3E-446C-8A02-57E73CC57D58}"/>
    <cellStyle name="Normal 2 5 4 2 9" xfId="8921" xr:uid="{C22D3F3B-B371-486E-95C2-60988A2E1B14}"/>
    <cellStyle name="Normal 2 5 4 2 9 2" xfId="21561" xr:uid="{D1C9D4B2-73BE-4C60-BFC9-2BF3AFE0AF58}"/>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A109F4D4-6C5E-48CE-9191-214367A9DF51}"/>
    <cellStyle name="Normal 2 5 4 3 2 2 2 3" xfId="28333" xr:uid="{DE399168-3925-41D1-8DFE-16D2CF614B79}"/>
    <cellStyle name="Normal 2 5 4 3 2 2 3" xfId="11482" xr:uid="{78B1E230-5095-4FF5-97F3-8FB6AD8D4463}"/>
    <cellStyle name="Normal 2 5 4 3 2 2 3 2" xfId="24122" xr:uid="{269AD871-9BE2-4B59-BB1E-61C72FFD2B62}"/>
    <cellStyle name="Normal 2 5 4 3 2 2 4" xfId="19911" xr:uid="{7ED63DD6-5BF0-43D6-9194-E62F752D2F52}"/>
    <cellStyle name="Normal 2 5 4 3 2 3" xfId="5126" xr:uid="{00000000-0005-0000-0000-000041110000}"/>
    <cellStyle name="Normal 2 5 4 3 2 3 2" xfId="13555" xr:uid="{E544310C-6CE5-42DC-B6BD-E57915E6FF9E}"/>
    <cellStyle name="Normal 2 5 4 3 2 3 3" xfId="26188" xr:uid="{D56F2B68-9C5E-4EB7-A8DF-743414E4074C}"/>
    <cellStyle name="Normal 2 5 4 3 2 4" xfId="9337" xr:uid="{A6F5B74D-7E10-4C1E-8481-BE8DAE414808}"/>
    <cellStyle name="Normal 2 5 4 3 2 4 2" xfId="21977" xr:uid="{4DB1C6CE-18D6-4279-A31C-CCB65D2FE68C}"/>
    <cellStyle name="Normal 2 5 4 3 2 5" xfId="17766" xr:uid="{68642369-981D-4AE4-B95D-9802E3DD981A}"/>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18BC3D93-C305-4C1A-9D45-83977E047669}"/>
    <cellStyle name="Normal 2 5 4 3 3 2 2 3" xfId="28746" xr:uid="{16E5FFCB-001A-411B-80B7-D7D2CF071DB5}"/>
    <cellStyle name="Normal 2 5 4 3 3 2 3" xfId="11895" xr:uid="{635A47A8-DD23-4EBC-9E9E-7CD524103AFA}"/>
    <cellStyle name="Normal 2 5 4 3 3 2 3 2" xfId="24535" xr:uid="{43EAA861-CD04-459B-B20A-513618710693}"/>
    <cellStyle name="Normal 2 5 4 3 3 2 4" xfId="20324" xr:uid="{E3021DE3-27CC-476D-AC65-BC7BDA90F884}"/>
    <cellStyle name="Normal 2 5 4 3 3 3" xfId="5539" xr:uid="{00000000-0005-0000-0000-000045110000}"/>
    <cellStyle name="Normal 2 5 4 3 3 3 2" xfId="13968" xr:uid="{C67CF466-F3E7-46B4-BB6D-5DA350A69F53}"/>
    <cellStyle name="Normal 2 5 4 3 3 3 3" xfId="26601" xr:uid="{099985DE-64FE-4F83-BBB6-2EBE5668144B}"/>
    <cellStyle name="Normal 2 5 4 3 3 4" xfId="9750" xr:uid="{5A8E96DC-F107-45EC-B5F8-EC40EF1A67D5}"/>
    <cellStyle name="Normal 2 5 4 3 3 4 2" xfId="22390" xr:uid="{A0A366AB-22E3-458B-A443-6AC5ED4C23A3}"/>
    <cellStyle name="Normal 2 5 4 3 3 5" xfId="18179" xr:uid="{3F8EC004-75D3-48E4-9029-23D72DA1076A}"/>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C5A4594F-DE72-4651-B2E4-CF639C7533FA}"/>
    <cellStyle name="Normal 2 5 4 3 4 2 2 3" xfId="29159" xr:uid="{799E764B-3881-42D2-BA5C-2730CE183062}"/>
    <cellStyle name="Normal 2 5 4 3 4 2 3" xfId="12308" xr:uid="{638216D3-9B25-495A-80AC-DA2F15342E44}"/>
    <cellStyle name="Normal 2 5 4 3 4 2 3 2" xfId="24948" xr:uid="{B86CE6BB-7338-46DB-AD30-553CC63EE799}"/>
    <cellStyle name="Normal 2 5 4 3 4 2 4" xfId="20737" xr:uid="{C9E68FDB-79BF-4901-963C-0D77C8F28986}"/>
    <cellStyle name="Normal 2 5 4 3 4 3" xfId="5952" xr:uid="{00000000-0005-0000-0000-000049110000}"/>
    <cellStyle name="Normal 2 5 4 3 4 3 2" xfId="14381" xr:uid="{F244CA30-A4F3-45D0-88B2-671A242ADF87}"/>
    <cellStyle name="Normal 2 5 4 3 4 3 3" xfId="27014" xr:uid="{D729E90C-7A37-4154-8A26-2B75F15B342E}"/>
    <cellStyle name="Normal 2 5 4 3 4 4" xfId="10163" xr:uid="{3E9A3059-9BA9-4DC2-8606-4D924AA8A302}"/>
    <cellStyle name="Normal 2 5 4 3 4 4 2" xfId="22803" xr:uid="{4D297491-C50F-4012-AF3B-E239FC4C6039}"/>
    <cellStyle name="Normal 2 5 4 3 4 5" xfId="18592" xr:uid="{CC4913BC-50B3-48BE-B1F1-740203E6DD30}"/>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7E9D3F68-B104-462D-8C2D-721E3495A901}"/>
    <cellStyle name="Normal 2 5 4 3 5 2 2 3" xfId="29572" xr:uid="{89EDD650-520E-4CEF-B21A-66EA69094F77}"/>
    <cellStyle name="Normal 2 5 4 3 5 2 3" xfId="12721" xr:uid="{DD9A52B8-FD7B-4A56-BEEE-A569B19C8845}"/>
    <cellStyle name="Normal 2 5 4 3 5 2 3 2" xfId="25361" xr:uid="{8296AF96-0934-49CC-B306-F645E1047531}"/>
    <cellStyle name="Normal 2 5 4 3 5 2 4" xfId="21150" xr:uid="{08DB406A-7955-4C05-B3DC-E037191114C5}"/>
    <cellStyle name="Normal 2 5 4 3 5 3" xfId="6365" xr:uid="{00000000-0005-0000-0000-00004D110000}"/>
    <cellStyle name="Normal 2 5 4 3 5 3 2" xfId="14794" xr:uid="{171AB9E8-E575-4825-8EF8-15502C31914C}"/>
    <cellStyle name="Normal 2 5 4 3 5 3 3" xfId="27427" xr:uid="{83D9A93E-943A-402B-98B2-CB756CA7448B}"/>
    <cellStyle name="Normal 2 5 4 3 5 4" xfId="10576" xr:uid="{492167A4-97E1-4843-BB7E-BE51046B3011}"/>
    <cellStyle name="Normal 2 5 4 3 5 4 2" xfId="23216" xr:uid="{E60F67FE-9CB2-4BEC-B373-7F2509A0FE51}"/>
    <cellStyle name="Normal 2 5 4 3 5 5" xfId="19005" xr:uid="{33FD8C0C-402B-4D49-B7DA-5D97141F8CDB}"/>
    <cellStyle name="Normal 2 5 4 3 6" xfId="2493" xr:uid="{00000000-0005-0000-0000-00004E110000}"/>
    <cellStyle name="Normal 2 5 4 3 6 2" xfId="6778" xr:uid="{00000000-0005-0000-0000-00004F110000}"/>
    <cellStyle name="Normal 2 5 4 3 6 2 2" xfId="15207" xr:uid="{6CE243BE-2A85-41DA-BB30-97C7455BA428}"/>
    <cellStyle name="Normal 2 5 4 3 6 2 3" xfId="27840" xr:uid="{E4397F1C-AC67-42B6-A91E-41957D997161}"/>
    <cellStyle name="Normal 2 5 4 3 6 3" xfId="10989" xr:uid="{F304347A-3D8D-4A17-94D6-F1092AD112E7}"/>
    <cellStyle name="Normal 2 5 4 3 6 3 2" xfId="23629" xr:uid="{FF08FFA3-2EC9-4AEA-8411-620B7D52EA14}"/>
    <cellStyle name="Normal 2 5 4 3 6 4" xfId="19418" xr:uid="{FBCCB06D-7443-4D16-A574-78B5A18BFE70}"/>
    <cellStyle name="Normal 2 5 4 3 7" xfId="4712" xr:uid="{00000000-0005-0000-0000-000050110000}"/>
    <cellStyle name="Normal 2 5 4 3 7 2" xfId="13141" xr:uid="{339E41CF-D91E-42E4-9D16-A184ED83DCAE}"/>
    <cellStyle name="Normal 2 5 4 3 7 3" xfId="25774" xr:uid="{7EB99FAC-FC2A-402D-B6F9-3685F224C7A0}"/>
    <cellStyle name="Normal 2 5 4 3 8" xfId="8923" xr:uid="{B6644F58-C5A1-4FFC-A185-5550ACA978EF}"/>
    <cellStyle name="Normal 2 5 4 3 8 2" xfId="21563" xr:uid="{BC38C946-F11B-4A33-A1C2-29E936AF9B36}"/>
    <cellStyle name="Normal 2 5 4 3 9" xfId="17352" xr:uid="{C8570B1E-A13D-4A09-933A-FE28537B0F37}"/>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55D0D7B2-9CBB-4BE5-931C-183CFD363490}"/>
    <cellStyle name="Normal 2 5 4 4 2 2 3" xfId="28330" xr:uid="{A3E1E799-1A7C-4506-9736-FAFCDE416A42}"/>
    <cellStyle name="Normal 2 5 4 4 2 3" xfId="11479" xr:uid="{CF399986-5466-4A08-9686-0874D9E908BD}"/>
    <cellStyle name="Normal 2 5 4 4 2 3 2" xfId="24119" xr:uid="{2D6BE3EE-CE4C-425D-940F-A0CC7C07B56D}"/>
    <cellStyle name="Normal 2 5 4 4 2 4" xfId="19908" xr:uid="{3F2BA61B-DC99-4613-A80D-10BD382D4612}"/>
    <cellStyle name="Normal 2 5 4 4 3" xfId="5123" xr:uid="{00000000-0005-0000-0000-000054110000}"/>
    <cellStyle name="Normal 2 5 4 4 3 2" xfId="13552" xr:uid="{2D85B7E6-5259-4C31-A15E-B292843FA670}"/>
    <cellStyle name="Normal 2 5 4 4 3 3" xfId="26185" xr:uid="{A5A0A5C3-F423-424B-B5FB-56E7FD7DB01D}"/>
    <cellStyle name="Normal 2 5 4 4 4" xfId="9334" xr:uid="{9D761477-11A2-4AE8-8A52-93675BB70385}"/>
    <cellStyle name="Normal 2 5 4 4 4 2" xfId="21974" xr:uid="{532EB85F-D6DB-43A6-B01A-1FA825B77AD2}"/>
    <cellStyle name="Normal 2 5 4 4 5" xfId="17763" xr:uid="{DC78CFAD-B821-4C87-8F0C-4AF6D09DDC1B}"/>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C4844DAB-826E-4681-8CCF-6106A433C4F2}"/>
    <cellStyle name="Normal 2 5 4 5 2 2 3" xfId="28743" xr:uid="{CA73F343-F8CC-4D17-BD38-71A6A58C387D}"/>
    <cellStyle name="Normal 2 5 4 5 2 3" xfId="11892" xr:uid="{3DAFBE25-39FD-4F5E-BCC3-32ADDDF13005}"/>
    <cellStyle name="Normal 2 5 4 5 2 3 2" xfId="24532" xr:uid="{AA6202BD-B6A1-419D-BF74-04BA18572701}"/>
    <cellStyle name="Normal 2 5 4 5 2 4" xfId="20321" xr:uid="{17331A26-1F49-4F32-BAE0-0EE69EDA4374}"/>
    <cellStyle name="Normal 2 5 4 5 3" xfId="5536" xr:uid="{00000000-0005-0000-0000-000058110000}"/>
    <cellStyle name="Normal 2 5 4 5 3 2" xfId="13965" xr:uid="{B793F5E3-D8F5-403C-BA11-6C1E35E27B3E}"/>
    <cellStyle name="Normal 2 5 4 5 3 3" xfId="26598" xr:uid="{1FE3ECCA-FB97-4826-9599-ECF8CA4928E2}"/>
    <cellStyle name="Normal 2 5 4 5 4" xfId="9747" xr:uid="{DA9BE648-E125-4590-9301-4433A5643669}"/>
    <cellStyle name="Normal 2 5 4 5 4 2" xfId="22387" xr:uid="{061A073B-4A21-45BA-9B2E-B08F6E5F62A4}"/>
    <cellStyle name="Normal 2 5 4 5 5" xfId="18176" xr:uid="{22DA9756-9FCF-4389-998A-DDFDD7AEF644}"/>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0AA5D3C4-06B2-4F70-B93D-F01A9D7D2F25}"/>
    <cellStyle name="Normal 2 5 4 6 2 2 3" xfId="29156" xr:uid="{0983EC68-7ABA-463E-8699-EC1823D552EB}"/>
    <cellStyle name="Normal 2 5 4 6 2 3" xfId="12305" xr:uid="{EDCFB815-279E-4916-A4B9-FAA731EDC666}"/>
    <cellStyle name="Normal 2 5 4 6 2 3 2" xfId="24945" xr:uid="{4E69A6BE-2FCB-4B80-B30B-3C10E5DFEAF1}"/>
    <cellStyle name="Normal 2 5 4 6 2 4" xfId="20734" xr:uid="{7B19D655-5F24-4AED-BD7D-52F930315DA4}"/>
    <cellStyle name="Normal 2 5 4 6 3" xfId="5949" xr:uid="{00000000-0005-0000-0000-00005C110000}"/>
    <cellStyle name="Normal 2 5 4 6 3 2" xfId="14378" xr:uid="{411D04F0-7687-4C48-9AA0-BD8F39154ADF}"/>
    <cellStyle name="Normal 2 5 4 6 3 3" xfId="27011" xr:uid="{280738EA-EEA8-4FE5-93A9-D38CBAE8F212}"/>
    <cellStyle name="Normal 2 5 4 6 4" xfId="10160" xr:uid="{4537C862-E250-4CC4-BE9A-BB0DC286907D}"/>
    <cellStyle name="Normal 2 5 4 6 4 2" xfId="22800" xr:uid="{C1266158-016A-45AB-B741-C410E1004C8A}"/>
    <cellStyle name="Normal 2 5 4 6 5" xfId="18589" xr:uid="{27364472-18CC-41A6-99C8-B72DBD95B423}"/>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0C8B533C-CAD3-4049-A3A5-E56A633249D4}"/>
    <cellStyle name="Normal 2 5 4 7 2 2 3" xfId="29569" xr:uid="{F1CEB157-28F3-4821-AF25-0CBB81E60745}"/>
    <cellStyle name="Normal 2 5 4 7 2 3" xfId="12718" xr:uid="{1C102932-4A09-4BDE-82A4-45A7CBA48BC6}"/>
    <cellStyle name="Normal 2 5 4 7 2 3 2" xfId="25358" xr:uid="{42AFA8F8-46CA-49E5-B042-12ED55BB1F89}"/>
    <cellStyle name="Normal 2 5 4 7 2 4" xfId="21147" xr:uid="{843B1E77-E37C-4DBE-A026-0591348FBF5F}"/>
    <cellStyle name="Normal 2 5 4 7 3" xfId="6362" xr:uid="{00000000-0005-0000-0000-000060110000}"/>
    <cellStyle name="Normal 2 5 4 7 3 2" xfId="14791" xr:uid="{35CC9DB3-4EFA-4198-B769-1B01875FF268}"/>
    <cellStyle name="Normal 2 5 4 7 3 3" xfId="27424" xr:uid="{4073BCF5-7380-45FF-955E-E58983C9ED7E}"/>
    <cellStyle name="Normal 2 5 4 7 4" xfId="10573" xr:uid="{716289B9-7F72-49B1-85FA-EC842F420EC8}"/>
    <cellStyle name="Normal 2 5 4 7 4 2" xfId="23213" xr:uid="{043778C9-9449-4D83-8A2A-EBD38E563746}"/>
    <cellStyle name="Normal 2 5 4 7 5" xfId="19002" xr:uid="{FE5681CE-F5DF-4970-A4B7-6F663C6D6864}"/>
    <cellStyle name="Normal 2 5 4 8" xfId="2490" xr:uid="{00000000-0005-0000-0000-000061110000}"/>
    <cellStyle name="Normal 2 5 4 8 2" xfId="6775" xr:uid="{00000000-0005-0000-0000-000062110000}"/>
    <cellStyle name="Normal 2 5 4 8 2 2" xfId="15204" xr:uid="{DA298F93-DE00-4667-8FC4-3678571299BC}"/>
    <cellStyle name="Normal 2 5 4 8 2 3" xfId="27837" xr:uid="{687F5FB5-3D5B-44B9-93AD-93FB0878EFDB}"/>
    <cellStyle name="Normal 2 5 4 8 3" xfId="10986" xr:uid="{94AAA8E2-7B92-4153-A168-D9F1F00AF746}"/>
    <cellStyle name="Normal 2 5 4 8 3 2" xfId="23626" xr:uid="{121A1231-7551-4ED9-8BF3-35B1AA7E388C}"/>
    <cellStyle name="Normal 2 5 4 8 4" xfId="19415" xr:uid="{2AC96F48-0C08-4B94-A977-64D0F93E62E7}"/>
    <cellStyle name="Normal 2 5 4 9" xfId="4709" xr:uid="{00000000-0005-0000-0000-000063110000}"/>
    <cellStyle name="Normal 2 5 4 9 2" xfId="13138" xr:uid="{5B98C12C-91F3-4E7A-B28C-9AE2D0253C08}"/>
    <cellStyle name="Normal 2 5 4 9 3" xfId="25771" xr:uid="{DB2BB1C3-2CB2-4D92-B44F-11A5FB3B6559}"/>
    <cellStyle name="Normal 2 5 5" xfId="804" xr:uid="{00000000-0005-0000-0000-000064110000}"/>
    <cellStyle name="Normal 2 5 5 2" xfId="3043" xr:uid="{00000000-0005-0000-0000-000065110000}"/>
    <cellStyle name="Normal 2 5 5 2 2" xfId="7267" xr:uid="{00000000-0005-0000-0000-000066110000}"/>
    <cellStyle name="Normal 2 5 5 2 2 2" xfId="15696" xr:uid="{ED6C9939-6546-4BDC-AD8B-0CFAA5905AA0}"/>
    <cellStyle name="Normal 2 5 5 2 2 3" xfId="28329" xr:uid="{BE557257-2974-44E2-8F97-A2257CED69B3}"/>
    <cellStyle name="Normal 2 5 5 2 3" xfId="11478" xr:uid="{A47BB4D0-734C-41C9-9714-AB473A129F7B}"/>
    <cellStyle name="Normal 2 5 5 2 3 2" xfId="24118" xr:uid="{48CC8596-FDDD-479E-A94A-D3704A1A1869}"/>
    <cellStyle name="Normal 2 5 5 2 4" xfId="19907" xr:uid="{8A026EF7-22D0-40AC-86FE-3FD2AA9DE9FC}"/>
    <cellStyle name="Normal 2 5 5 3" xfId="5122" xr:uid="{00000000-0005-0000-0000-000067110000}"/>
    <cellStyle name="Normal 2 5 5 3 2" xfId="13551" xr:uid="{A9BA6BC8-B386-4DAD-B42F-868823764BCE}"/>
    <cellStyle name="Normal 2 5 5 3 3" xfId="26184" xr:uid="{731D7086-26D9-44AA-8821-CB45980ED0EF}"/>
    <cellStyle name="Normal 2 5 5 4" xfId="9333" xr:uid="{75FE28F1-73B8-4E36-8F71-C29E22F1026F}"/>
    <cellStyle name="Normal 2 5 5 4 2" xfId="21973" xr:uid="{E45EDB15-1FD9-468E-A3D7-5CE4B172891F}"/>
    <cellStyle name="Normal 2 5 5 5" xfId="17762" xr:uid="{BDC028AE-A324-4878-9D49-CB30E30285A8}"/>
    <cellStyle name="Normal 2 5 6" xfId="1226" xr:uid="{00000000-0005-0000-0000-000068110000}"/>
    <cellStyle name="Normal 2 5 6 2" xfId="3456" xr:uid="{00000000-0005-0000-0000-000069110000}"/>
    <cellStyle name="Normal 2 5 6 2 2" xfId="7680" xr:uid="{00000000-0005-0000-0000-00006A110000}"/>
    <cellStyle name="Normal 2 5 6 2 2 2" xfId="16109" xr:uid="{FD7818CF-4477-427A-A5FF-AE4C937E4170}"/>
    <cellStyle name="Normal 2 5 6 2 2 3" xfId="28742" xr:uid="{6224CE29-88A2-466C-B610-28C506DEDB2C}"/>
    <cellStyle name="Normal 2 5 6 2 3" xfId="11891" xr:uid="{5E722ACE-2221-41C0-A2D2-5582D5E4479C}"/>
    <cellStyle name="Normal 2 5 6 2 3 2" xfId="24531" xr:uid="{C5E544E3-1D25-4522-AA45-D8618A5E2731}"/>
    <cellStyle name="Normal 2 5 6 2 4" xfId="20320" xr:uid="{4310AE84-78FB-4B56-8139-BEB0C924446D}"/>
    <cellStyle name="Normal 2 5 6 3" xfId="5535" xr:uid="{00000000-0005-0000-0000-00006B110000}"/>
    <cellStyle name="Normal 2 5 6 3 2" xfId="13964" xr:uid="{13DE2FF1-F9A1-417A-997B-17CFE7D2812A}"/>
    <cellStyle name="Normal 2 5 6 3 3" xfId="26597" xr:uid="{E446A09C-E3B8-47A6-8370-30A4AB080008}"/>
    <cellStyle name="Normal 2 5 6 4" xfId="9746" xr:uid="{ECEC8CCF-9D0F-40AA-95E5-DD544AC47111}"/>
    <cellStyle name="Normal 2 5 6 4 2" xfId="22386" xr:uid="{DF00CBF3-C558-4924-A180-2B3427C900B1}"/>
    <cellStyle name="Normal 2 5 6 5" xfId="18175" xr:uid="{B261FAAE-3F17-4DC0-A9AD-2500F2A2E4A9}"/>
    <cellStyle name="Normal 2 5 7" xfId="1639" xr:uid="{00000000-0005-0000-0000-00006C110000}"/>
    <cellStyle name="Normal 2 5 7 2" xfId="3869" xr:uid="{00000000-0005-0000-0000-00006D110000}"/>
    <cellStyle name="Normal 2 5 7 2 2" xfId="8093" xr:uid="{00000000-0005-0000-0000-00006E110000}"/>
    <cellStyle name="Normal 2 5 7 2 2 2" xfId="16522" xr:uid="{FC7476EB-086D-4578-BE2E-DBEC136FFA95}"/>
    <cellStyle name="Normal 2 5 7 2 2 3" xfId="29155" xr:uid="{CD0FA081-52BC-44E1-9D12-F6315A8A9A6B}"/>
    <cellStyle name="Normal 2 5 7 2 3" xfId="12304" xr:uid="{4D666B12-4303-4D88-8B68-A846B6DC9AB1}"/>
    <cellStyle name="Normal 2 5 7 2 3 2" xfId="24944" xr:uid="{F88A0B8C-D983-4FEB-AC6D-3AE3679351A5}"/>
    <cellStyle name="Normal 2 5 7 2 4" xfId="20733" xr:uid="{0F34371D-DBAF-4FAC-B249-8A9A6AB22E17}"/>
    <cellStyle name="Normal 2 5 7 3" xfId="5948" xr:uid="{00000000-0005-0000-0000-00006F110000}"/>
    <cellStyle name="Normal 2 5 7 3 2" xfId="14377" xr:uid="{E94EE754-47E4-44C0-A458-52914696CE64}"/>
    <cellStyle name="Normal 2 5 7 3 3" xfId="27010" xr:uid="{376BABCC-6A60-441A-882D-B4CEBDDCDB36}"/>
    <cellStyle name="Normal 2 5 7 4" xfId="10159" xr:uid="{35965657-F2EB-49D8-B6F8-B62818B53D78}"/>
    <cellStyle name="Normal 2 5 7 4 2" xfId="22799" xr:uid="{158873BB-72BD-4F0F-937E-E4816FA6249B}"/>
    <cellStyle name="Normal 2 5 7 5" xfId="18588" xr:uid="{8AFA2F15-6EDB-4E5D-A1DD-E6598A8A7BD0}"/>
    <cellStyle name="Normal 2 5 8" xfId="2053" xr:uid="{00000000-0005-0000-0000-000070110000}"/>
    <cellStyle name="Normal 2 5 8 2" xfId="4282" xr:uid="{00000000-0005-0000-0000-000071110000}"/>
    <cellStyle name="Normal 2 5 8 2 2" xfId="8506" xr:uid="{00000000-0005-0000-0000-000072110000}"/>
    <cellStyle name="Normal 2 5 8 2 2 2" xfId="16935" xr:uid="{09E8BF1D-151A-452B-8001-DDD9DB7F5347}"/>
    <cellStyle name="Normal 2 5 8 2 2 3" xfId="29568" xr:uid="{BEA954B2-26AD-4F93-B498-CAE0AAED1936}"/>
    <cellStyle name="Normal 2 5 8 2 3" xfId="12717" xr:uid="{A95A8F47-6485-4114-8F8B-9D5B1281476E}"/>
    <cellStyle name="Normal 2 5 8 2 3 2" xfId="25357" xr:uid="{C6663EFE-0CB5-4163-ACEF-40372D52793C}"/>
    <cellStyle name="Normal 2 5 8 2 4" xfId="21146" xr:uid="{4F11BD3A-4031-40B3-8C2D-EB35949727A1}"/>
    <cellStyle name="Normal 2 5 8 3" xfId="6361" xr:uid="{00000000-0005-0000-0000-000073110000}"/>
    <cellStyle name="Normal 2 5 8 3 2" xfId="14790" xr:uid="{79B6521A-5051-4285-9801-5CF76685742A}"/>
    <cellStyle name="Normal 2 5 8 3 3" xfId="27423" xr:uid="{3111B861-9A8A-43F1-A94B-2A3E51EBBC59}"/>
    <cellStyle name="Normal 2 5 8 4" xfId="10572" xr:uid="{D3D6D264-D56B-4317-A149-DD8700473513}"/>
    <cellStyle name="Normal 2 5 8 4 2" xfId="23212" xr:uid="{148BE549-4AB8-4F36-B975-3BD164C5A30E}"/>
    <cellStyle name="Normal 2 5 8 5" xfId="19001" xr:uid="{2B1327E3-E78F-4D1A-9A39-DF760398629F}"/>
    <cellStyle name="Normal 2 5 9" xfId="2489" xr:uid="{00000000-0005-0000-0000-000074110000}"/>
    <cellStyle name="Normal 2 5 9 2" xfId="6774" xr:uid="{00000000-0005-0000-0000-000075110000}"/>
    <cellStyle name="Normal 2 5 9 2 2" xfId="15203" xr:uid="{70420EFC-B498-44E2-B3E4-FD58B2645AEC}"/>
    <cellStyle name="Normal 2 5 9 2 3" xfId="27836" xr:uid="{0F5E92AC-8ADD-45CF-BF80-8F7D61B203FF}"/>
    <cellStyle name="Normal 2 5 9 3" xfId="10985" xr:uid="{058F4D75-7400-4B2B-94E5-32EE685BF046}"/>
    <cellStyle name="Normal 2 5 9 3 2" xfId="23625" xr:uid="{F62508B2-CF10-4BB0-BB62-F3BCDC11B2F2}"/>
    <cellStyle name="Normal 2 5 9 4" xfId="19414" xr:uid="{E66D84EA-502B-4987-862D-8F3DB06813D9}"/>
    <cellStyle name="Normal 2 6" xfId="322" xr:uid="{00000000-0005-0000-0000-000076110000}"/>
    <cellStyle name="Normal 2 7" xfId="770" xr:uid="{00000000-0005-0000-0000-000077110000}"/>
    <cellStyle name="Normal 2 8" xfId="4496" xr:uid="{00000000-0005-0000-0000-000078110000}"/>
    <cellStyle name="Normal 2 8 2" xfId="12929" xr:uid="{D0F04378-4DF0-4849-AF4C-446E18C96FB2}"/>
    <cellStyle name="Normal 3" xfId="323" xr:uid="{00000000-0005-0000-0000-000079110000}"/>
    <cellStyle name="Normal 3 2" xfId="324" xr:uid="{00000000-0005-0000-0000-00007A110000}"/>
    <cellStyle name="Normal 3 2 10" xfId="8924" xr:uid="{E43E17EB-5E5F-4758-A33A-6EDC1B0DA582}"/>
    <cellStyle name="Normal 3 2 10 2" xfId="21564" xr:uid="{3F6EF2F6-02EB-4E6E-B86F-C5B91CBA799B}"/>
    <cellStyle name="Normal 3 2 11" xfId="17353" xr:uid="{52A03D8F-D35B-4D25-AC19-4BDC28C45BC6}"/>
    <cellStyle name="Normal 3 2 2" xfId="325" xr:uid="{00000000-0005-0000-0000-00007B110000}"/>
    <cellStyle name="Normal 3 2 2 2" xfId="811" xr:uid="{00000000-0005-0000-0000-00007C110000}"/>
    <cellStyle name="Normal 3 2 3" xfId="326" xr:uid="{00000000-0005-0000-0000-00007D110000}"/>
    <cellStyle name="Normal 3 2 3 10" xfId="8925" xr:uid="{236544E2-7099-47DE-9D0D-E50C8BC8B63E}"/>
    <cellStyle name="Normal 3 2 3 10 2" xfId="21565" xr:uid="{5019AE77-30F2-4508-A2DE-3191BDFD82D4}"/>
    <cellStyle name="Normal 3 2 3 11" xfId="17354" xr:uid="{B5D12D4B-0599-4096-9BDB-43A729A573CD}"/>
    <cellStyle name="Normal 3 2 3 2" xfId="327" xr:uid="{00000000-0005-0000-0000-00007E110000}"/>
    <cellStyle name="Normal 3 2 3 2 10" xfId="17355" xr:uid="{4FC757F5-4781-41CD-A07F-C5B54C7C83D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5E92ADBC-B56D-4661-9D92-341B33F33557}"/>
    <cellStyle name="Normal 3 2 3 2 2 2 2 2 3" xfId="28337" xr:uid="{4FF7D24A-FA16-44F3-8894-1F4E8A8FC778}"/>
    <cellStyle name="Normal 3 2 3 2 2 2 2 3" xfId="11486" xr:uid="{717BBC7E-6156-4DD3-A800-1737318A3495}"/>
    <cellStyle name="Normal 3 2 3 2 2 2 2 3 2" xfId="24126" xr:uid="{C6E37C00-9133-491F-872E-E52D86C925D9}"/>
    <cellStyle name="Normal 3 2 3 2 2 2 2 4" xfId="19915" xr:uid="{1FE989E3-46D0-422D-AC21-44CDC9FE4109}"/>
    <cellStyle name="Normal 3 2 3 2 2 2 3" xfId="5130" xr:uid="{00000000-0005-0000-0000-000083110000}"/>
    <cellStyle name="Normal 3 2 3 2 2 2 3 2" xfId="13559" xr:uid="{EF6B33BE-A3C1-4791-A437-028BC2EE7EFE}"/>
    <cellStyle name="Normal 3 2 3 2 2 2 3 3" xfId="26192" xr:uid="{939D1BB6-C297-43C2-A63B-460E4ABFC886}"/>
    <cellStyle name="Normal 3 2 3 2 2 2 4" xfId="9341" xr:uid="{A09DAB7C-76E0-46B3-928D-40A033A91F1E}"/>
    <cellStyle name="Normal 3 2 3 2 2 2 4 2" xfId="21981" xr:uid="{67F4F8B6-D14F-4DEB-93EB-B131BDF5F16E}"/>
    <cellStyle name="Normal 3 2 3 2 2 2 5" xfId="17770" xr:uid="{2981008E-1194-4CE1-BB9D-57A1D5250C89}"/>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47EAF106-CE9F-4301-A1BE-11E96FF546A1}"/>
    <cellStyle name="Normal 3 2 3 2 2 3 2 2 3" xfId="28750" xr:uid="{644C7812-AA28-401A-A93D-8678523B5081}"/>
    <cellStyle name="Normal 3 2 3 2 2 3 2 3" xfId="11899" xr:uid="{3A72F412-A75C-4DD3-A274-AF0392109401}"/>
    <cellStyle name="Normal 3 2 3 2 2 3 2 3 2" xfId="24539" xr:uid="{8C0144D3-AFE1-412D-9E29-E5D2FEAAB202}"/>
    <cellStyle name="Normal 3 2 3 2 2 3 2 4" xfId="20328" xr:uid="{9E99246A-FE8F-4638-BFA7-1E7170EDE066}"/>
    <cellStyle name="Normal 3 2 3 2 2 3 3" xfId="5543" xr:uid="{00000000-0005-0000-0000-000087110000}"/>
    <cellStyle name="Normal 3 2 3 2 2 3 3 2" xfId="13972" xr:uid="{6DAD47A8-0E50-4497-BAED-4003A870BDDD}"/>
    <cellStyle name="Normal 3 2 3 2 2 3 3 3" xfId="26605" xr:uid="{D6594D8D-3603-475C-B9A5-DF4FF8DF1E4A}"/>
    <cellStyle name="Normal 3 2 3 2 2 3 4" xfId="9754" xr:uid="{539C1E65-2C94-4B0D-B7E1-4E2AE0D1B92D}"/>
    <cellStyle name="Normal 3 2 3 2 2 3 4 2" xfId="22394" xr:uid="{A41D98BC-C1AA-4CD9-B426-842C1FC6750F}"/>
    <cellStyle name="Normal 3 2 3 2 2 3 5" xfId="18183" xr:uid="{8955E79B-6931-442D-91FB-67E5E5FF95B1}"/>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F5406DAB-DD74-468D-8B31-076633643812}"/>
    <cellStyle name="Normal 3 2 3 2 2 4 2 2 3" xfId="29163" xr:uid="{2964DE89-682C-4D76-8D16-8FD1058F0205}"/>
    <cellStyle name="Normal 3 2 3 2 2 4 2 3" xfId="12312" xr:uid="{27F7D634-57F0-4F1C-B67B-6938865BFB60}"/>
    <cellStyle name="Normal 3 2 3 2 2 4 2 3 2" xfId="24952" xr:uid="{70060CFC-96BB-47E9-8E49-071C7349B8B3}"/>
    <cellStyle name="Normal 3 2 3 2 2 4 2 4" xfId="20741" xr:uid="{D01AD8F5-122A-459C-8E47-032DEE9BD0E0}"/>
    <cellStyle name="Normal 3 2 3 2 2 4 3" xfId="5956" xr:uid="{00000000-0005-0000-0000-00008B110000}"/>
    <cellStyle name="Normal 3 2 3 2 2 4 3 2" xfId="14385" xr:uid="{FB94B26B-D957-4416-9AC0-33B4617D79B2}"/>
    <cellStyle name="Normal 3 2 3 2 2 4 3 3" xfId="27018" xr:uid="{0E8A5BCB-7E31-406E-B2EE-9CBB26146EB4}"/>
    <cellStyle name="Normal 3 2 3 2 2 4 4" xfId="10167" xr:uid="{8EF19C36-91AA-4794-B266-B2202E9994BE}"/>
    <cellStyle name="Normal 3 2 3 2 2 4 4 2" xfId="22807" xr:uid="{527D3459-774C-4F27-BE49-1E0A70625992}"/>
    <cellStyle name="Normal 3 2 3 2 2 4 5" xfId="18596" xr:uid="{12A767A4-99AC-473E-9195-E76897BF8576}"/>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FFC0B7DF-2D3A-402E-BC14-AEF6D445D979}"/>
    <cellStyle name="Normal 3 2 3 2 2 5 2 2 3" xfId="29576" xr:uid="{37DC5487-635F-49A7-A12D-F2A5FE810AA0}"/>
    <cellStyle name="Normal 3 2 3 2 2 5 2 3" xfId="12725" xr:uid="{35A7D1EC-A6DC-4F56-B25E-439DD6FDA5E2}"/>
    <cellStyle name="Normal 3 2 3 2 2 5 2 3 2" xfId="25365" xr:uid="{57334722-8DE7-4C20-AC9A-1AD792EC43DF}"/>
    <cellStyle name="Normal 3 2 3 2 2 5 2 4" xfId="21154" xr:uid="{7C573B1F-809F-4794-8FB3-61DCC3949034}"/>
    <cellStyle name="Normal 3 2 3 2 2 5 3" xfId="6369" xr:uid="{00000000-0005-0000-0000-00008F110000}"/>
    <cellStyle name="Normal 3 2 3 2 2 5 3 2" xfId="14798" xr:uid="{A1185EB6-4A95-419A-9D3E-B3984AB407F2}"/>
    <cellStyle name="Normal 3 2 3 2 2 5 3 3" xfId="27431" xr:uid="{4CE99883-69AD-4FDC-8170-EB7433C97F31}"/>
    <cellStyle name="Normal 3 2 3 2 2 5 4" xfId="10580" xr:uid="{EEB6A56A-719B-4BCD-A887-CFB420792E58}"/>
    <cellStyle name="Normal 3 2 3 2 2 5 4 2" xfId="23220" xr:uid="{CBFB9978-B879-427C-8DF9-C660E9A4D20B}"/>
    <cellStyle name="Normal 3 2 3 2 2 5 5" xfId="19009" xr:uid="{C0D10F7F-E335-460F-9D0F-C26F18A8FB4A}"/>
    <cellStyle name="Normal 3 2 3 2 2 6" xfId="2497" xr:uid="{00000000-0005-0000-0000-000090110000}"/>
    <cellStyle name="Normal 3 2 3 2 2 6 2" xfId="6782" xr:uid="{00000000-0005-0000-0000-000091110000}"/>
    <cellStyle name="Normal 3 2 3 2 2 6 2 2" xfId="15211" xr:uid="{61A3E7C7-AE91-499E-9FE1-2F4F4C3012D6}"/>
    <cellStyle name="Normal 3 2 3 2 2 6 2 3" xfId="27844" xr:uid="{8A08B37A-17AE-4E0E-B9CA-83E54FE98D60}"/>
    <cellStyle name="Normal 3 2 3 2 2 6 3" xfId="10993" xr:uid="{D9FFE62F-6099-4F9B-8F9C-D3113F175420}"/>
    <cellStyle name="Normal 3 2 3 2 2 6 3 2" xfId="23633" xr:uid="{1B026632-614E-48C7-A271-AEA6855D9209}"/>
    <cellStyle name="Normal 3 2 3 2 2 6 4" xfId="19422" xr:uid="{B022AFEC-E0A1-498E-A444-F1C3617527A3}"/>
    <cellStyle name="Normal 3 2 3 2 2 7" xfId="4716" xr:uid="{00000000-0005-0000-0000-000092110000}"/>
    <cellStyle name="Normal 3 2 3 2 2 7 2" xfId="13145" xr:uid="{E53CBBA9-8B16-4FEC-A148-2BD7FF27BC38}"/>
    <cellStyle name="Normal 3 2 3 2 2 7 3" xfId="25778" xr:uid="{0C8FB979-6EBB-4694-8A08-BC3896A8E924}"/>
    <cellStyle name="Normal 3 2 3 2 2 8" xfId="8927" xr:uid="{2FE3A188-70CC-4138-B191-619C8FD1EDBE}"/>
    <cellStyle name="Normal 3 2 3 2 2 8 2" xfId="21567" xr:uid="{7CED1AD0-4300-4552-8B96-BC65AE57B8DD}"/>
    <cellStyle name="Normal 3 2 3 2 2 9" xfId="17356" xr:uid="{DA03A39D-7B72-4215-AD19-D730915F14C8}"/>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D567E006-E831-4391-893F-6F8B3EA86EDB}"/>
    <cellStyle name="Normal 3 2 3 2 3 2 2 3" xfId="28336" xr:uid="{CA4AF480-DA97-4A11-8F3C-1F72F62C88BB}"/>
    <cellStyle name="Normal 3 2 3 2 3 2 3" xfId="11485" xr:uid="{93DEC100-50A3-4C9D-BE95-EB53937A2314}"/>
    <cellStyle name="Normal 3 2 3 2 3 2 3 2" xfId="24125" xr:uid="{D4176CC4-9DFE-4F39-9933-9140F18541E6}"/>
    <cellStyle name="Normal 3 2 3 2 3 2 4" xfId="19914" xr:uid="{891E4F2B-94C9-42A7-866E-ACC695B1CE7A}"/>
    <cellStyle name="Normal 3 2 3 2 3 3" xfId="5129" xr:uid="{00000000-0005-0000-0000-000096110000}"/>
    <cellStyle name="Normal 3 2 3 2 3 3 2" xfId="13558" xr:uid="{A08482BC-D1A1-4EB1-A204-449DE8BE55C6}"/>
    <cellStyle name="Normal 3 2 3 2 3 3 3" xfId="26191" xr:uid="{269B4911-26DD-4754-A842-543D0E46EDDE}"/>
    <cellStyle name="Normal 3 2 3 2 3 4" xfId="9340" xr:uid="{992FDBF0-BBC8-423F-A8D1-0BA285C01C37}"/>
    <cellStyle name="Normal 3 2 3 2 3 4 2" xfId="21980" xr:uid="{DBE72C85-EFB4-4044-9678-576CCA1AB676}"/>
    <cellStyle name="Normal 3 2 3 2 3 5" xfId="17769" xr:uid="{49EFF480-6DA8-4833-8C96-EA63D24A209C}"/>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95B94B72-7385-4CC1-AA91-6CEC7E96E8E3}"/>
    <cellStyle name="Normal 3 2 3 2 4 2 2 3" xfId="28749" xr:uid="{53511E14-56EF-4FBC-98AB-E9CD0A879833}"/>
    <cellStyle name="Normal 3 2 3 2 4 2 3" xfId="11898" xr:uid="{27F460E5-94D2-4983-8BAC-958DD62C4555}"/>
    <cellStyle name="Normal 3 2 3 2 4 2 3 2" xfId="24538" xr:uid="{6E8F813C-7C1D-4201-B764-80845A062E5C}"/>
    <cellStyle name="Normal 3 2 3 2 4 2 4" xfId="20327" xr:uid="{67C5FDF1-0B52-4C91-BF90-368D4405E6AB}"/>
    <cellStyle name="Normal 3 2 3 2 4 3" xfId="5542" xr:uid="{00000000-0005-0000-0000-00009A110000}"/>
    <cellStyle name="Normal 3 2 3 2 4 3 2" xfId="13971" xr:uid="{4E6D73BE-528C-43A4-A899-93994DA58610}"/>
    <cellStyle name="Normal 3 2 3 2 4 3 3" xfId="26604" xr:uid="{4C63C8C6-F917-47E1-B4E6-945A9BAC4E04}"/>
    <cellStyle name="Normal 3 2 3 2 4 4" xfId="9753" xr:uid="{B8B003AD-F763-4164-B3FB-C32DD4EE6C72}"/>
    <cellStyle name="Normal 3 2 3 2 4 4 2" xfId="22393" xr:uid="{71866DFE-8A4F-4EA8-B145-10BE2E52B3B2}"/>
    <cellStyle name="Normal 3 2 3 2 4 5" xfId="18182" xr:uid="{9F30C06B-68AB-42E6-AEB5-2857F3588607}"/>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8ECA7D0E-0297-4138-B671-7D8E56A5344E}"/>
    <cellStyle name="Normal 3 2 3 2 5 2 2 3" xfId="29162" xr:uid="{ACFEE1C2-D449-4512-AEA0-9C859ED58A65}"/>
    <cellStyle name="Normal 3 2 3 2 5 2 3" xfId="12311" xr:uid="{D52F9E64-960F-4067-9FFF-39A3C8FCBBC7}"/>
    <cellStyle name="Normal 3 2 3 2 5 2 3 2" xfId="24951" xr:uid="{F593A3C8-6EEA-4BEA-8A0F-57F5C24B92AB}"/>
    <cellStyle name="Normal 3 2 3 2 5 2 4" xfId="20740" xr:uid="{9062AD6C-1F55-4A2D-8BC2-8827D6CA9218}"/>
    <cellStyle name="Normal 3 2 3 2 5 3" xfId="5955" xr:uid="{00000000-0005-0000-0000-00009E110000}"/>
    <cellStyle name="Normal 3 2 3 2 5 3 2" xfId="14384" xr:uid="{1834DA1C-889D-4C7F-8692-6A0705250D99}"/>
    <cellStyle name="Normal 3 2 3 2 5 3 3" xfId="27017" xr:uid="{0540452F-7BC0-484E-B310-44373C5F1A1C}"/>
    <cellStyle name="Normal 3 2 3 2 5 4" xfId="10166" xr:uid="{346B7BE3-BAD5-4180-83AD-50855A4C21A6}"/>
    <cellStyle name="Normal 3 2 3 2 5 4 2" xfId="22806" xr:uid="{1DEAC6FB-C491-4095-9BF6-CD884DA1A7ED}"/>
    <cellStyle name="Normal 3 2 3 2 5 5" xfId="18595" xr:uid="{68571EBD-418C-4DC0-A4D5-48561D62563A}"/>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AF8CFEBD-368C-42D5-AD42-74F01436355D}"/>
    <cellStyle name="Normal 3 2 3 2 6 2 2 3" xfId="29575" xr:uid="{1EFADCEF-9413-47C6-95FE-6E83D7B057E1}"/>
    <cellStyle name="Normal 3 2 3 2 6 2 3" xfId="12724" xr:uid="{44C09A05-E951-47BF-B870-8628855AB994}"/>
    <cellStyle name="Normal 3 2 3 2 6 2 3 2" xfId="25364" xr:uid="{3C4BF527-67CE-433B-90BC-089E813652BB}"/>
    <cellStyle name="Normal 3 2 3 2 6 2 4" xfId="21153" xr:uid="{675A07E4-F08D-4FC4-A00B-E17094B8D601}"/>
    <cellStyle name="Normal 3 2 3 2 6 3" xfId="6368" xr:uid="{00000000-0005-0000-0000-0000A2110000}"/>
    <cellStyle name="Normal 3 2 3 2 6 3 2" xfId="14797" xr:uid="{DCE03D57-FEE3-4D2C-B8B6-75E30D62BB9B}"/>
    <cellStyle name="Normal 3 2 3 2 6 3 3" xfId="27430" xr:uid="{C638A533-2722-4BF4-B057-3044D1AF0F11}"/>
    <cellStyle name="Normal 3 2 3 2 6 4" xfId="10579" xr:uid="{A899E8DE-0978-48A5-BC49-F7B524454815}"/>
    <cellStyle name="Normal 3 2 3 2 6 4 2" xfId="23219" xr:uid="{DF417865-8874-418F-B190-FF784A3C6ED3}"/>
    <cellStyle name="Normal 3 2 3 2 6 5" xfId="19008" xr:uid="{814E517A-4001-451E-A9AD-587DD7E2AE46}"/>
    <cellStyle name="Normal 3 2 3 2 7" xfId="2496" xr:uid="{00000000-0005-0000-0000-0000A3110000}"/>
    <cellStyle name="Normal 3 2 3 2 7 2" xfId="6781" xr:uid="{00000000-0005-0000-0000-0000A4110000}"/>
    <cellStyle name="Normal 3 2 3 2 7 2 2" xfId="15210" xr:uid="{4A2EA794-C7C6-410C-A432-D10B364940F0}"/>
    <cellStyle name="Normal 3 2 3 2 7 2 3" xfId="27843" xr:uid="{97771CD2-4A7B-47ED-9472-F0C58AE6FFEC}"/>
    <cellStyle name="Normal 3 2 3 2 7 3" xfId="10992" xr:uid="{7B2EFED7-30B9-4E2D-A327-559324C72FBB}"/>
    <cellStyle name="Normal 3 2 3 2 7 3 2" xfId="23632" xr:uid="{5513C225-9C8F-48FF-9A14-C462C71220AC}"/>
    <cellStyle name="Normal 3 2 3 2 7 4" xfId="19421" xr:uid="{40683B84-267D-4F3C-8DCF-9CBD47FB407D}"/>
    <cellStyle name="Normal 3 2 3 2 8" xfId="4715" xr:uid="{00000000-0005-0000-0000-0000A5110000}"/>
    <cellStyle name="Normal 3 2 3 2 8 2" xfId="13144" xr:uid="{E70E2761-CE2A-4191-90C8-209D6A2B5F28}"/>
    <cellStyle name="Normal 3 2 3 2 8 3" xfId="25777" xr:uid="{D84EA186-E1FC-4AEC-9B7E-297D8FC68A07}"/>
    <cellStyle name="Normal 3 2 3 2 9" xfId="8926" xr:uid="{513D2D41-F88F-45F4-BC6D-0BA2DB1C0624}"/>
    <cellStyle name="Normal 3 2 3 2 9 2" xfId="21566" xr:uid="{3A95B4B5-3E62-4E3C-AE9D-31F9C003E68D}"/>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EB684904-D4D3-4DD1-882E-F27DE27857D3}"/>
    <cellStyle name="Normal 3 2 3 3 2 2 2 3" xfId="28338" xr:uid="{A2CD0F26-BD25-436F-858B-585A77645308}"/>
    <cellStyle name="Normal 3 2 3 3 2 2 3" xfId="11487" xr:uid="{9438484E-A4F6-4C57-BBE7-5858CDF85466}"/>
    <cellStyle name="Normal 3 2 3 3 2 2 3 2" xfId="24127" xr:uid="{78E42C9C-594C-4B7D-AD7F-7C51B82200FD}"/>
    <cellStyle name="Normal 3 2 3 3 2 2 4" xfId="19916" xr:uid="{4CD67C5C-4719-4090-9963-974836337063}"/>
    <cellStyle name="Normal 3 2 3 3 2 3" xfId="5131" xr:uid="{00000000-0005-0000-0000-0000AA110000}"/>
    <cellStyle name="Normal 3 2 3 3 2 3 2" xfId="13560" xr:uid="{CF93DD10-4212-4881-A4AB-59A1BEE623A7}"/>
    <cellStyle name="Normal 3 2 3 3 2 3 3" xfId="26193" xr:uid="{CC3B84DD-B2B7-4378-95B0-3E9A91350504}"/>
    <cellStyle name="Normal 3 2 3 3 2 4" xfId="9342" xr:uid="{F681B3AC-ECDD-4178-A2F0-1806A1064397}"/>
    <cellStyle name="Normal 3 2 3 3 2 4 2" xfId="21982" xr:uid="{53947EF7-8981-43B5-B5D3-A8E257EF7C9F}"/>
    <cellStyle name="Normal 3 2 3 3 2 5" xfId="17771" xr:uid="{284C38E6-EF72-46B1-90BA-4578E181C41D}"/>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44E1F36D-A248-4164-89B4-65C13F4BFBE0}"/>
    <cellStyle name="Normal 3 2 3 3 3 2 2 3" xfId="28751" xr:uid="{176BB92F-DD59-487C-9198-5851FE6612B1}"/>
    <cellStyle name="Normal 3 2 3 3 3 2 3" xfId="11900" xr:uid="{8F6DC2E1-A9E7-45C0-BDEC-47708E5F063C}"/>
    <cellStyle name="Normal 3 2 3 3 3 2 3 2" xfId="24540" xr:uid="{49DA17D6-1F9D-433A-A6B6-72ABEB5A9916}"/>
    <cellStyle name="Normal 3 2 3 3 3 2 4" xfId="20329" xr:uid="{009DF233-1871-492D-A808-0B258326DDDF}"/>
    <cellStyle name="Normal 3 2 3 3 3 3" xfId="5544" xr:uid="{00000000-0005-0000-0000-0000AE110000}"/>
    <cellStyle name="Normal 3 2 3 3 3 3 2" xfId="13973" xr:uid="{472CD916-B37F-4C33-A92C-3BBA425218C4}"/>
    <cellStyle name="Normal 3 2 3 3 3 3 3" xfId="26606" xr:uid="{AF0B2580-83DE-4CD1-B35D-7EFA004BE865}"/>
    <cellStyle name="Normal 3 2 3 3 3 4" xfId="9755" xr:uid="{D1917317-B807-41DE-993C-2830C2FB81B4}"/>
    <cellStyle name="Normal 3 2 3 3 3 4 2" xfId="22395" xr:uid="{82F66B0F-6CBC-4A02-877D-2B3EF67477A3}"/>
    <cellStyle name="Normal 3 2 3 3 3 5" xfId="18184" xr:uid="{B731777E-22AD-4B66-8141-A7BFACEB4D0E}"/>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6E699A12-BC4C-4D9C-9A10-6FB5B70661C6}"/>
    <cellStyle name="Normal 3 2 3 3 4 2 2 3" xfId="29164" xr:uid="{946F29B5-9E92-4EF2-86DF-F6E8CA92E800}"/>
    <cellStyle name="Normal 3 2 3 3 4 2 3" xfId="12313" xr:uid="{25E397EC-46ED-46F0-8C57-C0A7AA78F4F5}"/>
    <cellStyle name="Normal 3 2 3 3 4 2 3 2" xfId="24953" xr:uid="{A24FB6E8-F462-476B-B0AB-56E08A51AC0D}"/>
    <cellStyle name="Normal 3 2 3 3 4 2 4" xfId="20742" xr:uid="{8F4ACB4D-BB73-434C-9E70-EB95EE32FECB}"/>
    <cellStyle name="Normal 3 2 3 3 4 3" xfId="5957" xr:uid="{00000000-0005-0000-0000-0000B2110000}"/>
    <cellStyle name="Normal 3 2 3 3 4 3 2" xfId="14386" xr:uid="{E0CB62A7-D949-4031-AC32-7BFA8C023B81}"/>
    <cellStyle name="Normal 3 2 3 3 4 3 3" xfId="27019" xr:uid="{E2AE4066-E26A-438F-8DEE-F889450FB853}"/>
    <cellStyle name="Normal 3 2 3 3 4 4" xfId="10168" xr:uid="{65ED2178-1D5C-475D-B6EA-B9200058CA39}"/>
    <cellStyle name="Normal 3 2 3 3 4 4 2" xfId="22808" xr:uid="{ED16514F-004F-4CC3-9ADF-9CAC27850E71}"/>
    <cellStyle name="Normal 3 2 3 3 4 5" xfId="18597" xr:uid="{18308462-01BC-4B33-A230-176AFE76C778}"/>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43117DE4-0618-4A96-B55C-DC0F646718DA}"/>
    <cellStyle name="Normal 3 2 3 3 5 2 2 3" xfId="29577" xr:uid="{C34B2F0F-595F-4764-BF1A-AF9FD7818D71}"/>
    <cellStyle name="Normal 3 2 3 3 5 2 3" xfId="12726" xr:uid="{0BCDA866-C185-413D-8339-40E051ACFBCB}"/>
    <cellStyle name="Normal 3 2 3 3 5 2 3 2" xfId="25366" xr:uid="{B8574308-0ED7-45B2-81CA-7853B5758E77}"/>
    <cellStyle name="Normal 3 2 3 3 5 2 4" xfId="21155" xr:uid="{14D692BD-225F-4654-A493-EACD4064BA9A}"/>
    <cellStyle name="Normal 3 2 3 3 5 3" xfId="6370" xr:uid="{00000000-0005-0000-0000-0000B6110000}"/>
    <cellStyle name="Normal 3 2 3 3 5 3 2" xfId="14799" xr:uid="{07944959-0853-4ACE-BE38-9E13B7156238}"/>
    <cellStyle name="Normal 3 2 3 3 5 3 3" xfId="27432" xr:uid="{98653AD0-0C7F-4FD9-9E8D-2E1A1F93E996}"/>
    <cellStyle name="Normal 3 2 3 3 5 4" xfId="10581" xr:uid="{694F7C99-BF73-4C28-AE84-03ED6C19D40C}"/>
    <cellStyle name="Normal 3 2 3 3 5 4 2" xfId="23221" xr:uid="{83D4F942-38AC-4A2B-8960-AD06660C989A}"/>
    <cellStyle name="Normal 3 2 3 3 5 5" xfId="19010" xr:uid="{46BF66AC-DE04-4F4E-9114-7268CDD34957}"/>
    <cellStyle name="Normal 3 2 3 3 6" xfId="2498" xr:uid="{00000000-0005-0000-0000-0000B7110000}"/>
    <cellStyle name="Normal 3 2 3 3 6 2" xfId="6783" xr:uid="{00000000-0005-0000-0000-0000B8110000}"/>
    <cellStyle name="Normal 3 2 3 3 6 2 2" xfId="15212" xr:uid="{6FE3F604-DD00-4030-9D00-7948F39AD9C8}"/>
    <cellStyle name="Normal 3 2 3 3 6 2 3" xfId="27845" xr:uid="{AD55E398-6DCF-4246-AF52-C447E81C218E}"/>
    <cellStyle name="Normal 3 2 3 3 6 3" xfId="10994" xr:uid="{CF6BEBA2-432C-4DA6-8EF2-0882D25457B1}"/>
    <cellStyle name="Normal 3 2 3 3 6 3 2" xfId="23634" xr:uid="{1368DAD5-405A-4F2A-9321-F83B4148F538}"/>
    <cellStyle name="Normal 3 2 3 3 6 4" xfId="19423" xr:uid="{82D2D411-D0C9-4F2D-B66D-8AE84A6FF0AE}"/>
    <cellStyle name="Normal 3 2 3 3 7" xfId="4717" xr:uid="{00000000-0005-0000-0000-0000B9110000}"/>
    <cellStyle name="Normal 3 2 3 3 7 2" xfId="13146" xr:uid="{ED0B3F9D-7E8E-4EB0-A90E-545A0F431AC5}"/>
    <cellStyle name="Normal 3 2 3 3 7 3" xfId="25779" xr:uid="{B8954325-DBAA-4BA2-B79D-DCC5290473D9}"/>
    <cellStyle name="Normal 3 2 3 3 8" xfId="8928" xr:uid="{8ADCFEC0-7324-46B3-B7D7-D49018721EBC}"/>
    <cellStyle name="Normal 3 2 3 3 8 2" xfId="21568" xr:uid="{EF05009B-0360-4F0F-829B-50F1AC66540E}"/>
    <cellStyle name="Normal 3 2 3 3 9" xfId="17357" xr:uid="{9FC65604-E1BC-4583-93E5-73E31AA378B4}"/>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72FD744D-13D7-462C-AF78-0F0DEAC90F49}"/>
    <cellStyle name="Normal 3 2 3 4 2 2 3" xfId="28335" xr:uid="{44190A97-454A-4056-BA89-019B205AF56C}"/>
    <cellStyle name="Normal 3 2 3 4 2 3" xfId="11484" xr:uid="{84568790-4DE5-4308-9665-FF1FC61F3DF8}"/>
    <cellStyle name="Normal 3 2 3 4 2 3 2" xfId="24124" xr:uid="{52D59857-3527-4406-B376-A2515A4FEEEF}"/>
    <cellStyle name="Normal 3 2 3 4 2 4" xfId="19913" xr:uid="{3BA0471F-0424-4C12-9CC8-4072F202C814}"/>
    <cellStyle name="Normal 3 2 3 4 3" xfId="5128" xr:uid="{00000000-0005-0000-0000-0000BD110000}"/>
    <cellStyle name="Normal 3 2 3 4 3 2" xfId="13557" xr:uid="{D3A09527-FE18-4D20-81F4-D0050C48D8C8}"/>
    <cellStyle name="Normal 3 2 3 4 3 3" xfId="26190" xr:uid="{60D862D2-224D-41F3-A7CA-1404582F1B71}"/>
    <cellStyle name="Normal 3 2 3 4 4" xfId="9339" xr:uid="{6338C80D-2834-4EA7-A50C-431B3F2F82C9}"/>
    <cellStyle name="Normal 3 2 3 4 4 2" xfId="21979" xr:uid="{E9C6CDF3-4573-4C40-9E85-3EF0754F5E77}"/>
    <cellStyle name="Normal 3 2 3 4 5" xfId="17768" xr:uid="{EC9CF127-DBC1-4D27-B9F8-3EC1657F9B75}"/>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E633C21C-F0E2-4FA5-BFE7-3038EA0ED55C}"/>
    <cellStyle name="Normal 3 2 3 5 2 2 3" xfId="28748" xr:uid="{44484FA5-716D-4602-9409-ABC439E8950F}"/>
    <cellStyle name="Normal 3 2 3 5 2 3" xfId="11897" xr:uid="{01108362-3AEA-49E8-8090-76E8CB36D8E3}"/>
    <cellStyle name="Normal 3 2 3 5 2 3 2" xfId="24537" xr:uid="{5F0E7C1E-33AD-4A6C-90AD-A7355005614C}"/>
    <cellStyle name="Normal 3 2 3 5 2 4" xfId="20326" xr:uid="{0F42C6D9-3080-4281-9886-FD4F8EC2E8FF}"/>
    <cellStyle name="Normal 3 2 3 5 3" xfId="5541" xr:uid="{00000000-0005-0000-0000-0000C1110000}"/>
    <cellStyle name="Normal 3 2 3 5 3 2" xfId="13970" xr:uid="{DBBB4A33-C4FF-4A5C-ACC6-A0D08D4F4745}"/>
    <cellStyle name="Normal 3 2 3 5 3 3" xfId="26603" xr:uid="{B8289534-BF9C-4DE2-80A5-A8FBB6B97E66}"/>
    <cellStyle name="Normal 3 2 3 5 4" xfId="9752" xr:uid="{86F13E05-4044-4F30-B287-1130170EA303}"/>
    <cellStyle name="Normal 3 2 3 5 4 2" xfId="22392" xr:uid="{4DAECB09-3DFE-4BFE-8256-3E661E849B53}"/>
    <cellStyle name="Normal 3 2 3 5 5" xfId="18181" xr:uid="{60274C47-255C-4B77-9F85-0E3BCB35FEB9}"/>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412BFB6C-5271-4049-8CFB-3F7D1F2DE5D7}"/>
    <cellStyle name="Normal 3 2 3 6 2 2 3" xfId="29161" xr:uid="{842D3DC7-FDA7-4694-8509-6A0338A72B99}"/>
    <cellStyle name="Normal 3 2 3 6 2 3" xfId="12310" xr:uid="{A1C1F707-156A-4326-ACF0-471A7075B770}"/>
    <cellStyle name="Normal 3 2 3 6 2 3 2" xfId="24950" xr:uid="{E113A404-966C-463C-A986-72547A95109C}"/>
    <cellStyle name="Normal 3 2 3 6 2 4" xfId="20739" xr:uid="{C6C87215-A553-4865-8968-FB5D00C7AAA5}"/>
    <cellStyle name="Normal 3 2 3 6 3" xfId="5954" xr:uid="{00000000-0005-0000-0000-0000C5110000}"/>
    <cellStyle name="Normal 3 2 3 6 3 2" xfId="14383" xr:uid="{16A9F6A0-F576-4F3F-AB93-997CBAFF7C2D}"/>
    <cellStyle name="Normal 3 2 3 6 3 3" xfId="27016" xr:uid="{2834E693-B29D-42E5-BB04-C8994F758DBD}"/>
    <cellStyle name="Normal 3 2 3 6 4" xfId="10165" xr:uid="{4F7B06F4-36C5-451B-A264-F5E75D71F945}"/>
    <cellStyle name="Normal 3 2 3 6 4 2" xfId="22805" xr:uid="{F736FFA1-8EFF-4613-B79B-9DA1F97F0C9B}"/>
    <cellStyle name="Normal 3 2 3 6 5" xfId="18594" xr:uid="{B60D0C1C-BC6A-45C9-B540-C63CCAC93D6A}"/>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EB78F48C-501B-4DBB-B8B6-CCA38303623D}"/>
    <cellStyle name="Normal 3 2 3 7 2 2 3" xfId="29574" xr:uid="{FA18F6AF-9FF7-40B4-8FA3-3309E97B48A2}"/>
    <cellStyle name="Normal 3 2 3 7 2 3" xfId="12723" xr:uid="{07977C98-32C7-470D-B819-F6ADCBF57CE4}"/>
    <cellStyle name="Normal 3 2 3 7 2 3 2" xfId="25363" xr:uid="{83715819-A0B6-4347-8F22-613D335F1C15}"/>
    <cellStyle name="Normal 3 2 3 7 2 4" xfId="21152" xr:uid="{FAA4B181-98A2-400D-AC8D-C3F06E414C0E}"/>
    <cellStyle name="Normal 3 2 3 7 3" xfId="6367" xr:uid="{00000000-0005-0000-0000-0000C9110000}"/>
    <cellStyle name="Normal 3 2 3 7 3 2" xfId="14796" xr:uid="{29BC2DD4-20FA-45C6-8056-C7D878915CBF}"/>
    <cellStyle name="Normal 3 2 3 7 3 3" xfId="27429" xr:uid="{496DBCA7-FCDE-4598-971E-3B279BB3F836}"/>
    <cellStyle name="Normal 3 2 3 7 4" xfId="10578" xr:uid="{C84884A7-B714-4120-8581-A2D2E85FFCA4}"/>
    <cellStyle name="Normal 3 2 3 7 4 2" xfId="23218" xr:uid="{B1EA5AFD-BDA5-4D47-8E5F-B3565EAFB7C8}"/>
    <cellStyle name="Normal 3 2 3 7 5" xfId="19007" xr:uid="{F4400B1B-38DC-40B9-BF86-4960A30E071D}"/>
    <cellStyle name="Normal 3 2 3 8" xfId="2495" xr:uid="{00000000-0005-0000-0000-0000CA110000}"/>
    <cellStyle name="Normal 3 2 3 8 2" xfId="6780" xr:uid="{00000000-0005-0000-0000-0000CB110000}"/>
    <cellStyle name="Normal 3 2 3 8 2 2" xfId="15209" xr:uid="{FEDD852B-68BE-4364-AB78-D54156E860D7}"/>
    <cellStyle name="Normal 3 2 3 8 2 3" xfId="27842" xr:uid="{776843E7-75D6-492B-9637-62A6496D9D0E}"/>
    <cellStyle name="Normal 3 2 3 8 3" xfId="10991" xr:uid="{D85D6555-336A-42B3-B237-35F9E8FE7D23}"/>
    <cellStyle name="Normal 3 2 3 8 3 2" xfId="23631" xr:uid="{2BC20252-6CB6-4488-AA23-3A02C32E28FD}"/>
    <cellStyle name="Normal 3 2 3 8 4" xfId="19420" xr:uid="{A39C16ED-487B-4BC8-AC3E-D68EA4D8B268}"/>
    <cellStyle name="Normal 3 2 3 9" xfId="4714" xr:uid="{00000000-0005-0000-0000-0000CC110000}"/>
    <cellStyle name="Normal 3 2 3 9 2" xfId="13143" xr:uid="{448E6CEB-6B24-4171-819F-BA0C0DB6E2DA}"/>
    <cellStyle name="Normal 3 2 3 9 3" xfId="25776" xr:uid="{3C0A7857-E1BB-4018-9CD7-13D16C738F12}"/>
    <cellStyle name="Normal 3 2 4" xfId="810" xr:uid="{00000000-0005-0000-0000-0000CD110000}"/>
    <cellStyle name="Normal 3 2 4 2" xfId="3048" xr:uid="{00000000-0005-0000-0000-0000CE110000}"/>
    <cellStyle name="Normal 3 2 4 2 2" xfId="7272" xr:uid="{00000000-0005-0000-0000-0000CF110000}"/>
    <cellStyle name="Normal 3 2 4 2 2 2" xfId="15701" xr:uid="{EF5532A6-F512-49EF-9317-17ABD806A641}"/>
    <cellStyle name="Normal 3 2 4 2 2 3" xfId="28334" xr:uid="{63338A34-7073-43DA-8130-D899C81E3F09}"/>
    <cellStyle name="Normal 3 2 4 2 3" xfId="11483" xr:uid="{52BE7982-8F65-466E-9181-B39ED858545A}"/>
    <cellStyle name="Normal 3 2 4 2 3 2" xfId="24123" xr:uid="{F5ADD499-FDA4-4F50-8CFF-84FA90BEA737}"/>
    <cellStyle name="Normal 3 2 4 2 4" xfId="19912" xr:uid="{30CBE9DD-182A-4ACF-8280-7904DA99C2B5}"/>
    <cellStyle name="Normal 3 2 4 3" xfId="5127" xr:uid="{00000000-0005-0000-0000-0000D0110000}"/>
    <cellStyle name="Normal 3 2 4 3 2" xfId="13556" xr:uid="{CD180D11-AF66-4D5D-92AF-3236899064ED}"/>
    <cellStyle name="Normal 3 2 4 3 3" xfId="26189" xr:uid="{0C4371E0-3676-4DE2-AC20-FDC449F8A6C2}"/>
    <cellStyle name="Normal 3 2 4 4" xfId="9338" xr:uid="{14345EFA-1E3E-478B-B757-0187F97D7EA1}"/>
    <cellStyle name="Normal 3 2 4 4 2" xfId="21978" xr:uid="{9EDADE66-5A4F-4C29-BCBE-5BB8FEE4A43B}"/>
    <cellStyle name="Normal 3 2 4 5" xfId="17767" xr:uid="{2F7A2885-5553-4911-81C9-6379FFEFCC0D}"/>
    <cellStyle name="Normal 3 2 5" xfId="1231" xr:uid="{00000000-0005-0000-0000-0000D1110000}"/>
    <cellStyle name="Normal 3 2 5 2" xfId="3461" xr:uid="{00000000-0005-0000-0000-0000D2110000}"/>
    <cellStyle name="Normal 3 2 5 2 2" xfId="7685" xr:uid="{00000000-0005-0000-0000-0000D3110000}"/>
    <cellStyle name="Normal 3 2 5 2 2 2" xfId="16114" xr:uid="{88BC9F6C-5D0D-4EA1-8067-7BFEDD06073B}"/>
    <cellStyle name="Normal 3 2 5 2 2 3" xfId="28747" xr:uid="{09FF86A5-8E3B-4B11-8C65-B9343A9B6C69}"/>
    <cellStyle name="Normal 3 2 5 2 3" xfId="11896" xr:uid="{00D5DAB5-635B-4066-AC75-A9085C55E97F}"/>
    <cellStyle name="Normal 3 2 5 2 3 2" xfId="24536" xr:uid="{DDF18CA4-2130-43E2-89AB-660CBD5DD7BB}"/>
    <cellStyle name="Normal 3 2 5 2 4" xfId="20325" xr:uid="{06001AB1-DE62-4A05-A670-A5161F7739BA}"/>
    <cellStyle name="Normal 3 2 5 3" xfId="5540" xr:uid="{00000000-0005-0000-0000-0000D4110000}"/>
    <cellStyle name="Normal 3 2 5 3 2" xfId="13969" xr:uid="{D5EE4471-EF06-4CDC-8D8A-539C714E03F9}"/>
    <cellStyle name="Normal 3 2 5 3 3" xfId="26602" xr:uid="{932AF808-5436-41CA-9F80-467686CC46BC}"/>
    <cellStyle name="Normal 3 2 5 4" xfId="9751" xr:uid="{499D2CB7-1236-41F7-9CE4-B8D46E55F65D}"/>
    <cellStyle name="Normal 3 2 5 4 2" xfId="22391" xr:uid="{D8E2A53E-2976-41D1-85E8-5DE0D11ECD19}"/>
    <cellStyle name="Normal 3 2 5 5" xfId="18180" xr:uid="{6E49A059-AE73-41ED-B852-5FEE04C3F677}"/>
    <cellStyle name="Normal 3 2 6" xfId="1644" xr:uid="{00000000-0005-0000-0000-0000D5110000}"/>
    <cellStyle name="Normal 3 2 6 2" xfId="3874" xr:uid="{00000000-0005-0000-0000-0000D6110000}"/>
    <cellStyle name="Normal 3 2 6 2 2" xfId="8098" xr:uid="{00000000-0005-0000-0000-0000D7110000}"/>
    <cellStyle name="Normal 3 2 6 2 2 2" xfId="16527" xr:uid="{8B720253-3CA0-4862-B675-86964C0DA2A9}"/>
    <cellStyle name="Normal 3 2 6 2 2 3" xfId="29160" xr:uid="{7A5C030B-4048-434A-B1C0-198A79FB4B31}"/>
    <cellStyle name="Normal 3 2 6 2 3" xfId="12309" xr:uid="{982F9D43-215C-4CF2-B517-839C6EA5ED14}"/>
    <cellStyle name="Normal 3 2 6 2 3 2" xfId="24949" xr:uid="{5E249C9D-FCCD-4DE3-B526-B1FBC0BDB910}"/>
    <cellStyle name="Normal 3 2 6 2 4" xfId="20738" xr:uid="{F9AAD11F-AF9E-4E40-88A4-7B1164CD89BF}"/>
    <cellStyle name="Normal 3 2 6 3" xfId="5953" xr:uid="{00000000-0005-0000-0000-0000D8110000}"/>
    <cellStyle name="Normal 3 2 6 3 2" xfId="14382" xr:uid="{B5042328-598E-42AB-818A-74C67BAD7007}"/>
    <cellStyle name="Normal 3 2 6 3 3" xfId="27015" xr:uid="{D21FE8B2-C355-4F4D-95C5-55409D4E1B27}"/>
    <cellStyle name="Normal 3 2 6 4" xfId="10164" xr:uid="{0E39B587-5A24-49C6-9382-3698EC43C504}"/>
    <cellStyle name="Normal 3 2 6 4 2" xfId="22804" xr:uid="{384C6A49-ABAF-4B0B-9C4A-43BAF71499E4}"/>
    <cellStyle name="Normal 3 2 6 5" xfId="18593" xr:uid="{9B9CA1E2-8A82-481B-A13F-2335CCCF9D4C}"/>
    <cellStyle name="Normal 3 2 7" xfId="2058" xr:uid="{00000000-0005-0000-0000-0000D9110000}"/>
    <cellStyle name="Normal 3 2 7 2" xfId="4287" xr:uid="{00000000-0005-0000-0000-0000DA110000}"/>
    <cellStyle name="Normal 3 2 7 2 2" xfId="8511" xr:uid="{00000000-0005-0000-0000-0000DB110000}"/>
    <cellStyle name="Normal 3 2 7 2 2 2" xfId="16940" xr:uid="{66BCE763-D587-4C06-8012-D013DBC7EE23}"/>
    <cellStyle name="Normal 3 2 7 2 2 3" xfId="29573" xr:uid="{92B81095-8B2F-42B6-911E-E9C2934A5A61}"/>
    <cellStyle name="Normal 3 2 7 2 3" xfId="12722" xr:uid="{79E10A49-30EF-4CD6-ACF2-2B4D5CB3374C}"/>
    <cellStyle name="Normal 3 2 7 2 3 2" xfId="25362" xr:uid="{81680497-B27E-47AD-9072-E554A25F15D7}"/>
    <cellStyle name="Normal 3 2 7 2 4" xfId="21151" xr:uid="{AC860212-A4BC-453B-93AE-9ED63572084F}"/>
    <cellStyle name="Normal 3 2 7 3" xfId="6366" xr:uid="{00000000-0005-0000-0000-0000DC110000}"/>
    <cellStyle name="Normal 3 2 7 3 2" xfId="14795" xr:uid="{CCA951C9-BD0B-48DA-B64A-32EA6AD52314}"/>
    <cellStyle name="Normal 3 2 7 3 3" xfId="27428" xr:uid="{EF04BC6D-705B-463E-B5FE-235421A3BAC1}"/>
    <cellStyle name="Normal 3 2 7 4" xfId="10577" xr:uid="{F34058CD-4FEA-4AA7-A151-5F693C07F022}"/>
    <cellStyle name="Normal 3 2 7 4 2" xfId="23217" xr:uid="{E719DC7E-7CCC-41AF-9EB5-A1DCE39E94AB}"/>
    <cellStyle name="Normal 3 2 7 5" xfId="19006" xr:uid="{31C1A98B-F88C-4AD7-8B50-F106F18AC9F5}"/>
    <cellStyle name="Normal 3 2 8" xfId="2494" xr:uid="{00000000-0005-0000-0000-0000DD110000}"/>
    <cellStyle name="Normal 3 2 8 2" xfId="6779" xr:uid="{00000000-0005-0000-0000-0000DE110000}"/>
    <cellStyle name="Normal 3 2 8 2 2" xfId="15208" xr:uid="{D1998686-E206-4648-8BA9-7FE0DAF2A11A}"/>
    <cellStyle name="Normal 3 2 8 2 3" xfId="27841" xr:uid="{60C5E8AA-12A3-49EC-90DE-BAD2F4113A27}"/>
    <cellStyle name="Normal 3 2 8 3" xfId="10990" xr:uid="{A42EFEC1-F51A-4098-A251-581DAC9E8C76}"/>
    <cellStyle name="Normal 3 2 8 3 2" xfId="23630" xr:uid="{58CC15D7-C69D-4340-83A4-0C5241E7C1B4}"/>
    <cellStyle name="Normal 3 2 8 4" xfId="19419" xr:uid="{86D7D036-5B02-45AB-8F4B-00EC3E03FAA7}"/>
    <cellStyle name="Normal 3 2 9" xfId="4713" xr:uid="{00000000-0005-0000-0000-0000DF110000}"/>
    <cellStyle name="Normal 3 2 9 2" xfId="13142" xr:uid="{CF8317CD-B0DB-4DF3-95F3-C4830725DC63}"/>
    <cellStyle name="Normal 3 2 9 3" xfId="25775" xr:uid="{B786BABE-C94D-4C09-BC21-1124734EB383}"/>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B5750927-2554-44D1-B34D-2433091358AF}"/>
    <cellStyle name="Normal 4 10 2" xfId="21569" xr:uid="{E5312CE8-F378-4385-8C92-45DAEA42865E}"/>
    <cellStyle name="Normal 4 11" xfId="17358" xr:uid="{20CAFE01-974B-4AFE-B4D7-9D50A3837616}"/>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9C358C58-C57B-4390-9F03-93CDFA259986}"/>
    <cellStyle name="Normal 4 2 2 10 2 2 3" xfId="29578" xr:uid="{93410D17-EADF-4D13-BB51-A2AD87EE380E}"/>
    <cellStyle name="Normal 4 2 2 10 2 3" xfId="12727" xr:uid="{55628A7A-936B-44EA-9621-C5FBC4E198AD}"/>
    <cellStyle name="Normal 4 2 2 10 2 3 2" xfId="25367" xr:uid="{AAD0E853-AFA1-4698-8532-921A57EEBB9C}"/>
    <cellStyle name="Normal 4 2 2 10 2 4" xfId="21156" xr:uid="{11D910B3-17C9-401C-8ED7-4F55E7A6B79B}"/>
    <cellStyle name="Normal 4 2 2 10 3" xfId="6371" xr:uid="{00000000-0005-0000-0000-0000EC110000}"/>
    <cellStyle name="Normal 4 2 2 10 3 2" xfId="14800" xr:uid="{789A1255-53DF-456C-A9AF-BA3E6BBE3B09}"/>
    <cellStyle name="Normal 4 2 2 10 3 3" xfId="27433" xr:uid="{D0CD3CBA-6C41-462E-B274-4ED7B0C37FAB}"/>
    <cellStyle name="Normal 4 2 2 10 4" xfId="10582" xr:uid="{C8084CC5-7AC7-418E-9D6C-BF9DA1A82972}"/>
    <cellStyle name="Normal 4 2 2 10 4 2" xfId="23222" xr:uid="{2D9E28CF-E9A5-4690-909E-56EB85D0699A}"/>
    <cellStyle name="Normal 4 2 2 10 5" xfId="19011" xr:uid="{C77E8E22-3DA7-4A40-A6C8-614C70E610B7}"/>
    <cellStyle name="Normal 4 2 2 11" xfId="2499" xr:uid="{00000000-0005-0000-0000-0000ED110000}"/>
    <cellStyle name="Normal 4 2 2 11 2" xfId="6784" xr:uid="{00000000-0005-0000-0000-0000EE110000}"/>
    <cellStyle name="Normal 4 2 2 11 2 2" xfId="15213" xr:uid="{CF5A4F7C-7401-49CD-A6E0-996F9693AE5C}"/>
    <cellStyle name="Normal 4 2 2 11 2 3" xfId="27846" xr:uid="{04464997-A23D-418C-AFB6-600F4283E15A}"/>
    <cellStyle name="Normal 4 2 2 11 3" xfId="10995" xr:uid="{2AA811F6-D3F6-4AB0-86A3-E3D5EDD889F4}"/>
    <cellStyle name="Normal 4 2 2 11 3 2" xfId="23635" xr:uid="{E0D20F65-BA22-43FA-9C1E-A077E9ED0269}"/>
    <cellStyle name="Normal 4 2 2 11 4" xfId="19424" xr:uid="{EF5B43FF-7B50-4A09-96B8-C8B7B8D6FA19}"/>
    <cellStyle name="Normal 4 2 2 12" xfId="4719" xr:uid="{00000000-0005-0000-0000-0000EF110000}"/>
    <cellStyle name="Normal 4 2 2 12 2" xfId="13148" xr:uid="{625B6D2E-AC1F-4060-A62B-C25CE07E013D}"/>
    <cellStyle name="Normal 4 2 2 12 3" xfId="25781" xr:uid="{44172CD4-BF08-4A48-85DB-0704B4106A27}"/>
    <cellStyle name="Normal 4 2 2 13" xfId="8930" xr:uid="{FC0527E6-3ECE-426E-9989-BF36791B8553}"/>
    <cellStyle name="Normal 4 2 2 13 2" xfId="21570" xr:uid="{EB04B3BC-771B-4672-8625-21444373E5C3}"/>
    <cellStyle name="Normal 4 2 2 14" xfId="17359" xr:uid="{E979C71C-0AE7-4811-941B-482F5342A31E}"/>
    <cellStyle name="Normal 4 2 2 2" xfId="338" xr:uid="{00000000-0005-0000-0000-0000F0110000}"/>
    <cellStyle name="Normal 4 2 2 3" xfId="339" xr:uid="{00000000-0005-0000-0000-0000F1110000}"/>
    <cellStyle name="Normal 4 2 2 3 10" xfId="4720" xr:uid="{00000000-0005-0000-0000-0000F2110000}"/>
    <cellStyle name="Normal 4 2 2 3 10 2" xfId="13149" xr:uid="{66BE951A-9FE3-4AED-8301-2D0D6FECAEF7}"/>
    <cellStyle name="Normal 4 2 2 3 10 3" xfId="25782" xr:uid="{6867B14E-E38E-42F2-A9F0-F0BD7EA5951C}"/>
    <cellStyle name="Normal 4 2 2 3 11" xfId="8931" xr:uid="{A09BC8E9-932A-4671-B655-36F8690663ED}"/>
    <cellStyle name="Normal 4 2 2 3 11 2" xfId="21571" xr:uid="{E9216C64-B448-4F9E-A781-0EFC1F660D45}"/>
    <cellStyle name="Normal 4 2 2 3 12" xfId="17360" xr:uid="{40005024-4C63-4D0D-BEA6-78FFDC6EFBF6}"/>
    <cellStyle name="Normal 4 2 2 3 2" xfId="340" xr:uid="{00000000-0005-0000-0000-0000F3110000}"/>
    <cellStyle name="Normal 4 2 2 3 2 10" xfId="8932" xr:uid="{47AACD7D-D663-482D-9E9B-675378EF203B}"/>
    <cellStyle name="Normal 4 2 2 3 2 10 2" xfId="21572" xr:uid="{0450CC6E-D04A-41EE-846B-897E5A1E47C8}"/>
    <cellStyle name="Normal 4 2 2 3 2 11" xfId="17361" xr:uid="{1E7137CE-5772-46A9-A40F-A31D2DF38CCB}"/>
    <cellStyle name="Normal 4 2 2 3 2 2" xfId="341" xr:uid="{00000000-0005-0000-0000-0000F4110000}"/>
    <cellStyle name="Normal 4 2 2 3 2 2 10" xfId="17362" xr:uid="{DD602E44-FD20-4D37-9DCF-4AF7331B2C03}"/>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6CE858BA-CEBA-4C1B-9866-01D1891EAAFA}"/>
    <cellStyle name="Normal 4 2 2 3 2 2 2 2 2 2 3" xfId="28343" xr:uid="{902B9FF3-51DC-4EBE-9078-C1C8B881CEC5}"/>
    <cellStyle name="Normal 4 2 2 3 2 2 2 2 2 3" xfId="11492" xr:uid="{E74C312F-54B6-409F-BDEF-1BCC3E2CDB53}"/>
    <cellStyle name="Normal 4 2 2 3 2 2 2 2 2 3 2" xfId="24132" xr:uid="{3128453B-A316-41DD-988E-234BF275C9C9}"/>
    <cellStyle name="Normal 4 2 2 3 2 2 2 2 2 4" xfId="19921" xr:uid="{9174381A-845F-4F85-A848-F98BFF1CB594}"/>
    <cellStyle name="Normal 4 2 2 3 2 2 2 2 3" xfId="5136" xr:uid="{00000000-0005-0000-0000-0000F9110000}"/>
    <cellStyle name="Normal 4 2 2 3 2 2 2 2 3 2" xfId="13565" xr:uid="{F7A42270-2035-4648-8E70-89E657E2BC9D}"/>
    <cellStyle name="Normal 4 2 2 3 2 2 2 2 3 3" xfId="26198" xr:uid="{582E749F-09EC-4D6E-A970-7F323A914BD0}"/>
    <cellStyle name="Normal 4 2 2 3 2 2 2 2 4" xfId="9347" xr:uid="{2177A8E1-E2CA-48BE-ACC9-3BB1FF1C8E47}"/>
    <cellStyle name="Normal 4 2 2 3 2 2 2 2 4 2" xfId="21987" xr:uid="{1EC36988-F4E2-4B27-85C4-0C52398887CF}"/>
    <cellStyle name="Normal 4 2 2 3 2 2 2 2 5" xfId="17776" xr:uid="{A337FA49-B094-4D96-B1A8-530009E6B421}"/>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D5445BD9-E883-4934-AAB1-468424822C87}"/>
    <cellStyle name="Normal 4 2 2 3 2 2 2 3 2 2 3" xfId="28756" xr:uid="{570C0623-41A3-47C9-97B8-B4CD91F14396}"/>
    <cellStyle name="Normal 4 2 2 3 2 2 2 3 2 3" xfId="11905" xr:uid="{E479FEC5-3354-4827-B1F5-FB8475161D81}"/>
    <cellStyle name="Normal 4 2 2 3 2 2 2 3 2 3 2" xfId="24545" xr:uid="{99EA7AED-5F0D-4CBA-AC06-2F13CECF9E19}"/>
    <cellStyle name="Normal 4 2 2 3 2 2 2 3 2 4" xfId="20334" xr:uid="{93C751E2-031A-4DB8-9BCE-1A4B40A7BC72}"/>
    <cellStyle name="Normal 4 2 2 3 2 2 2 3 3" xfId="5549" xr:uid="{00000000-0005-0000-0000-0000FD110000}"/>
    <cellStyle name="Normal 4 2 2 3 2 2 2 3 3 2" xfId="13978" xr:uid="{3809EE85-7281-4F44-A230-0FB4301624D8}"/>
    <cellStyle name="Normal 4 2 2 3 2 2 2 3 3 3" xfId="26611" xr:uid="{072B1D3E-5C6C-4039-8CD0-D76D22F889E7}"/>
    <cellStyle name="Normal 4 2 2 3 2 2 2 3 4" xfId="9760" xr:uid="{AE8516A0-7B71-4BD8-9A39-DD6B87BEF39C}"/>
    <cellStyle name="Normal 4 2 2 3 2 2 2 3 4 2" xfId="22400" xr:uid="{5416639F-DC6E-45CD-B43E-D81D72277662}"/>
    <cellStyle name="Normal 4 2 2 3 2 2 2 3 5" xfId="18189" xr:uid="{C1A5740B-25C8-4E26-A4E0-539C2E40C8BC}"/>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A72F9BDF-D68E-4025-AE44-B98341720001}"/>
    <cellStyle name="Normal 4 2 2 3 2 2 2 4 2 2 3" xfId="29169" xr:uid="{9FE2DE0B-3E47-4CF6-A29E-1EA243830E6E}"/>
    <cellStyle name="Normal 4 2 2 3 2 2 2 4 2 3" xfId="12318" xr:uid="{DB773BCF-5660-46B0-8D60-E0B07E5E2CA7}"/>
    <cellStyle name="Normal 4 2 2 3 2 2 2 4 2 3 2" xfId="24958" xr:uid="{842F8695-0A36-4B94-A1CB-BFB69DC20A09}"/>
    <cellStyle name="Normal 4 2 2 3 2 2 2 4 2 4" xfId="20747" xr:uid="{201AC246-12E8-456C-9A1A-DEB722F6508F}"/>
    <cellStyle name="Normal 4 2 2 3 2 2 2 4 3" xfId="5962" xr:uid="{00000000-0005-0000-0000-000001120000}"/>
    <cellStyle name="Normal 4 2 2 3 2 2 2 4 3 2" xfId="14391" xr:uid="{C45F6293-C6A6-4B4F-B14C-1BA3F78E0BE2}"/>
    <cellStyle name="Normal 4 2 2 3 2 2 2 4 3 3" xfId="27024" xr:uid="{0B02D342-95EE-4312-A68F-82580E455055}"/>
    <cellStyle name="Normal 4 2 2 3 2 2 2 4 4" xfId="10173" xr:uid="{78A30299-105A-4234-A40C-255B05726495}"/>
    <cellStyle name="Normal 4 2 2 3 2 2 2 4 4 2" xfId="22813" xr:uid="{ADB8DEEF-08F4-40AB-BDE7-355F4DDAD4AB}"/>
    <cellStyle name="Normal 4 2 2 3 2 2 2 4 5" xfId="18602" xr:uid="{ADF1D62A-C365-4A18-AE0F-A495300B4023}"/>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F77A6CEA-ACBB-49D6-9905-93BBE567F492}"/>
    <cellStyle name="Normal 4 2 2 3 2 2 2 5 2 2 3" xfId="29582" xr:uid="{BA2BB54B-6AFE-425E-95B6-CAC07A3AFDC5}"/>
    <cellStyle name="Normal 4 2 2 3 2 2 2 5 2 3" xfId="12731" xr:uid="{04E69C28-C1C9-46DD-B81A-52CC79F86311}"/>
    <cellStyle name="Normal 4 2 2 3 2 2 2 5 2 3 2" xfId="25371" xr:uid="{816F208E-11BF-490E-A7E4-442F36D5151F}"/>
    <cellStyle name="Normal 4 2 2 3 2 2 2 5 2 4" xfId="21160" xr:uid="{57DC3B26-3139-409A-ADFB-90B5353A493B}"/>
    <cellStyle name="Normal 4 2 2 3 2 2 2 5 3" xfId="6375" xr:uid="{00000000-0005-0000-0000-000005120000}"/>
    <cellStyle name="Normal 4 2 2 3 2 2 2 5 3 2" xfId="14804" xr:uid="{A0247A39-CEA9-4E49-AD46-E7D188D0B6DC}"/>
    <cellStyle name="Normal 4 2 2 3 2 2 2 5 3 3" xfId="27437" xr:uid="{28A90D66-8A39-4DAA-B162-F8F41040BD7F}"/>
    <cellStyle name="Normal 4 2 2 3 2 2 2 5 4" xfId="10586" xr:uid="{CA660C26-0AFF-4BB4-AF83-641B8A1783C6}"/>
    <cellStyle name="Normal 4 2 2 3 2 2 2 5 4 2" xfId="23226" xr:uid="{2B3AFAEA-1EA0-4DBC-B8BE-436FD6CAAEC1}"/>
    <cellStyle name="Normal 4 2 2 3 2 2 2 5 5" xfId="19015" xr:uid="{80554C5B-B026-4D74-9707-FFEEC069A978}"/>
    <cellStyle name="Normal 4 2 2 3 2 2 2 6" xfId="2503" xr:uid="{00000000-0005-0000-0000-000006120000}"/>
    <cellStyle name="Normal 4 2 2 3 2 2 2 6 2" xfId="6788" xr:uid="{00000000-0005-0000-0000-000007120000}"/>
    <cellStyle name="Normal 4 2 2 3 2 2 2 6 2 2" xfId="15217" xr:uid="{9ECB07E5-2882-49DA-8A0B-17EAFE091CF7}"/>
    <cellStyle name="Normal 4 2 2 3 2 2 2 6 2 3" xfId="27850" xr:uid="{E6CD1C27-A43E-4B08-80D9-B62151935D18}"/>
    <cellStyle name="Normal 4 2 2 3 2 2 2 6 3" xfId="10999" xr:uid="{D710A853-8097-499E-887C-DCEE98DB6BD6}"/>
    <cellStyle name="Normal 4 2 2 3 2 2 2 6 3 2" xfId="23639" xr:uid="{CE2C699E-1545-4EB2-A3FD-6937178941BD}"/>
    <cellStyle name="Normal 4 2 2 3 2 2 2 6 4" xfId="19428" xr:uid="{290E6844-74A0-482E-B7A9-F3C76BE85883}"/>
    <cellStyle name="Normal 4 2 2 3 2 2 2 7" xfId="4723" xr:uid="{00000000-0005-0000-0000-000008120000}"/>
    <cellStyle name="Normal 4 2 2 3 2 2 2 7 2" xfId="13152" xr:uid="{DEFE7EA3-D8D6-4A87-A522-0B09E94B6AD3}"/>
    <cellStyle name="Normal 4 2 2 3 2 2 2 7 3" xfId="25785" xr:uid="{71E5CFA6-DE4C-4843-A49C-D66CCC46274E}"/>
    <cellStyle name="Normal 4 2 2 3 2 2 2 8" xfId="8934" xr:uid="{65BCC2E4-66A5-4710-88D5-ACA9E115EEF9}"/>
    <cellStyle name="Normal 4 2 2 3 2 2 2 8 2" xfId="21574" xr:uid="{264AC126-5245-4443-8EA9-46224A597839}"/>
    <cellStyle name="Normal 4 2 2 3 2 2 2 9" xfId="17363" xr:uid="{B81605E0-8507-46DE-8C77-A50FDB1AF7F7}"/>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F80A0D59-30A5-4FC7-8B68-6F3E930FAB85}"/>
    <cellStyle name="Normal 4 2 2 3 2 2 3 2 2 3" xfId="28342" xr:uid="{5ECBD528-D755-4351-B835-E49AEBC4A32B}"/>
    <cellStyle name="Normal 4 2 2 3 2 2 3 2 3" xfId="11491" xr:uid="{C645A083-9405-4F07-BA8E-DD64EAA3203B}"/>
    <cellStyle name="Normal 4 2 2 3 2 2 3 2 3 2" xfId="24131" xr:uid="{BCE176B6-327A-4755-A644-A773E7BC9AD6}"/>
    <cellStyle name="Normal 4 2 2 3 2 2 3 2 4" xfId="19920" xr:uid="{8F4D00A0-0631-4EA3-8DE4-17556FBB81D4}"/>
    <cellStyle name="Normal 4 2 2 3 2 2 3 3" xfId="5135" xr:uid="{00000000-0005-0000-0000-00000C120000}"/>
    <cellStyle name="Normal 4 2 2 3 2 2 3 3 2" xfId="13564" xr:uid="{2BC3899C-033D-4AB9-9755-C79F9A9F5982}"/>
    <cellStyle name="Normal 4 2 2 3 2 2 3 3 3" xfId="26197" xr:uid="{EF1CD08F-DAF0-4926-ACAF-A83260608436}"/>
    <cellStyle name="Normal 4 2 2 3 2 2 3 4" xfId="9346" xr:uid="{CB7839BE-DCCB-4DB5-958A-A491F7A645E9}"/>
    <cellStyle name="Normal 4 2 2 3 2 2 3 4 2" xfId="21986" xr:uid="{0839AED5-9339-4361-BD84-8F03E57E4A6F}"/>
    <cellStyle name="Normal 4 2 2 3 2 2 3 5" xfId="17775" xr:uid="{E04E8305-B153-4FFB-B2C7-C651C00C52F3}"/>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0399AFA9-C730-41FC-9819-FDE60633F73C}"/>
    <cellStyle name="Normal 4 2 2 3 2 2 4 2 2 3" xfId="28755" xr:uid="{49D2A4C5-6986-417A-BFFA-6FBD713F947F}"/>
    <cellStyle name="Normal 4 2 2 3 2 2 4 2 3" xfId="11904" xr:uid="{F88F4BDB-FF5F-42E9-8F74-39D33B798C34}"/>
    <cellStyle name="Normal 4 2 2 3 2 2 4 2 3 2" xfId="24544" xr:uid="{1459241B-D314-4F28-BB42-BE2FBE751028}"/>
    <cellStyle name="Normal 4 2 2 3 2 2 4 2 4" xfId="20333" xr:uid="{52F8A92B-0996-4F45-9281-F88569832B55}"/>
    <cellStyle name="Normal 4 2 2 3 2 2 4 3" xfId="5548" xr:uid="{00000000-0005-0000-0000-000010120000}"/>
    <cellStyle name="Normal 4 2 2 3 2 2 4 3 2" xfId="13977" xr:uid="{33681F50-B94C-493B-9BA8-FB5BD27ABD43}"/>
    <cellStyle name="Normal 4 2 2 3 2 2 4 3 3" xfId="26610" xr:uid="{CCFA14E4-2B85-4E04-9487-0DECD94B26EA}"/>
    <cellStyle name="Normal 4 2 2 3 2 2 4 4" xfId="9759" xr:uid="{53EA7AA7-CB12-431F-981E-3B3EEB088E64}"/>
    <cellStyle name="Normal 4 2 2 3 2 2 4 4 2" xfId="22399" xr:uid="{F32CA83A-F28A-435D-93D8-0F94EB8FCBA0}"/>
    <cellStyle name="Normal 4 2 2 3 2 2 4 5" xfId="18188" xr:uid="{E0685AB0-267E-47FB-AB30-A8190EC8E56C}"/>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BE6440A4-74F5-4434-9DAA-CEB75FB01728}"/>
    <cellStyle name="Normal 4 2 2 3 2 2 5 2 2 3" xfId="29168" xr:uid="{A9F2D084-3175-43E1-B347-E99BEE1C8BCE}"/>
    <cellStyle name="Normal 4 2 2 3 2 2 5 2 3" xfId="12317" xr:uid="{D904D3F5-EE63-4AD5-B01F-F0593920F674}"/>
    <cellStyle name="Normal 4 2 2 3 2 2 5 2 3 2" xfId="24957" xr:uid="{77A1228F-D0C4-47E7-AE64-4E88D7C95EE2}"/>
    <cellStyle name="Normal 4 2 2 3 2 2 5 2 4" xfId="20746" xr:uid="{37145F90-73C1-480B-B696-790C9C227BD6}"/>
    <cellStyle name="Normal 4 2 2 3 2 2 5 3" xfId="5961" xr:uid="{00000000-0005-0000-0000-000014120000}"/>
    <cellStyle name="Normal 4 2 2 3 2 2 5 3 2" xfId="14390" xr:uid="{50BD811C-2474-4253-BCAC-3BB13F051999}"/>
    <cellStyle name="Normal 4 2 2 3 2 2 5 3 3" xfId="27023" xr:uid="{37986FE4-7601-4528-8CA0-8527DA46D08B}"/>
    <cellStyle name="Normal 4 2 2 3 2 2 5 4" xfId="10172" xr:uid="{5D58F3D2-96E5-41E4-B52D-06C3881C9B61}"/>
    <cellStyle name="Normal 4 2 2 3 2 2 5 4 2" xfId="22812" xr:uid="{5C094490-362C-4B05-85C8-700F904A5481}"/>
    <cellStyle name="Normal 4 2 2 3 2 2 5 5" xfId="18601" xr:uid="{4D9564FB-1938-4CFC-AD67-223EFFFB2EC8}"/>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FF7DCBF6-7C63-42BF-B0B1-B09E3B1859E3}"/>
    <cellStyle name="Normal 4 2 2 3 2 2 6 2 2 3" xfId="29581" xr:uid="{89A3B17B-4F33-45B0-8787-5DDAE513BD78}"/>
    <cellStyle name="Normal 4 2 2 3 2 2 6 2 3" xfId="12730" xr:uid="{4A058CFD-4BC6-4D40-8824-D105B8E5F084}"/>
    <cellStyle name="Normal 4 2 2 3 2 2 6 2 3 2" xfId="25370" xr:uid="{4F945A50-763B-450A-BC85-80D0A2B1A22B}"/>
    <cellStyle name="Normal 4 2 2 3 2 2 6 2 4" xfId="21159" xr:uid="{0B9AC6E5-B756-42CD-8393-FC5A3E365803}"/>
    <cellStyle name="Normal 4 2 2 3 2 2 6 3" xfId="6374" xr:uid="{00000000-0005-0000-0000-000018120000}"/>
    <cellStyle name="Normal 4 2 2 3 2 2 6 3 2" xfId="14803" xr:uid="{74756069-A78E-4DF0-8BBA-F6B70913835D}"/>
    <cellStyle name="Normal 4 2 2 3 2 2 6 3 3" xfId="27436" xr:uid="{FC0C68C2-6CCB-4F28-90C5-34F6B70EA852}"/>
    <cellStyle name="Normal 4 2 2 3 2 2 6 4" xfId="10585" xr:uid="{6EC426FD-B576-4CC5-AD1B-30206DB84210}"/>
    <cellStyle name="Normal 4 2 2 3 2 2 6 4 2" xfId="23225" xr:uid="{B2EB1B3C-C620-4F9D-B5FF-F20D11C0DE12}"/>
    <cellStyle name="Normal 4 2 2 3 2 2 6 5" xfId="19014" xr:uid="{9575D5DD-5B6C-4989-8FF7-EBE0EBC7B7BC}"/>
    <cellStyle name="Normal 4 2 2 3 2 2 7" xfId="2502" xr:uid="{00000000-0005-0000-0000-000019120000}"/>
    <cellStyle name="Normal 4 2 2 3 2 2 7 2" xfId="6787" xr:uid="{00000000-0005-0000-0000-00001A120000}"/>
    <cellStyle name="Normal 4 2 2 3 2 2 7 2 2" xfId="15216" xr:uid="{DC737753-FCA9-48F5-8466-86E7753A5F5E}"/>
    <cellStyle name="Normal 4 2 2 3 2 2 7 2 3" xfId="27849" xr:uid="{C79C12F6-98D4-48C0-AC51-9A096DE423D9}"/>
    <cellStyle name="Normal 4 2 2 3 2 2 7 3" xfId="10998" xr:uid="{7CABFFFC-F6EC-4FE5-A490-1897132FDA06}"/>
    <cellStyle name="Normal 4 2 2 3 2 2 7 3 2" xfId="23638" xr:uid="{C0D26C44-6A1D-4947-89DE-1D5A90F48EEE}"/>
    <cellStyle name="Normal 4 2 2 3 2 2 7 4" xfId="19427" xr:uid="{3D7CEC20-032D-4297-8BE0-665B235B03F4}"/>
    <cellStyle name="Normal 4 2 2 3 2 2 8" xfId="4722" xr:uid="{00000000-0005-0000-0000-00001B120000}"/>
    <cellStyle name="Normal 4 2 2 3 2 2 8 2" xfId="13151" xr:uid="{D0B20DCC-8A24-4BCA-93C8-6389077CA391}"/>
    <cellStyle name="Normal 4 2 2 3 2 2 8 3" xfId="25784" xr:uid="{6AFA6305-75AA-427D-B7BB-20D74D202A55}"/>
    <cellStyle name="Normal 4 2 2 3 2 2 9" xfId="8933" xr:uid="{AC65ECDC-C33D-4838-97D6-45863DF2CFE7}"/>
    <cellStyle name="Normal 4 2 2 3 2 2 9 2" xfId="21573" xr:uid="{B548BF4B-3E16-4C65-9687-77B65221502B}"/>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3CBA3229-F500-4796-BD77-9FE3B009299A}"/>
    <cellStyle name="Normal 4 2 2 3 2 3 2 2 2 3" xfId="28344" xr:uid="{7266A059-4616-4C82-A92E-A9FD500CC9F4}"/>
    <cellStyle name="Normal 4 2 2 3 2 3 2 2 3" xfId="11493" xr:uid="{9CB8223F-9A17-4816-AA35-5A600AAA3257}"/>
    <cellStyle name="Normal 4 2 2 3 2 3 2 2 3 2" xfId="24133" xr:uid="{E9548336-5CC7-4A36-9DFE-36DA7C7B993E}"/>
    <cellStyle name="Normal 4 2 2 3 2 3 2 2 4" xfId="19922" xr:uid="{D44A2AAE-CF33-4114-A3EB-48BEA024D2C3}"/>
    <cellStyle name="Normal 4 2 2 3 2 3 2 3" xfId="5137" xr:uid="{00000000-0005-0000-0000-000020120000}"/>
    <cellStyle name="Normal 4 2 2 3 2 3 2 3 2" xfId="13566" xr:uid="{10E5904D-BEB7-49A7-861C-E5765FDF76F0}"/>
    <cellStyle name="Normal 4 2 2 3 2 3 2 3 3" xfId="26199" xr:uid="{7B498002-3A7C-4663-8C23-CEA850960C39}"/>
    <cellStyle name="Normal 4 2 2 3 2 3 2 4" xfId="9348" xr:uid="{65D9BA0E-B835-422B-8577-C873D0FF4935}"/>
    <cellStyle name="Normal 4 2 2 3 2 3 2 4 2" xfId="21988" xr:uid="{4B121321-B9C3-4A9D-AFCE-A13577412E16}"/>
    <cellStyle name="Normal 4 2 2 3 2 3 2 5" xfId="17777" xr:uid="{DFFA3801-60E3-416F-B3C7-E4980F70E807}"/>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47CCDC46-427D-4992-A333-A67EEC7CE483}"/>
    <cellStyle name="Normal 4 2 2 3 2 3 3 2 2 3" xfId="28757" xr:uid="{742FB542-AF68-4BA3-8695-72CEB8CBF144}"/>
    <cellStyle name="Normal 4 2 2 3 2 3 3 2 3" xfId="11906" xr:uid="{3201EC76-84CE-439E-B844-20E17BB6363E}"/>
    <cellStyle name="Normal 4 2 2 3 2 3 3 2 3 2" xfId="24546" xr:uid="{DBE3971B-9B70-42AB-ACDB-84D89FDA5678}"/>
    <cellStyle name="Normal 4 2 2 3 2 3 3 2 4" xfId="20335" xr:uid="{22C3450F-7C7D-46B4-B3CF-60DBBF0EF8D4}"/>
    <cellStyle name="Normal 4 2 2 3 2 3 3 3" xfId="5550" xr:uid="{00000000-0005-0000-0000-000024120000}"/>
    <cellStyle name="Normal 4 2 2 3 2 3 3 3 2" xfId="13979" xr:uid="{20DE8E49-02B8-480F-A7BA-8D9AD871D57E}"/>
    <cellStyle name="Normal 4 2 2 3 2 3 3 3 3" xfId="26612" xr:uid="{01F7B2A2-F683-430F-B45B-31C731D0EA45}"/>
    <cellStyle name="Normal 4 2 2 3 2 3 3 4" xfId="9761" xr:uid="{B172814B-5E8D-4609-954B-1193EB0FF4AB}"/>
    <cellStyle name="Normal 4 2 2 3 2 3 3 4 2" xfId="22401" xr:uid="{3E022B73-CAA9-4B36-8D29-4A6AFA2DFA11}"/>
    <cellStyle name="Normal 4 2 2 3 2 3 3 5" xfId="18190" xr:uid="{D3B9180A-622C-4A18-A2E2-0F11FF007D52}"/>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78B62063-10FF-474E-AE9F-9E4693476FF0}"/>
    <cellStyle name="Normal 4 2 2 3 2 3 4 2 2 3" xfId="29170" xr:uid="{4D35731B-B72E-49EB-8D84-83E881F32650}"/>
    <cellStyle name="Normal 4 2 2 3 2 3 4 2 3" xfId="12319" xr:uid="{E90AFA18-DCDE-4AC3-942F-DF50BE6FCED7}"/>
    <cellStyle name="Normal 4 2 2 3 2 3 4 2 3 2" xfId="24959" xr:uid="{F9313EED-92D7-43D4-88ED-A9A7FD090226}"/>
    <cellStyle name="Normal 4 2 2 3 2 3 4 2 4" xfId="20748" xr:uid="{1D5DC966-84E7-4DAF-A4F6-7BD46BE42B07}"/>
    <cellStyle name="Normal 4 2 2 3 2 3 4 3" xfId="5963" xr:uid="{00000000-0005-0000-0000-000028120000}"/>
    <cellStyle name="Normal 4 2 2 3 2 3 4 3 2" xfId="14392" xr:uid="{67053DA9-52FB-42EC-816C-8E6570F32283}"/>
    <cellStyle name="Normal 4 2 2 3 2 3 4 3 3" xfId="27025" xr:uid="{CFA14C7D-EB5C-4293-A62E-458696F479DE}"/>
    <cellStyle name="Normal 4 2 2 3 2 3 4 4" xfId="10174" xr:uid="{77EA13D0-EB18-4D94-AD47-FFB6559F5D48}"/>
    <cellStyle name="Normal 4 2 2 3 2 3 4 4 2" xfId="22814" xr:uid="{1D9F1AFA-2AA7-4F8B-A9F8-FEBE42303BDB}"/>
    <cellStyle name="Normal 4 2 2 3 2 3 4 5" xfId="18603" xr:uid="{EE163A6D-0CE4-4F7C-A45B-6E9E1C8DF8A5}"/>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CFB50A0C-9E83-4607-8771-0272340EA8B2}"/>
    <cellStyle name="Normal 4 2 2 3 2 3 5 2 2 3" xfId="29583" xr:uid="{BE72FEB6-76F7-4F49-9DD8-D5191756FF33}"/>
    <cellStyle name="Normal 4 2 2 3 2 3 5 2 3" xfId="12732" xr:uid="{7D8FFFA3-1A52-421B-A820-04CEE4E9D6FE}"/>
    <cellStyle name="Normal 4 2 2 3 2 3 5 2 3 2" xfId="25372" xr:uid="{F33E8AF5-8BB4-449E-B105-D68222F2E8B2}"/>
    <cellStyle name="Normal 4 2 2 3 2 3 5 2 4" xfId="21161" xr:uid="{96E766C8-36C0-4CDF-AF5C-3B030A3369A0}"/>
    <cellStyle name="Normal 4 2 2 3 2 3 5 3" xfId="6376" xr:uid="{00000000-0005-0000-0000-00002C120000}"/>
    <cellStyle name="Normal 4 2 2 3 2 3 5 3 2" xfId="14805" xr:uid="{85F7A436-0339-4C87-B2DA-A70FF1B04186}"/>
    <cellStyle name="Normal 4 2 2 3 2 3 5 3 3" xfId="27438" xr:uid="{F958E9FC-71DC-43BF-B46B-A842049534A0}"/>
    <cellStyle name="Normal 4 2 2 3 2 3 5 4" xfId="10587" xr:uid="{80C438AF-4DFA-4A71-B382-E84AB3269F34}"/>
    <cellStyle name="Normal 4 2 2 3 2 3 5 4 2" xfId="23227" xr:uid="{B92942C8-A466-4D4A-B87E-EC4362BBB799}"/>
    <cellStyle name="Normal 4 2 2 3 2 3 5 5" xfId="19016" xr:uid="{5893FE29-3924-4D1E-A026-2E04CADA575F}"/>
    <cellStyle name="Normal 4 2 2 3 2 3 6" xfId="2504" xr:uid="{00000000-0005-0000-0000-00002D120000}"/>
    <cellStyle name="Normal 4 2 2 3 2 3 6 2" xfId="6789" xr:uid="{00000000-0005-0000-0000-00002E120000}"/>
    <cellStyle name="Normal 4 2 2 3 2 3 6 2 2" xfId="15218" xr:uid="{DBE7684A-B70D-4054-8B6A-0F77588BBD3E}"/>
    <cellStyle name="Normal 4 2 2 3 2 3 6 2 3" xfId="27851" xr:uid="{01F24337-2BD6-4168-903C-8B532AA59F14}"/>
    <cellStyle name="Normal 4 2 2 3 2 3 6 3" xfId="11000" xr:uid="{9154D2AC-71C6-401F-95CF-83041A0BC611}"/>
    <cellStyle name="Normal 4 2 2 3 2 3 6 3 2" xfId="23640" xr:uid="{32797C61-9B88-4260-8E7C-17CAAB66D488}"/>
    <cellStyle name="Normal 4 2 2 3 2 3 6 4" xfId="19429" xr:uid="{C0A78929-0B0D-428F-9EDF-953859E29BBB}"/>
    <cellStyle name="Normal 4 2 2 3 2 3 7" xfId="4724" xr:uid="{00000000-0005-0000-0000-00002F120000}"/>
    <cellStyle name="Normal 4 2 2 3 2 3 7 2" xfId="13153" xr:uid="{088000CA-2BD5-499C-88A9-B6FA21277E62}"/>
    <cellStyle name="Normal 4 2 2 3 2 3 7 3" xfId="25786" xr:uid="{0847AC49-4F27-4582-9BEA-CD529750EFB5}"/>
    <cellStyle name="Normal 4 2 2 3 2 3 8" xfId="8935" xr:uid="{926E7C27-C296-4FDC-A050-CACBBCC7D0E7}"/>
    <cellStyle name="Normal 4 2 2 3 2 3 8 2" xfId="21575" xr:uid="{87D81906-B37F-4338-AFE8-B7F49F20042E}"/>
    <cellStyle name="Normal 4 2 2 3 2 3 9" xfId="17364" xr:uid="{7EA43F1B-F108-4F5F-B4B2-B464DAB12CC2}"/>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54235A54-84F7-435E-AF63-1AF60350D953}"/>
    <cellStyle name="Normal 4 2 2 3 2 4 2 2 3" xfId="28341" xr:uid="{3D697262-23B9-42CA-A4F6-23E2A62D6BA2}"/>
    <cellStyle name="Normal 4 2 2 3 2 4 2 3" xfId="11490" xr:uid="{C4C38E7A-070B-440E-B4A4-29D65BD11554}"/>
    <cellStyle name="Normal 4 2 2 3 2 4 2 3 2" xfId="24130" xr:uid="{7097514D-FD3B-4163-8E15-6C9CE2722FE1}"/>
    <cellStyle name="Normal 4 2 2 3 2 4 2 4" xfId="19919" xr:uid="{041F7FF3-C7C3-4477-9ED0-A55657C36447}"/>
    <cellStyle name="Normal 4 2 2 3 2 4 3" xfId="5134" xr:uid="{00000000-0005-0000-0000-000033120000}"/>
    <cellStyle name="Normal 4 2 2 3 2 4 3 2" xfId="13563" xr:uid="{8C978AD7-863C-4BFC-9B69-7F8030419462}"/>
    <cellStyle name="Normal 4 2 2 3 2 4 3 3" xfId="26196" xr:uid="{A937B745-CA4B-4813-A0E3-0E87ED8D4CC7}"/>
    <cellStyle name="Normal 4 2 2 3 2 4 4" xfId="9345" xr:uid="{4A40A882-0708-47E3-BD49-E6A8873B8C9A}"/>
    <cellStyle name="Normal 4 2 2 3 2 4 4 2" xfId="21985" xr:uid="{B36D4657-42AF-475F-89C3-B37E6920F9C7}"/>
    <cellStyle name="Normal 4 2 2 3 2 4 5" xfId="17774" xr:uid="{CA793D00-67E0-45DA-A444-CCA22DCE4D12}"/>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D40B98A5-8781-46DA-A035-0032217C0590}"/>
    <cellStyle name="Normal 4 2 2 3 2 5 2 2 3" xfId="28754" xr:uid="{AF3063B1-92D7-4EF3-8A7F-463FA1386AEF}"/>
    <cellStyle name="Normal 4 2 2 3 2 5 2 3" xfId="11903" xr:uid="{92AB6353-E2D6-4B45-B7A3-644F1898964D}"/>
    <cellStyle name="Normal 4 2 2 3 2 5 2 3 2" xfId="24543" xr:uid="{A8F3D8BD-9AE5-47DC-AD92-600AE344B485}"/>
    <cellStyle name="Normal 4 2 2 3 2 5 2 4" xfId="20332" xr:uid="{B8B1EE3D-FB40-4E08-A720-1FCC2C2D3077}"/>
    <cellStyle name="Normal 4 2 2 3 2 5 3" xfId="5547" xr:uid="{00000000-0005-0000-0000-000037120000}"/>
    <cellStyle name="Normal 4 2 2 3 2 5 3 2" xfId="13976" xr:uid="{8E32D224-0ECF-4FC6-BF82-85F603A64AD9}"/>
    <cellStyle name="Normal 4 2 2 3 2 5 3 3" xfId="26609" xr:uid="{79E98CC5-9223-44DE-99AD-7C7BDE079FA2}"/>
    <cellStyle name="Normal 4 2 2 3 2 5 4" xfId="9758" xr:uid="{1FB0FF70-DA34-45ED-8EC3-B1ACA6D27519}"/>
    <cellStyle name="Normal 4 2 2 3 2 5 4 2" xfId="22398" xr:uid="{81F44E19-6DA1-498C-91F4-F51A5C839604}"/>
    <cellStyle name="Normal 4 2 2 3 2 5 5" xfId="18187" xr:uid="{4C000499-8190-4D5D-920F-6A92C90CAB12}"/>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CCD472B9-751D-4AAB-B89F-8B7381AA5FFF}"/>
    <cellStyle name="Normal 4 2 2 3 2 6 2 2 3" xfId="29167" xr:uid="{E23689A6-05C7-416E-83BC-D24763E12BD8}"/>
    <cellStyle name="Normal 4 2 2 3 2 6 2 3" xfId="12316" xr:uid="{008AB162-2FB2-4F12-9F54-AE011685950F}"/>
    <cellStyle name="Normal 4 2 2 3 2 6 2 3 2" xfId="24956" xr:uid="{F452A01A-4220-434C-924E-8429EBF046FD}"/>
    <cellStyle name="Normal 4 2 2 3 2 6 2 4" xfId="20745" xr:uid="{5B7B1884-BA00-4F1A-9518-6A49D796C661}"/>
    <cellStyle name="Normal 4 2 2 3 2 6 3" xfId="5960" xr:uid="{00000000-0005-0000-0000-00003B120000}"/>
    <cellStyle name="Normal 4 2 2 3 2 6 3 2" xfId="14389" xr:uid="{6F6A134E-6A83-48F6-89AB-9C29D001F4F8}"/>
    <cellStyle name="Normal 4 2 2 3 2 6 3 3" xfId="27022" xr:uid="{809FE020-3E02-4272-BDD9-DA682EC29011}"/>
    <cellStyle name="Normal 4 2 2 3 2 6 4" xfId="10171" xr:uid="{3E739978-FD93-4A82-9103-1846CEECCE81}"/>
    <cellStyle name="Normal 4 2 2 3 2 6 4 2" xfId="22811" xr:uid="{943F7357-F053-4924-B9B3-89B8D61B0579}"/>
    <cellStyle name="Normal 4 2 2 3 2 6 5" xfId="18600" xr:uid="{00EE61B2-3E7A-41FA-9474-61C267631697}"/>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BAEE90DA-B3A0-453B-A147-4005F99A4CFA}"/>
    <cellStyle name="Normal 4 2 2 3 2 7 2 2 3" xfId="29580" xr:uid="{E6FBA79E-1EE2-43A3-9C60-F1B3C4858392}"/>
    <cellStyle name="Normal 4 2 2 3 2 7 2 3" xfId="12729" xr:uid="{9D893CEC-9E14-4866-A0DF-4BE7349A1595}"/>
    <cellStyle name="Normal 4 2 2 3 2 7 2 3 2" xfId="25369" xr:uid="{10B1AF20-BF19-4258-A9FB-3FA7F13ABFED}"/>
    <cellStyle name="Normal 4 2 2 3 2 7 2 4" xfId="21158" xr:uid="{42DD303E-E4A4-46E7-8E5D-23426881733E}"/>
    <cellStyle name="Normal 4 2 2 3 2 7 3" xfId="6373" xr:uid="{00000000-0005-0000-0000-00003F120000}"/>
    <cellStyle name="Normal 4 2 2 3 2 7 3 2" xfId="14802" xr:uid="{BB2F22A9-E5B1-4F81-ABC0-12B7D53B512D}"/>
    <cellStyle name="Normal 4 2 2 3 2 7 3 3" xfId="27435" xr:uid="{55A1651E-DC90-48D3-AF09-8B8F2A8608A7}"/>
    <cellStyle name="Normal 4 2 2 3 2 7 4" xfId="10584" xr:uid="{CEE75A93-3EFB-440C-B1E1-6B0836CEDD5A}"/>
    <cellStyle name="Normal 4 2 2 3 2 7 4 2" xfId="23224" xr:uid="{DCB96307-6B8C-412D-9D31-765902F546C7}"/>
    <cellStyle name="Normal 4 2 2 3 2 7 5" xfId="19013" xr:uid="{B0A98C93-4ADD-4104-A46E-8E29092AF094}"/>
    <cellStyle name="Normal 4 2 2 3 2 8" xfId="2501" xr:uid="{00000000-0005-0000-0000-000040120000}"/>
    <cellStyle name="Normal 4 2 2 3 2 8 2" xfId="6786" xr:uid="{00000000-0005-0000-0000-000041120000}"/>
    <cellStyle name="Normal 4 2 2 3 2 8 2 2" xfId="15215" xr:uid="{2ECB90C1-FB48-43BF-9E5D-07C3F8E4C215}"/>
    <cellStyle name="Normal 4 2 2 3 2 8 2 3" xfId="27848" xr:uid="{8E1017C4-19A1-4966-B6E6-3C2E77E2F75E}"/>
    <cellStyle name="Normal 4 2 2 3 2 8 3" xfId="10997" xr:uid="{352F5860-6948-400F-84A2-52B98416FBC1}"/>
    <cellStyle name="Normal 4 2 2 3 2 8 3 2" xfId="23637" xr:uid="{FD480EC3-5F46-46FA-9554-6F3C0DB19E26}"/>
    <cellStyle name="Normal 4 2 2 3 2 8 4" xfId="19426" xr:uid="{170AB2D8-4183-4B31-81AB-F44A61F9245A}"/>
    <cellStyle name="Normal 4 2 2 3 2 9" xfId="4721" xr:uid="{00000000-0005-0000-0000-000042120000}"/>
    <cellStyle name="Normal 4 2 2 3 2 9 2" xfId="13150" xr:uid="{F2A6EDA1-011D-47B4-ACB8-BC154AD4E592}"/>
    <cellStyle name="Normal 4 2 2 3 2 9 3" xfId="25783" xr:uid="{B38D042B-88F5-496D-82BA-CE57B380A51F}"/>
    <cellStyle name="Normal 4 2 2 3 3" xfId="344" xr:uid="{00000000-0005-0000-0000-000043120000}"/>
    <cellStyle name="Normal 4 2 2 3 3 10" xfId="17365" xr:uid="{DB2FA6D4-5D65-4BF4-B2B2-10E10AA7300C}"/>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A60B0FD1-4AE2-4403-ACD1-C554FFD65D43}"/>
    <cellStyle name="Normal 4 2 2 3 3 2 2 2 2 3" xfId="28346" xr:uid="{13048977-A43D-445A-AE05-632C4C72477F}"/>
    <cellStyle name="Normal 4 2 2 3 3 2 2 2 3" xfId="11495" xr:uid="{2D5743B9-6C88-4CC7-B74A-3966D1163553}"/>
    <cellStyle name="Normal 4 2 2 3 3 2 2 2 3 2" xfId="24135" xr:uid="{6DC56E20-AA12-4C58-87C4-8AD36C6F097D}"/>
    <cellStyle name="Normal 4 2 2 3 3 2 2 2 4" xfId="19924" xr:uid="{AC4BCB19-B5F6-41DB-BE01-7B8DA5FB443B}"/>
    <cellStyle name="Normal 4 2 2 3 3 2 2 3" xfId="5139" xr:uid="{00000000-0005-0000-0000-000048120000}"/>
    <cellStyle name="Normal 4 2 2 3 3 2 2 3 2" xfId="13568" xr:uid="{88DD421B-568A-452F-86F4-3BB1C3E45E62}"/>
    <cellStyle name="Normal 4 2 2 3 3 2 2 3 3" xfId="26201" xr:uid="{FDF53C68-A6CC-4CCD-84F6-02036ECF9075}"/>
    <cellStyle name="Normal 4 2 2 3 3 2 2 4" xfId="9350" xr:uid="{D68B9F8A-1F24-441B-9D10-E447EEF91A03}"/>
    <cellStyle name="Normal 4 2 2 3 3 2 2 4 2" xfId="21990" xr:uid="{5CEDD54D-2A45-4C77-AB06-C10E8530542A}"/>
    <cellStyle name="Normal 4 2 2 3 3 2 2 5" xfId="17779" xr:uid="{BAF5F0B3-1355-41AD-9717-8E11DEC1D4F1}"/>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7D295CDB-3426-4DE0-A249-14E09542014A}"/>
    <cellStyle name="Normal 4 2 2 3 3 2 3 2 2 3" xfId="28759" xr:uid="{3DDFBEF2-9785-4FC7-8707-94C60358A7B3}"/>
    <cellStyle name="Normal 4 2 2 3 3 2 3 2 3" xfId="11908" xr:uid="{8BC9CEC4-C93F-4D96-B5C8-FCF3000F6FA6}"/>
    <cellStyle name="Normal 4 2 2 3 3 2 3 2 3 2" xfId="24548" xr:uid="{D0927647-9063-4170-86F8-0A84959EF606}"/>
    <cellStyle name="Normal 4 2 2 3 3 2 3 2 4" xfId="20337" xr:uid="{CC63FE75-B218-43E7-B0D3-4AAF29C98FA4}"/>
    <cellStyle name="Normal 4 2 2 3 3 2 3 3" xfId="5552" xr:uid="{00000000-0005-0000-0000-00004C120000}"/>
    <cellStyle name="Normal 4 2 2 3 3 2 3 3 2" xfId="13981" xr:uid="{77DCB683-4D68-4975-AA8B-4E513A9D5DD3}"/>
    <cellStyle name="Normal 4 2 2 3 3 2 3 3 3" xfId="26614" xr:uid="{06C4975D-149B-406D-A2A0-8E3F428BB59C}"/>
    <cellStyle name="Normal 4 2 2 3 3 2 3 4" xfId="9763" xr:uid="{3BB54E72-CFA7-4395-9D57-AB9B5B819A94}"/>
    <cellStyle name="Normal 4 2 2 3 3 2 3 4 2" xfId="22403" xr:uid="{BB9471B2-71A4-40A3-A824-7C694654D97C}"/>
    <cellStyle name="Normal 4 2 2 3 3 2 3 5" xfId="18192" xr:uid="{597814B3-5EB5-416F-8BE0-F676BA1B62BD}"/>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8736E159-4546-44DD-A64D-2A0F23EEF505}"/>
    <cellStyle name="Normal 4 2 2 3 3 2 4 2 2 3" xfId="29172" xr:uid="{065178B9-25C4-4360-BE90-17A981C70725}"/>
    <cellStyle name="Normal 4 2 2 3 3 2 4 2 3" xfId="12321" xr:uid="{17990FFB-10D4-4A7A-A0E5-770CF491F557}"/>
    <cellStyle name="Normal 4 2 2 3 3 2 4 2 3 2" xfId="24961" xr:uid="{1560F2C2-7687-462C-91A9-7C900F34E2F1}"/>
    <cellStyle name="Normal 4 2 2 3 3 2 4 2 4" xfId="20750" xr:uid="{F0DE257C-BBA6-4909-9C64-7284E7389F45}"/>
    <cellStyle name="Normal 4 2 2 3 3 2 4 3" xfId="5965" xr:uid="{00000000-0005-0000-0000-000050120000}"/>
    <cellStyle name="Normal 4 2 2 3 3 2 4 3 2" xfId="14394" xr:uid="{6E669D6D-F052-4F29-9402-1960D59C616D}"/>
    <cellStyle name="Normal 4 2 2 3 3 2 4 3 3" xfId="27027" xr:uid="{9D056D1A-E8F1-492E-ABB9-6065A551DBB7}"/>
    <cellStyle name="Normal 4 2 2 3 3 2 4 4" xfId="10176" xr:uid="{EF80D233-E3C6-4488-AA96-FF44673B9868}"/>
    <cellStyle name="Normal 4 2 2 3 3 2 4 4 2" xfId="22816" xr:uid="{B32E892E-0DDB-4047-AC91-55A3C8BDDC20}"/>
    <cellStyle name="Normal 4 2 2 3 3 2 4 5" xfId="18605" xr:uid="{5213E011-27C4-41F4-BEC6-6AC19DB0D5A9}"/>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C0584C50-6117-4791-AFC9-0D46FC87A898}"/>
    <cellStyle name="Normal 4 2 2 3 3 2 5 2 2 3" xfId="29585" xr:uid="{57C783C1-3EC8-4713-9414-0DA6A18D74EB}"/>
    <cellStyle name="Normal 4 2 2 3 3 2 5 2 3" xfId="12734" xr:uid="{581E29DC-13D8-4C4C-8E68-F18A4F9A820D}"/>
    <cellStyle name="Normal 4 2 2 3 3 2 5 2 3 2" xfId="25374" xr:uid="{0AC47822-9FA4-4AB8-B7D9-DC2413477D72}"/>
    <cellStyle name="Normal 4 2 2 3 3 2 5 2 4" xfId="21163" xr:uid="{68C208B1-CDD8-45FE-959A-A6A1694A2275}"/>
    <cellStyle name="Normal 4 2 2 3 3 2 5 3" xfId="6378" xr:uid="{00000000-0005-0000-0000-000054120000}"/>
    <cellStyle name="Normal 4 2 2 3 3 2 5 3 2" xfId="14807" xr:uid="{9C0CDD08-BED7-45B8-9464-3C5B6F82D940}"/>
    <cellStyle name="Normal 4 2 2 3 3 2 5 3 3" xfId="27440" xr:uid="{CB859EB3-3474-4425-AC4C-752B4B5E859E}"/>
    <cellStyle name="Normal 4 2 2 3 3 2 5 4" xfId="10589" xr:uid="{EC1FB559-8AFD-4F72-A27E-46984E403273}"/>
    <cellStyle name="Normal 4 2 2 3 3 2 5 4 2" xfId="23229" xr:uid="{2C44EFEF-D985-47FC-9F98-0828F7D7CB36}"/>
    <cellStyle name="Normal 4 2 2 3 3 2 5 5" xfId="19018" xr:uid="{8BE50B3B-463F-41CB-BB62-AB9D6F7DB393}"/>
    <cellStyle name="Normal 4 2 2 3 3 2 6" xfId="2506" xr:uid="{00000000-0005-0000-0000-000055120000}"/>
    <cellStyle name="Normal 4 2 2 3 3 2 6 2" xfId="6791" xr:uid="{00000000-0005-0000-0000-000056120000}"/>
    <cellStyle name="Normal 4 2 2 3 3 2 6 2 2" xfId="15220" xr:uid="{8E9CA80E-B748-4AF0-9242-25E03596720D}"/>
    <cellStyle name="Normal 4 2 2 3 3 2 6 2 3" xfId="27853" xr:uid="{01C5C19D-25CD-4F0D-B59A-7CE9961B1BB1}"/>
    <cellStyle name="Normal 4 2 2 3 3 2 6 3" xfId="11002" xr:uid="{7826F238-9BC5-4350-9613-3567D049FC2E}"/>
    <cellStyle name="Normal 4 2 2 3 3 2 6 3 2" xfId="23642" xr:uid="{6CB15E45-C6CA-4C0A-8C15-75DBFA75CECD}"/>
    <cellStyle name="Normal 4 2 2 3 3 2 6 4" xfId="19431" xr:uid="{38312F28-ED37-4D2B-A06F-F777814360F6}"/>
    <cellStyle name="Normal 4 2 2 3 3 2 7" xfId="4726" xr:uid="{00000000-0005-0000-0000-000057120000}"/>
    <cellStyle name="Normal 4 2 2 3 3 2 7 2" xfId="13155" xr:uid="{01AC2EE6-4F6A-4F15-AC51-58BD87DADA4C}"/>
    <cellStyle name="Normal 4 2 2 3 3 2 7 3" xfId="25788" xr:uid="{A565B17F-9FE7-4FFA-9DD6-AC6086BAF6B7}"/>
    <cellStyle name="Normal 4 2 2 3 3 2 8" xfId="8937" xr:uid="{20920C07-6B83-4716-BB86-B2C238945B5A}"/>
    <cellStyle name="Normal 4 2 2 3 3 2 8 2" xfId="21577" xr:uid="{401DBBD4-CC3F-4097-A438-AE7CACD9058A}"/>
    <cellStyle name="Normal 4 2 2 3 3 2 9" xfId="17366" xr:uid="{66EFA4BF-52F2-405A-A390-B3327C6A491D}"/>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2CD59FFC-E738-4A28-85BE-C0D5644267A7}"/>
    <cellStyle name="Normal 4 2 2 3 3 3 2 2 3" xfId="28345" xr:uid="{DA516B1E-A936-4118-BD33-E2D68610500B}"/>
    <cellStyle name="Normal 4 2 2 3 3 3 2 3" xfId="11494" xr:uid="{0704BCEC-1036-401A-AC63-AAA9FEC087B2}"/>
    <cellStyle name="Normal 4 2 2 3 3 3 2 3 2" xfId="24134" xr:uid="{F4338158-7BC3-4603-A758-7F885FF53E18}"/>
    <cellStyle name="Normal 4 2 2 3 3 3 2 4" xfId="19923" xr:uid="{CAD68AFD-2E93-4873-8D9F-820E0D67D1DC}"/>
    <cellStyle name="Normal 4 2 2 3 3 3 3" xfId="5138" xr:uid="{00000000-0005-0000-0000-00005B120000}"/>
    <cellStyle name="Normal 4 2 2 3 3 3 3 2" xfId="13567" xr:uid="{62581258-F443-4B30-8D66-3F423C092044}"/>
    <cellStyle name="Normal 4 2 2 3 3 3 3 3" xfId="26200" xr:uid="{1C03881A-391C-4A4E-B183-6CC22C58FC13}"/>
    <cellStyle name="Normal 4 2 2 3 3 3 4" xfId="9349" xr:uid="{C3740473-F50C-480D-A820-F144B525ADFF}"/>
    <cellStyle name="Normal 4 2 2 3 3 3 4 2" xfId="21989" xr:uid="{46B34012-C65F-4D81-A699-8943405F1BA1}"/>
    <cellStyle name="Normal 4 2 2 3 3 3 5" xfId="17778" xr:uid="{54310DD3-91FC-4DBC-BFC9-55BD24B8FCBD}"/>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05BCBC4E-B0B4-483C-9013-15C806324904}"/>
    <cellStyle name="Normal 4 2 2 3 3 4 2 2 3" xfId="28758" xr:uid="{59FAB985-479B-4620-82C3-7D265630BE32}"/>
    <cellStyle name="Normal 4 2 2 3 3 4 2 3" xfId="11907" xr:uid="{9F0578E3-521F-4FA4-8EA7-7E625766E0EE}"/>
    <cellStyle name="Normal 4 2 2 3 3 4 2 3 2" xfId="24547" xr:uid="{743E45AA-7364-4B8A-B45A-AEE1EF9AB416}"/>
    <cellStyle name="Normal 4 2 2 3 3 4 2 4" xfId="20336" xr:uid="{54EFDED9-2575-4178-8905-18F39030CC42}"/>
    <cellStyle name="Normal 4 2 2 3 3 4 3" xfId="5551" xr:uid="{00000000-0005-0000-0000-00005F120000}"/>
    <cellStyle name="Normal 4 2 2 3 3 4 3 2" xfId="13980" xr:uid="{F5097877-16DA-4B4A-AFCA-63FC23099814}"/>
    <cellStyle name="Normal 4 2 2 3 3 4 3 3" xfId="26613" xr:uid="{128F613B-FBA9-4B46-ACC9-F5CB0DCBA744}"/>
    <cellStyle name="Normal 4 2 2 3 3 4 4" xfId="9762" xr:uid="{45638684-83D5-453A-BC93-77E745658364}"/>
    <cellStyle name="Normal 4 2 2 3 3 4 4 2" xfId="22402" xr:uid="{A7F68586-BB5B-4C6E-9064-876F8EF42C4F}"/>
    <cellStyle name="Normal 4 2 2 3 3 4 5" xfId="18191" xr:uid="{02104B4B-C69D-43CB-B7AD-A5377F786C4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1F160250-79FB-477D-B5D7-7B7609D72150}"/>
    <cellStyle name="Normal 4 2 2 3 3 5 2 2 3" xfId="29171" xr:uid="{8194197F-CD35-46CE-B2E7-12ACBA2E7633}"/>
    <cellStyle name="Normal 4 2 2 3 3 5 2 3" xfId="12320" xr:uid="{42620242-E16B-47C8-8ED1-5C73C7181CF4}"/>
    <cellStyle name="Normal 4 2 2 3 3 5 2 3 2" xfId="24960" xr:uid="{976CDF72-7161-4260-A6A4-C60B76A39963}"/>
    <cellStyle name="Normal 4 2 2 3 3 5 2 4" xfId="20749" xr:uid="{75A66288-5E0F-417C-8614-82EC0D1D2435}"/>
    <cellStyle name="Normal 4 2 2 3 3 5 3" xfId="5964" xr:uid="{00000000-0005-0000-0000-000063120000}"/>
    <cellStyle name="Normal 4 2 2 3 3 5 3 2" xfId="14393" xr:uid="{53A4B2FF-6D9E-4B52-8A8F-BF9DDA3F1A09}"/>
    <cellStyle name="Normal 4 2 2 3 3 5 3 3" xfId="27026" xr:uid="{FF1A4F16-2C50-4130-9488-7FA610C3C5BD}"/>
    <cellStyle name="Normal 4 2 2 3 3 5 4" xfId="10175" xr:uid="{09C8E955-CC62-42C6-A716-9576F11E01C0}"/>
    <cellStyle name="Normal 4 2 2 3 3 5 4 2" xfId="22815" xr:uid="{538E798F-A49C-4A06-9C37-1F103C8CC40C}"/>
    <cellStyle name="Normal 4 2 2 3 3 5 5" xfId="18604" xr:uid="{C406F390-23CB-45F1-B178-5DDFE42776AC}"/>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BB30B563-9869-40C0-9E0A-94EC7BB4C293}"/>
    <cellStyle name="Normal 4 2 2 3 3 6 2 2 3" xfId="29584" xr:uid="{1D6DBEBD-7BD6-4D89-B622-5F924396473F}"/>
    <cellStyle name="Normal 4 2 2 3 3 6 2 3" xfId="12733" xr:uid="{83AF74B2-213D-481D-BD52-8C3FE9D649D6}"/>
    <cellStyle name="Normal 4 2 2 3 3 6 2 3 2" xfId="25373" xr:uid="{5C39A67C-6257-4E53-921D-7990EC60989F}"/>
    <cellStyle name="Normal 4 2 2 3 3 6 2 4" xfId="21162" xr:uid="{884613C7-C665-4888-9F8C-33ED5AE2F11C}"/>
    <cellStyle name="Normal 4 2 2 3 3 6 3" xfId="6377" xr:uid="{00000000-0005-0000-0000-000067120000}"/>
    <cellStyle name="Normal 4 2 2 3 3 6 3 2" xfId="14806" xr:uid="{E3090556-4D54-4DF7-8CB9-BB7D47D795CC}"/>
    <cellStyle name="Normal 4 2 2 3 3 6 3 3" xfId="27439" xr:uid="{227AD3B9-66C9-463E-B980-846078EB969D}"/>
    <cellStyle name="Normal 4 2 2 3 3 6 4" xfId="10588" xr:uid="{9F1907EF-4F9F-4C6F-BED9-40A39A08F617}"/>
    <cellStyle name="Normal 4 2 2 3 3 6 4 2" xfId="23228" xr:uid="{EABB4A50-1471-45F8-9938-88A02EB42F6B}"/>
    <cellStyle name="Normal 4 2 2 3 3 6 5" xfId="19017" xr:uid="{9093101E-50C3-49F6-8AC1-1D226ACA70D7}"/>
    <cellStyle name="Normal 4 2 2 3 3 7" xfId="2505" xr:uid="{00000000-0005-0000-0000-000068120000}"/>
    <cellStyle name="Normal 4 2 2 3 3 7 2" xfId="6790" xr:uid="{00000000-0005-0000-0000-000069120000}"/>
    <cellStyle name="Normal 4 2 2 3 3 7 2 2" xfId="15219" xr:uid="{33F10AA3-EDF8-41F9-9089-C518653E1736}"/>
    <cellStyle name="Normal 4 2 2 3 3 7 2 3" xfId="27852" xr:uid="{B4DC3D75-16A3-475A-93C9-D590DC897F95}"/>
    <cellStyle name="Normal 4 2 2 3 3 7 3" xfId="11001" xr:uid="{FC95B60E-4E9C-4F4F-ADA9-4D385DE06DA3}"/>
    <cellStyle name="Normal 4 2 2 3 3 7 3 2" xfId="23641" xr:uid="{04BA1569-20B4-4E5F-86D8-AB9655329DA3}"/>
    <cellStyle name="Normal 4 2 2 3 3 7 4" xfId="19430" xr:uid="{E7D7A095-9B4F-4F5B-8B94-94B8B0F85B8D}"/>
    <cellStyle name="Normal 4 2 2 3 3 8" xfId="4725" xr:uid="{00000000-0005-0000-0000-00006A120000}"/>
    <cellStyle name="Normal 4 2 2 3 3 8 2" xfId="13154" xr:uid="{1F9FAC2F-5F11-4D4D-AB31-4CD52B2C7EA5}"/>
    <cellStyle name="Normal 4 2 2 3 3 8 3" xfId="25787" xr:uid="{EDCB92FA-8659-4EED-B4E9-3847EF0E86BA}"/>
    <cellStyle name="Normal 4 2 2 3 3 9" xfId="8936" xr:uid="{FB9F8DBD-8F65-49B5-BCD0-C5A8482AA96C}"/>
    <cellStyle name="Normal 4 2 2 3 3 9 2" xfId="21576" xr:uid="{CE03AAC7-1D1C-4D40-8DBC-C886BA45121F}"/>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426ED5B1-310D-4170-ACFB-AE1C949B06F5}"/>
    <cellStyle name="Normal 4 2 2 3 4 2 2 2 3" xfId="28347" xr:uid="{1246A4C7-1E38-4ABB-8A96-7807A9C24D44}"/>
    <cellStyle name="Normal 4 2 2 3 4 2 2 3" xfId="11496" xr:uid="{2B9438F3-F21E-43B0-81A9-C8174D3947A5}"/>
    <cellStyle name="Normal 4 2 2 3 4 2 2 3 2" xfId="24136" xr:uid="{22021032-D303-4D0F-94E7-1C6B78C1F429}"/>
    <cellStyle name="Normal 4 2 2 3 4 2 2 4" xfId="19925" xr:uid="{B3189773-7458-4CCF-A346-2AF813534584}"/>
    <cellStyle name="Normal 4 2 2 3 4 2 3" xfId="5140" xr:uid="{00000000-0005-0000-0000-00006F120000}"/>
    <cellStyle name="Normal 4 2 2 3 4 2 3 2" xfId="13569" xr:uid="{E877EFAA-6A27-4539-B22B-54D96C6FCBED}"/>
    <cellStyle name="Normal 4 2 2 3 4 2 3 3" xfId="26202" xr:uid="{A28725BB-60E0-40F8-9D6C-761CEEE56675}"/>
    <cellStyle name="Normal 4 2 2 3 4 2 4" xfId="9351" xr:uid="{A159BEB3-62D4-464C-A08E-7050B8BF0D0C}"/>
    <cellStyle name="Normal 4 2 2 3 4 2 4 2" xfId="21991" xr:uid="{4686AEEC-A590-45F3-BD23-E56587887158}"/>
    <cellStyle name="Normal 4 2 2 3 4 2 5" xfId="17780" xr:uid="{19C4B9F6-27AA-4C41-9719-DECAFE52629C}"/>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3937BDFC-EF00-45AC-A558-4B2A6F6C4783}"/>
    <cellStyle name="Normal 4 2 2 3 4 3 2 2 3" xfId="28760" xr:uid="{C680B0DE-00A7-4E24-A8FC-FE33119577A8}"/>
    <cellStyle name="Normal 4 2 2 3 4 3 2 3" xfId="11909" xr:uid="{9523BD5D-5C50-45F4-BEBA-393D1900D9E5}"/>
    <cellStyle name="Normal 4 2 2 3 4 3 2 3 2" xfId="24549" xr:uid="{E9207C7D-73A3-4920-8725-A998EA64E624}"/>
    <cellStyle name="Normal 4 2 2 3 4 3 2 4" xfId="20338" xr:uid="{2B4E4E0A-D322-4608-825A-8521B71F4EC4}"/>
    <cellStyle name="Normal 4 2 2 3 4 3 3" xfId="5553" xr:uid="{00000000-0005-0000-0000-000073120000}"/>
    <cellStyle name="Normal 4 2 2 3 4 3 3 2" xfId="13982" xr:uid="{21B18439-049E-4B6E-9047-D58F030E1611}"/>
    <cellStyle name="Normal 4 2 2 3 4 3 3 3" xfId="26615" xr:uid="{D34FA248-E1A3-439B-9B58-CD166C5FF582}"/>
    <cellStyle name="Normal 4 2 2 3 4 3 4" xfId="9764" xr:uid="{DCC4484D-247C-4AB8-A3C8-1C5CDACCE862}"/>
    <cellStyle name="Normal 4 2 2 3 4 3 4 2" xfId="22404" xr:uid="{74041009-A48A-442B-9FD2-59ACC5B645D4}"/>
    <cellStyle name="Normal 4 2 2 3 4 3 5" xfId="18193" xr:uid="{4C8E4D79-4B52-4DC2-95CE-E7E8E66E8F66}"/>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1032955B-ABB6-40C7-B373-334DCE77B0E4}"/>
    <cellStyle name="Normal 4 2 2 3 4 4 2 2 3" xfId="29173" xr:uid="{7B8EE94F-88E0-4223-B4C1-46C73FC4F1A8}"/>
    <cellStyle name="Normal 4 2 2 3 4 4 2 3" xfId="12322" xr:uid="{34AA7301-7963-450B-BA91-8EBA81C9D581}"/>
    <cellStyle name="Normal 4 2 2 3 4 4 2 3 2" xfId="24962" xr:uid="{169F73AA-38C7-4B9D-B1A0-6134ACA450FB}"/>
    <cellStyle name="Normal 4 2 2 3 4 4 2 4" xfId="20751" xr:uid="{B53710EF-210F-4050-AC1D-4E18CDF7501C}"/>
    <cellStyle name="Normal 4 2 2 3 4 4 3" xfId="5966" xr:uid="{00000000-0005-0000-0000-000077120000}"/>
    <cellStyle name="Normal 4 2 2 3 4 4 3 2" xfId="14395" xr:uid="{505AB99A-87F4-4F38-B690-833288BB2512}"/>
    <cellStyle name="Normal 4 2 2 3 4 4 3 3" xfId="27028" xr:uid="{1172F9BC-44E5-4FD9-BFF6-37360F2D3D23}"/>
    <cellStyle name="Normal 4 2 2 3 4 4 4" xfId="10177" xr:uid="{6909B99F-A57D-4E07-B54C-6D8EFAACFF30}"/>
    <cellStyle name="Normal 4 2 2 3 4 4 4 2" xfId="22817" xr:uid="{F4DD1C69-16BD-4930-9747-F788B33FE099}"/>
    <cellStyle name="Normal 4 2 2 3 4 4 5" xfId="18606" xr:uid="{2F3D481A-680C-4E09-B453-CDFC1A49F72F}"/>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29F47D82-63A7-490B-987D-64DEF2813867}"/>
    <cellStyle name="Normal 4 2 2 3 4 5 2 2 3" xfId="29586" xr:uid="{B3087988-9572-4661-8FDF-5912AD875A9F}"/>
    <cellStyle name="Normal 4 2 2 3 4 5 2 3" xfId="12735" xr:uid="{78D3AD3D-C051-4529-9810-21BC71AA446C}"/>
    <cellStyle name="Normal 4 2 2 3 4 5 2 3 2" xfId="25375" xr:uid="{F73B6526-3087-4396-B5F7-AA4A90668BE4}"/>
    <cellStyle name="Normal 4 2 2 3 4 5 2 4" xfId="21164" xr:uid="{94BCF035-8693-4242-82AD-73ABE6A85299}"/>
    <cellStyle name="Normal 4 2 2 3 4 5 3" xfId="6379" xr:uid="{00000000-0005-0000-0000-00007B120000}"/>
    <cellStyle name="Normal 4 2 2 3 4 5 3 2" xfId="14808" xr:uid="{ADA7658D-9711-4BC6-80F5-6D1A901F1A83}"/>
    <cellStyle name="Normal 4 2 2 3 4 5 3 3" xfId="27441" xr:uid="{5A154A27-2CDC-47A3-8B7A-56B4517B059A}"/>
    <cellStyle name="Normal 4 2 2 3 4 5 4" xfId="10590" xr:uid="{0B166CEB-5B4F-47AF-9415-12145CB4B81D}"/>
    <cellStyle name="Normal 4 2 2 3 4 5 4 2" xfId="23230" xr:uid="{8650478D-E3C1-44D9-AFBC-8739126F0F77}"/>
    <cellStyle name="Normal 4 2 2 3 4 5 5" xfId="19019" xr:uid="{220CF557-BCEF-4646-97F1-F6E2D2F30F0D}"/>
    <cellStyle name="Normal 4 2 2 3 4 6" xfId="2507" xr:uid="{00000000-0005-0000-0000-00007C120000}"/>
    <cellStyle name="Normal 4 2 2 3 4 6 2" xfId="6792" xr:uid="{00000000-0005-0000-0000-00007D120000}"/>
    <cellStyle name="Normal 4 2 2 3 4 6 2 2" xfId="15221" xr:uid="{7832C8A3-B82D-4971-9743-76485221BBDB}"/>
    <cellStyle name="Normal 4 2 2 3 4 6 2 3" xfId="27854" xr:uid="{D07C3AA2-428B-4BD7-8752-90F098BDB42E}"/>
    <cellStyle name="Normal 4 2 2 3 4 6 3" xfId="11003" xr:uid="{B9907FB7-A3BD-49A8-94EF-4B87BD8E9555}"/>
    <cellStyle name="Normal 4 2 2 3 4 6 3 2" xfId="23643" xr:uid="{D3617159-6583-46C5-9F80-9B320B734ABE}"/>
    <cellStyle name="Normal 4 2 2 3 4 6 4" xfId="19432" xr:uid="{8985FD45-340D-450B-83EF-F278B708A2D3}"/>
    <cellStyle name="Normal 4 2 2 3 4 7" xfId="4727" xr:uid="{00000000-0005-0000-0000-00007E120000}"/>
    <cellStyle name="Normal 4 2 2 3 4 7 2" xfId="13156" xr:uid="{64D20536-5394-41F4-98C7-0A27FAB16F0A}"/>
    <cellStyle name="Normal 4 2 2 3 4 7 3" xfId="25789" xr:uid="{A483BEB7-1981-49E0-9135-2EF0D130D2E8}"/>
    <cellStyle name="Normal 4 2 2 3 4 8" xfId="8938" xr:uid="{74AC97B9-55B8-4EDE-9253-0BCC3F1B2909}"/>
    <cellStyle name="Normal 4 2 2 3 4 8 2" xfId="21578" xr:uid="{F3577BC5-6CC4-4D2C-A2D7-90B95BCE080B}"/>
    <cellStyle name="Normal 4 2 2 3 4 9" xfId="17367" xr:uid="{CAB8DFCD-C9B0-42D8-AFEA-0C37DF5BA9C1}"/>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A2879D57-9D4D-4C17-87CF-D1492F000F54}"/>
    <cellStyle name="Normal 4 2 2 3 5 2 2 3" xfId="28340" xr:uid="{9870EA23-9188-45E5-B3DF-507546A3910A}"/>
    <cellStyle name="Normal 4 2 2 3 5 2 3" xfId="11489" xr:uid="{718F1085-61F8-4F3F-8E81-C86169525B40}"/>
    <cellStyle name="Normal 4 2 2 3 5 2 3 2" xfId="24129" xr:uid="{61A395FC-ED3A-40DB-B20B-462523201F48}"/>
    <cellStyle name="Normal 4 2 2 3 5 2 4" xfId="19918" xr:uid="{2306977A-1C13-4983-9422-0F757A78757A}"/>
    <cellStyle name="Normal 4 2 2 3 5 3" xfId="5133" xr:uid="{00000000-0005-0000-0000-000082120000}"/>
    <cellStyle name="Normal 4 2 2 3 5 3 2" xfId="13562" xr:uid="{D97D1867-DD70-4E24-9FF1-1AC22981B3D2}"/>
    <cellStyle name="Normal 4 2 2 3 5 3 3" xfId="26195" xr:uid="{858841C9-F091-49C3-B36E-B51784D8E6D0}"/>
    <cellStyle name="Normal 4 2 2 3 5 4" xfId="9344" xr:uid="{1A7711C5-F61C-479D-86E0-326A400D12EA}"/>
    <cellStyle name="Normal 4 2 2 3 5 4 2" xfId="21984" xr:uid="{15ABD9A3-CC55-40AC-8BBB-5E930B826549}"/>
    <cellStyle name="Normal 4 2 2 3 5 5" xfId="17773" xr:uid="{F4C5136F-604B-4701-905C-2CEF37536C64}"/>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BC9962FE-59DF-4A46-A638-B681B597764D}"/>
    <cellStyle name="Normal 4 2 2 3 6 2 2 3" xfId="28753" xr:uid="{9FC0771C-A163-499F-8986-E60527A56B2A}"/>
    <cellStyle name="Normal 4 2 2 3 6 2 3" xfId="11902" xr:uid="{D98258A7-F75D-48CF-973A-F84530A88300}"/>
    <cellStyle name="Normal 4 2 2 3 6 2 3 2" xfId="24542" xr:uid="{FC459E73-8B28-4A29-A1D1-E9DD8890A7F0}"/>
    <cellStyle name="Normal 4 2 2 3 6 2 4" xfId="20331" xr:uid="{04A50971-1357-494F-BB95-D1CDFF3D36DA}"/>
    <cellStyle name="Normal 4 2 2 3 6 3" xfId="5546" xr:uid="{00000000-0005-0000-0000-000086120000}"/>
    <cellStyle name="Normal 4 2 2 3 6 3 2" xfId="13975" xr:uid="{C1611040-B73C-4EF7-A450-0EF682460B10}"/>
    <cellStyle name="Normal 4 2 2 3 6 3 3" xfId="26608" xr:uid="{75E02DF7-F96A-4FDE-9C42-77DC85C6DDDE}"/>
    <cellStyle name="Normal 4 2 2 3 6 4" xfId="9757" xr:uid="{E8ACF951-B415-4FD4-B98E-174CA1416E75}"/>
    <cellStyle name="Normal 4 2 2 3 6 4 2" xfId="22397" xr:uid="{11BA3C84-7383-40E7-8F62-A43A344A58EF}"/>
    <cellStyle name="Normal 4 2 2 3 6 5" xfId="18186" xr:uid="{D99D5689-2EEE-4F48-B6E6-94FAFC7FEF91}"/>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FB1E70CB-8DE2-4756-88E6-80F276D80C42}"/>
    <cellStyle name="Normal 4 2 2 3 7 2 2 3" xfId="29166" xr:uid="{3C033489-8235-418F-BB09-39404DC02D95}"/>
    <cellStyle name="Normal 4 2 2 3 7 2 3" xfId="12315" xr:uid="{EE655790-AB41-4A74-9822-5A5402195588}"/>
    <cellStyle name="Normal 4 2 2 3 7 2 3 2" xfId="24955" xr:uid="{908E8516-7B6D-4C1A-8A14-EFBBA002151F}"/>
    <cellStyle name="Normal 4 2 2 3 7 2 4" xfId="20744" xr:uid="{026B7395-E7D2-464D-887F-00FD8358C68C}"/>
    <cellStyle name="Normal 4 2 2 3 7 3" xfId="5959" xr:uid="{00000000-0005-0000-0000-00008A120000}"/>
    <cellStyle name="Normal 4 2 2 3 7 3 2" xfId="14388" xr:uid="{DCDF19A6-3FC5-468C-83E8-7EDB0E5593D4}"/>
    <cellStyle name="Normal 4 2 2 3 7 3 3" xfId="27021" xr:uid="{9BF6CE5E-EE1D-4C17-8B09-C951F20FDC45}"/>
    <cellStyle name="Normal 4 2 2 3 7 4" xfId="10170" xr:uid="{55C7E45A-094F-4292-88AF-D5D64BC0EC56}"/>
    <cellStyle name="Normal 4 2 2 3 7 4 2" xfId="22810" xr:uid="{6E4EA88D-4F2E-4F42-AD9A-4CDA61615351}"/>
    <cellStyle name="Normal 4 2 2 3 7 5" xfId="18599" xr:uid="{2A69F4A4-0441-4BAD-9866-74AB5AB074EE}"/>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24A09A14-AF23-4AD1-8827-4F822D6E57B3}"/>
    <cellStyle name="Normal 4 2 2 3 8 2 2 3" xfId="29579" xr:uid="{294A76AB-6232-4B7B-ACD1-80D399C3A457}"/>
    <cellStyle name="Normal 4 2 2 3 8 2 3" xfId="12728" xr:uid="{6EC362FD-7789-49A2-BEA4-C7015724E32D}"/>
    <cellStyle name="Normal 4 2 2 3 8 2 3 2" xfId="25368" xr:uid="{1B8C771D-EE1A-4AED-9ED4-5BB51B8B9841}"/>
    <cellStyle name="Normal 4 2 2 3 8 2 4" xfId="21157" xr:uid="{CF0C63BD-7DAD-4384-A630-761722C7E6BD}"/>
    <cellStyle name="Normal 4 2 2 3 8 3" xfId="6372" xr:uid="{00000000-0005-0000-0000-00008E120000}"/>
    <cellStyle name="Normal 4 2 2 3 8 3 2" xfId="14801" xr:uid="{3AEF0812-AC32-4035-95C8-B189E056E61E}"/>
    <cellStyle name="Normal 4 2 2 3 8 3 3" xfId="27434" xr:uid="{E6A8D963-94A2-4159-A3AE-A058085C4911}"/>
    <cellStyle name="Normal 4 2 2 3 8 4" xfId="10583" xr:uid="{3A8751A0-E203-4A47-A693-A2FA7099D305}"/>
    <cellStyle name="Normal 4 2 2 3 8 4 2" xfId="23223" xr:uid="{887A30C2-DE71-4996-A512-5679CAA203B0}"/>
    <cellStyle name="Normal 4 2 2 3 8 5" xfId="19012" xr:uid="{50BFAE46-81E9-4737-95F0-93F08E60EC68}"/>
    <cellStyle name="Normal 4 2 2 3 9" xfId="2500" xr:uid="{00000000-0005-0000-0000-00008F120000}"/>
    <cellStyle name="Normal 4 2 2 3 9 2" xfId="6785" xr:uid="{00000000-0005-0000-0000-000090120000}"/>
    <cellStyle name="Normal 4 2 2 3 9 2 2" xfId="15214" xr:uid="{F42A3C47-9C49-4E48-811B-03D2FAF0A469}"/>
    <cellStyle name="Normal 4 2 2 3 9 2 3" xfId="27847" xr:uid="{F85AAB35-4B1B-4DF4-97E7-16FD0B6B8656}"/>
    <cellStyle name="Normal 4 2 2 3 9 3" xfId="10996" xr:uid="{C8C1FE7E-F80C-403B-BD80-999042604261}"/>
    <cellStyle name="Normal 4 2 2 3 9 3 2" xfId="23636" xr:uid="{86880C32-C780-48BC-9341-4D16C57B8071}"/>
    <cellStyle name="Normal 4 2 2 3 9 4" xfId="19425" xr:uid="{60341AF1-2B42-4783-B46A-1ABDAAA9FAD2}"/>
    <cellStyle name="Normal 4 2 2 4" xfId="347" xr:uid="{00000000-0005-0000-0000-000091120000}"/>
    <cellStyle name="Normal 4 2 2 4 10" xfId="8939" xr:uid="{AA00FC41-23C4-4298-8829-2F471D8E5C7F}"/>
    <cellStyle name="Normal 4 2 2 4 10 2" xfId="21579" xr:uid="{91F632F8-89AB-4EBE-AAA6-C66AA4568A11}"/>
    <cellStyle name="Normal 4 2 2 4 11" xfId="17368" xr:uid="{B6F60EA8-D22B-484E-9C5E-0575A960ABF2}"/>
    <cellStyle name="Normal 4 2 2 4 2" xfId="348" xr:uid="{00000000-0005-0000-0000-000092120000}"/>
    <cellStyle name="Normal 4 2 2 4 2 10" xfId="17369" xr:uid="{1F9D9837-DBFC-45AC-B2BC-027B8E4B349E}"/>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62607FDD-2A44-4CD9-BCAA-4BEA078508F7}"/>
    <cellStyle name="Normal 4 2 2 4 2 2 2 2 2 3" xfId="28350" xr:uid="{7D09A2FA-9275-493D-BB75-E6B07A7793FB}"/>
    <cellStyle name="Normal 4 2 2 4 2 2 2 2 3" xfId="11499" xr:uid="{1D268712-7D4D-4C26-A4B4-980146BB559F}"/>
    <cellStyle name="Normal 4 2 2 4 2 2 2 2 3 2" xfId="24139" xr:uid="{475808DC-7DE1-4FEC-BFEA-A702E170A6EA}"/>
    <cellStyle name="Normal 4 2 2 4 2 2 2 2 4" xfId="19928" xr:uid="{E6BDE52C-62F6-470F-ADCA-E2ACC828F6D9}"/>
    <cellStyle name="Normal 4 2 2 4 2 2 2 3" xfId="5143" xr:uid="{00000000-0005-0000-0000-000097120000}"/>
    <cellStyle name="Normal 4 2 2 4 2 2 2 3 2" xfId="13572" xr:uid="{2C6C050C-9A85-4F4A-A0DF-5416980AA9F8}"/>
    <cellStyle name="Normal 4 2 2 4 2 2 2 3 3" xfId="26205" xr:uid="{EF775F67-6CBE-4F13-ADD3-7B997AF2874B}"/>
    <cellStyle name="Normal 4 2 2 4 2 2 2 4" xfId="9354" xr:uid="{A1706754-2A32-4A57-A633-7266A2DF9A4E}"/>
    <cellStyle name="Normal 4 2 2 4 2 2 2 4 2" xfId="21994" xr:uid="{9EFD4310-00D7-4441-9107-5F5FC2D1197B}"/>
    <cellStyle name="Normal 4 2 2 4 2 2 2 5" xfId="17783" xr:uid="{713E5B7D-EEAD-4CD1-B6FE-A78702B12F2E}"/>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5F5DB717-49AE-4EE7-B6C8-B1D888715540}"/>
    <cellStyle name="Normal 4 2 2 4 2 2 3 2 2 3" xfId="28763" xr:uid="{17689ED1-6570-432E-914D-8A1E93DD3CE1}"/>
    <cellStyle name="Normal 4 2 2 4 2 2 3 2 3" xfId="11912" xr:uid="{87036D17-C7AC-4F71-BFFB-23B740590FBC}"/>
    <cellStyle name="Normal 4 2 2 4 2 2 3 2 3 2" xfId="24552" xr:uid="{75F95717-AB30-4877-AAEC-A3AFE708A240}"/>
    <cellStyle name="Normal 4 2 2 4 2 2 3 2 4" xfId="20341" xr:uid="{5AA3A18E-8A56-4E42-BBC5-EE0D5EC58586}"/>
    <cellStyle name="Normal 4 2 2 4 2 2 3 3" xfId="5556" xr:uid="{00000000-0005-0000-0000-00009B120000}"/>
    <cellStyle name="Normal 4 2 2 4 2 2 3 3 2" xfId="13985" xr:uid="{72C4828A-A5D1-4657-9925-496FAF885CF1}"/>
    <cellStyle name="Normal 4 2 2 4 2 2 3 3 3" xfId="26618" xr:uid="{C6E31FF3-9514-4943-B45C-A42AA59063AD}"/>
    <cellStyle name="Normal 4 2 2 4 2 2 3 4" xfId="9767" xr:uid="{4E5E51A4-DBBE-438E-9223-3E4D5C20FC94}"/>
    <cellStyle name="Normal 4 2 2 4 2 2 3 4 2" xfId="22407" xr:uid="{DD10A063-8DA1-407E-810A-D87429340BFA}"/>
    <cellStyle name="Normal 4 2 2 4 2 2 3 5" xfId="18196" xr:uid="{5493F8DE-D695-4286-86EF-AE6FD2CE9AD1}"/>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DCF69611-4265-477F-B26F-A8A5F5EE6337}"/>
    <cellStyle name="Normal 4 2 2 4 2 2 4 2 2 3" xfId="29176" xr:uid="{74289AC8-E9EA-4721-B973-6347C51C2B7A}"/>
    <cellStyle name="Normal 4 2 2 4 2 2 4 2 3" xfId="12325" xr:uid="{FD8F9426-A149-4BE2-96E8-F612DC702B0A}"/>
    <cellStyle name="Normal 4 2 2 4 2 2 4 2 3 2" xfId="24965" xr:uid="{C79557CA-A98F-45FD-ACF1-A9C113CA96C9}"/>
    <cellStyle name="Normal 4 2 2 4 2 2 4 2 4" xfId="20754" xr:uid="{38A8990B-A66F-4094-BEE0-4087ECE6330F}"/>
    <cellStyle name="Normal 4 2 2 4 2 2 4 3" xfId="5969" xr:uid="{00000000-0005-0000-0000-00009F120000}"/>
    <cellStyle name="Normal 4 2 2 4 2 2 4 3 2" xfId="14398" xr:uid="{A04CA3BA-E514-4FF6-8C00-AB3A728CF16D}"/>
    <cellStyle name="Normal 4 2 2 4 2 2 4 3 3" xfId="27031" xr:uid="{CA428269-6413-4EF0-8E7F-99016798B9C9}"/>
    <cellStyle name="Normal 4 2 2 4 2 2 4 4" xfId="10180" xr:uid="{01A15451-931A-4B7E-AC69-7C2515437C87}"/>
    <cellStyle name="Normal 4 2 2 4 2 2 4 4 2" xfId="22820" xr:uid="{16F1078D-D7EE-448D-AA60-72A817638B71}"/>
    <cellStyle name="Normal 4 2 2 4 2 2 4 5" xfId="18609" xr:uid="{97131466-6F16-4E13-8ACA-B19F2D957AB5}"/>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FF5591D3-1E2C-4FB9-A3BE-6FC42F817F86}"/>
    <cellStyle name="Normal 4 2 2 4 2 2 5 2 2 3" xfId="29589" xr:uid="{0997153C-2F75-4353-9BDA-3E1A35B9B0B0}"/>
    <cellStyle name="Normal 4 2 2 4 2 2 5 2 3" xfId="12738" xr:uid="{4B556CD9-80EA-49FC-8BB8-CD7207A0E874}"/>
    <cellStyle name="Normal 4 2 2 4 2 2 5 2 3 2" xfId="25378" xr:uid="{B6EA19DE-CCCC-4128-BD28-C4E2BC06E306}"/>
    <cellStyle name="Normal 4 2 2 4 2 2 5 2 4" xfId="21167" xr:uid="{95F25736-F84B-4EEB-9439-552C18770CBE}"/>
    <cellStyle name="Normal 4 2 2 4 2 2 5 3" xfId="6382" xr:uid="{00000000-0005-0000-0000-0000A3120000}"/>
    <cellStyle name="Normal 4 2 2 4 2 2 5 3 2" xfId="14811" xr:uid="{1DC8E6C6-2710-486C-A84A-3D089CD641FB}"/>
    <cellStyle name="Normal 4 2 2 4 2 2 5 3 3" xfId="27444" xr:uid="{5AF2DE41-0981-4E17-94D3-AB4DABF0FA70}"/>
    <cellStyle name="Normal 4 2 2 4 2 2 5 4" xfId="10593" xr:uid="{94B2C149-B661-4B8A-BA44-ACAF6D1A55C0}"/>
    <cellStyle name="Normal 4 2 2 4 2 2 5 4 2" xfId="23233" xr:uid="{E8F0E54E-170E-431D-AB91-2425355A70DD}"/>
    <cellStyle name="Normal 4 2 2 4 2 2 5 5" xfId="19022" xr:uid="{4E151DAD-4C88-4F28-B7F1-8997685A40B1}"/>
    <cellStyle name="Normal 4 2 2 4 2 2 6" xfId="2510" xr:uid="{00000000-0005-0000-0000-0000A4120000}"/>
    <cellStyle name="Normal 4 2 2 4 2 2 6 2" xfId="6795" xr:uid="{00000000-0005-0000-0000-0000A5120000}"/>
    <cellStyle name="Normal 4 2 2 4 2 2 6 2 2" xfId="15224" xr:uid="{F3FC01CF-C37D-4C89-BDFE-E12EDBF1252B}"/>
    <cellStyle name="Normal 4 2 2 4 2 2 6 2 3" xfId="27857" xr:uid="{AD6F62A6-F6B0-4A36-B2B8-283252EB2A75}"/>
    <cellStyle name="Normal 4 2 2 4 2 2 6 3" xfId="11006" xr:uid="{825533FC-CA9B-4EBE-AF75-A518F087F06E}"/>
    <cellStyle name="Normal 4 2 2 4 2 2 6 3 2" xfId="23646" xr:uid="{05F6E6D1-4EDD-4A93-B6EC-D28A48CDFB9C}"/>
    <cellStyle name="Normal 4 2 2 4 2 2 6 4" xfId="19435" xr:uid="{FD1C277B-6FA5-4ECB-B80C-E34374E8A46C}"/>
    <cellStyle name="Normal 4 2 2 4 2 2 7" xfId="4730" xr:uid="{00000000-0005-0000-0000-0000A6120000}"/>
    <cellStyle name="Normal 4 2 2 4 2 2 7 2" xfId="13159" xr:uid="{342B18CE-A7D8-47D7-906F-D1D4192B70AA}"/>
    <cellStyle name="Normal 4 2 2 4 2 2 7 3" xfId="25792" xr:uid="{FFC06EFC-A674-4196-8C03-3FE20B095562}"/>
    <cellStyle name="Normal 4 2 2 4 2 2 8" xfId="8941" xr:uid="{2812FEA2-319F-4E17-9597-0906DECD629C}"/>
    <cellStyle name="Normal 4 2 2 4 2 2 8 2" xfId="21581" xr:uid="{8EC176D2-111D-4C8E-B616-1B3D962A8B95}"/>
    <cellStyle name="Normal 4 2 2 4 2 2 9" xfId="17370" xr:uid="{A2D433AC-BC3E-4F79-8B1A-5CD2EA6B5813}"/>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81CE9A83-FCC9-4EBB-B920-C4C119E7F248}"/>
    <cellStyle name="Normal 4 2 2 4 2 3 2 2 3" xfId="28349" xr:uid="{71686CE3-AD87-41C8-A829-53AE5777A151}"/>
    <cellStyle name="Normal 4 2 2 4 2 3 2 3" xfId="11498" xr:uid="{11A93E7D-2F3A-4DB8-9EB7-DE2783B3DC87}"/>
    <cellStyle name="Normal 4 2 2 4 2 3 2 3 2" xfId="24138" xr:uid="{A507C5FE-84A5-482C-816C-375E889A3CD2}"/>
    <cellStyle name="Normal 4 2 2 4 2 3 2 4" xfId="19927" xr:uid="{F27402C3-B104-4005-B4C1-9F4FAAD4E0A6}"/>
    <cellStyle name="Normal 4 2 2 4 2 3 3" xfId="5142" xr:uid="{00000000-0005-0000-0000-0000AA120000}"/>
    <cellStyle name="Normal 4 2 2 4 2 3 3 2" xfId="13571" xr:uid="{A286A4AE-4861-4C06-88F8-261CAC329CCA}"/>
    <cellStyle name="Normal 4 2 2 4 2 3 3 3" xfId="26204" xr:uid="{5BB053B1-B4DC-45BE-B8A1-3D226CE42C57}"/>
    <cellStyle name="Normal 4 2 2 4 2 3 4" xfId="9353" xr:uid="{8891366E-E94E-42FE-9AC8-50C5F32F4694}"/>
    <cellStyle name="Normal 4 2 2 4 2 3 4 2" xfId="21993" xr:uid="{62C9186A-8702-4548-9A99-D8C99B28D315}"/>
    <cellStyle name="Normal 4 2 2 4 2 3 5" xfId="17782" xr:uid="{F6A69056-3491-4C7C-8B33-E6C5C4C4D6E8}"/>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C15FA9C7-34AB-4F84-B900-7EA7B588A7EB}"/>
    <cellStyle name="Normal 4 2 2 4 2 4 2 2 3" xfId="28762" xr:uid="{37D80D66-28CA-44D9-8297-B7D7617C6161}"/>
    <cellStyle name="Normal 4 2 2 4 2 4 2 3" xfId="11911" xr:uid="{CC499679-8EB4-4A58-A8C6-C91CAEBD7074}"/>
    <cellStyle name="Normal 4 2 2 4 2 4 2 3 2" xfId="24551" xr:uid="{25EFB69D-AA42-419F-AA59-268CD5977680}"/>
    <cellStyle name="Normal 4 2 2 4 2 4 2 4" xfId="20340" xr:uid="{E3A109F9-8EC5-4ACB-B709-57E5A2E6E2ED}"/>
    <cellStyle name="Normal 4 2 2 4 2 4 3" xfId="5555" xr:uid="{00000000-0005-0000-0000-0000AE120000}"/>
    <cellStyle name="Normal 4 2 2 4 2 4 3 2" xfId="13984" xr:uid="{4201867F-4816-4715-B95A-4F11ABBA19DE}"/>
    <cellStyle name="Normal 4 2 2 4 2 4 3 3" xfId="26617" xr:uid="{D911C01F-0E96-424D-AB9D-C56A5C765A2A}"/>
    <cellStyle name="Normal 4 2 2 4 2 4 4" xfId="9766" xr:uid="{465F2905-219E-4CDE-92A5-353B07D84FCC}"/>
    <cellStyle name="Normal 4 2 2 4 2 4 4 2" xfId="22406" xr:uid="{6EE98FC3-135D-4A33-8D8C-84F4AF04ED81}"/>
    <cellStyle name="Normal 4 2 2 4 2 4 5" xfId="18195" xr:uid="{7AF61F8F-92B9-4989-9F35-6D532D76E906}"/>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38390D6A-6FBB-45E1-9A74-CBFB15129F9E}"/>
    <cellStyle name="Normal 4 2 2 4 2 5 2 2 3" xfId="29175" xr:uid="{CBDCE1D0-5AC9-4F30-BB22-876EC115A653}"/>
    <cellStyle name="Normal 4 2 2 4 2 5 2 3" xfId="12324" xr:uid="{FF75366B-5032-4149-A867-AEA9B4567183}"/>
    <cellStyle name="Normal 4 2 2 4 2 5 2 3 2" xfId="24964" xr:uid="{D49F5752-A01A-4D72-B1B5-1667B14FD3EF}"/>
    <cellStyle name="Normal 4 2 2 4 2 5 2 4" xfId="20753" xr:uid="{020C8E0F-99C9-430E-96D8-DF63A5A9ABFD}"/>
    <cellStyle name="Normal 4 2 2 4 2 5 3" xfId="5968" xr:uid="{00000000-0005-0000-0000-0000B2120000}"/>
    <cellStyle name="Normal 4 2 2 4 2 5 3 2" xfId="14397" xr:uid="{CCB16EF6-8EEB-4FF0-8E03-DAF8DAAAEF89}"/>
    <cellStyle name="Normal 4 2 2 4 2 5 3 3" xfId="27030" xr:uid="{3A6EF018-D01E-4792-ADC3-11E513593C18}"/>
    <cellStyle name="Normal 4 2 2 4 2 5 4" xfId="10179" xr:uid="{F0145D4A-FB50-4910-901B-80B99D402CC3}"/>
    <cellStyle name="Normal 4 2 2 4 2 5 4 2" xfId="22819" xr:uid="{9C23FC01-EFE6-47E6-97B2-EC2B3509A7DE}"/>
    <cellStyle name="Normal 4 2 2 4 2 5 5" xfId="18608" xr:uid="{E7B5459A-22F0-49D9-8592-D8D6EDD47629}"/>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2E3C841C-B5AE-4A3B-A086-5162F0D89949}"/>
    <cellStyle name="Normal 4 2 2 4 2 6 2 2 3" xfId="29588" xr:uid="{C7178F80-FF31-4CC7-A555-7D15D5CF9336}"/>
    <cellStyle name="Normal 4 2 2 4 2 6 2 3" xfId="12737" xr:uid="{63B02F2A-CA0B-4552-ABCC-6C279A083F7E}"/>
    <cellStyle name="Normal 4 2 2 4 2 6 2 3 2" xfId="25377" xr:uid="{9A6B6DB9-9A13-4DD5-8B9E-B1674A31455A}"/>
    <cellStyle name="Normal 4 2 2 4 2 6 2 4" xfId="21166" xr:uid="{F3E0E66A-0AAD-487E-BEEF-4B7783626B0F}"/>
    <cellStyle name="Normal 4 2 2 4 2 6 3" xfId="6381" xr:uid="{00000000-0005-0000-0000-0000B6120000}"/>
    <cellStyle name="Normal 4 2 2 4 2 6 3 2" xfId="14810" xr:uid="{0ED5B14E-F143-4801-9974-F6DF5CE42FD5}"/>
    <cellStyle name="Normal 4 2 2 4 2 6 3 3" xfId="27443" xr:uid="{2C876762-B251-434B-B9B3-A59ED7408A9C}"/>
    <cellStyle name="Normal 4 2 2 4 2 6 4" xfId="10592" xr:uid="{15018870-FDFD-4608-9BB8-4DC0471B71E8}"/>
    <cellStyle name="Normal 4 2 2 4 2 6 4 2" xfId="23232" xr:uid="{400119ED-FF46-4869-947B-F458D0C3163D}"/>
    <cellStyle name="Normal 4 2 2 4 2 6 5" xfId="19021" xr:uid="{2C60E9AA-ACEB-46BA-9A66-5729C1F1E585}"/>
    <cellStyle name="Normal 4 2 2 4 2 7" xfId="2509" xr:uid="{00000000-0005-0000-0000-0000B7120000}"/>
    <cellStyle name="Normal 4 2 2 4 2 7 2" xfId="6794" xr:uid="{00000000-0005-0000-0000-0000B8120000}"/>
    <cellStyle name="Normal 4 2 2 4 2 7 2 2" xfId="15223" xr:uid="{B957E308-C48B-41B5-9B84-97A4AA77D3BD}"/>
    <cellStyle name="Normal 4 2 2 4 2 7 2 3" xfId="27856" xr:uid="{61A29F07-FF3F-4CC2-8771-1C482A989511}"/>
    <cellStyle name="Normal 4 2 2 4 2 7 3" xfId="11005" xr:uid="{491F260E-87C1-4396-AD74-9EBAAD82375C}"/>
    <cellStyle name="Normal 4 2 2 4 2 7 3 2" xfId="23645" xr:uid="{80E63168-B4BF-4360-BF9C-463E543671D8}"/>
    <cellStyle name="Normal 4 2 2 4 2 7 4" xfId="19434" xr:uid="{21C0C3BF-B0F1-4597-9E90-2F27C54994F1}"/>
    <cellStyle name="Normal 4 2 2 4 2 8" xfId="4729" xr:uid="{00000000-0005-0000-0000-0000B9120000}"/>
    <cellStyle name="Normal 4 2 2 4 2 8 2" xfId="13158" xr:uid="{BE8633B1-1A57-4321-B5E3-1A6CF0BD1D7E}"/>
    <cellStyle name="Normal 4 2 2 4 2 8 3" xfId="25791" xr:uid="{769722A1-2FA2-4AEA-B540-A8D7CEAD0C17}"/>
    <cellStyle name="Normal 4 2 2 4 2 9" xfId="8940" xr:uid="{9AEB6AE7-3EFD-4B14-B02C-67A5E97768F6}"/>
    <cellStyle name="Normal 4 2 2 4 2 9 2" xfId="21580" xr:uid="{C3A24CAC-C15B-46A8-976F-EAC4BCD0509F}"/>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2EB3E8BC-FBD2-4CF2-9180-22F04DF72DF6}"/>
    <cellStyle name="Normal 4 2 2 4 3 2 2 2 3" xfId="28351" xr:uid="{D4DC8D1C-013B-4059-ABFE-9FB235B183C3}"/>
    <cellStyle name="Normal 4 2 2 4 3 2 2 3" xfId="11500" xr:uid="{04FE61C2-0625-4515-BC88-D5DFADDA77C7}"/>
    <cellStyle name="Normal 4 2 2 4 3 2 2 3 2" xfId="24140" xr:uid="{2A7AF682-2A92-4D6B-A224-A53CB5010B84}"/>
    <cellStyle name="Normal 4 2 2 4 3 2 2 4" xfId="19929" xr:uid="{3C1AE2EF-C77E-4751-9728-FCD12205B5EC}"/>
    <cellStyle name="Normal 4 2 2 4 3 2 3" xfId="5144" xr:uid="{00000000-0005-0000-0000-0000BE120000}"/>
    <cellStyle name="Normal 4 2 2 4 3 2 3 2" xfId="13573" xr:uid="{CE498DD2-71D2-4860-856F-22559E89C1EE}"/>
    <cellStyle name="Normal 4 2 2 4 3 2 3 3" xfId="26206" xr:uid="{EB2CD8AA-6FC4-4723-B4A7-7E2AF6316EA4}"/>
    <cellStyle name="Normal 4 2 2 4 3 2 4" xfId="9355" xr:uid="{AE4E7E33-92E3-4FB2-83A2-F14A56988686}"/>
    <cellStyle name="Normal 4 2 2 4 3 2 4 2" xfId="21995" xr:uid="{D57A41F5-21DD-4BA3-822E-4A956B54C3FE}"/>
    <cellStyle name="Normal 4 2 2 4 3 2 5" xfId="17784" xr:uid="{729278FC-8E50-4E20-816E-44FB978F5C0F}"/>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29755224-3A1E-46A3-BC2B-19B2BEA05348}"/>
    <cellStyle name="Normal 4 2 2 4 3 3 2 2 3" xfId="28764" xr:uid="{89C01AFE-C51C-4E93-932E-F927282E81F2}"/>
    <cellStyle name="Normal 4 2 2 4 3 3 2 3" xfId="11913" xr:uid="{D3955BAE-047E-489C-9B8A-44C079827B4C}"/>
    <cellStyle name="Normal 4 2 2 4 3 3 2 3 2" xfId="24553" xr:uid="{4685831F-B412-4FDB-B71B-7928781AEFAA}"/>
    <cellStyle name="Normal 4 2 2 4 3 3 2 4" xfId="20342" xr:uid="{F5D7C570-00A5-4AFD-9EBF-6B709E4A0B14}"/>
    <cellStyle name="Normal 4 2 2 4 3 3 3" xfId="5557" xr:uid="{00000000-0005-0000-0000-0000C2120000}"/>
    <cellStyle name="Normal 4 2 2 4 3 3 3 2" xfId="13986" xr:uid="{63EE11E2-C3F6-4025-A30A-2FC588D6151C}"/>
    <cellStyle name="Normal 4 2 2 4 3 3 3 3" xfId="26619" xr:uid="{95DB472B-E710-40F8-9F73-94B8516FDB09}"/>
    <cellStyle name="Normal 4 2 2 4 3 3 4" xfId="9768" xr:uid="{44A7A8A5-D369-4D71-BFA1-ECFD1F5A23AE}"/>
    <cellStyle name="Normal 4 2 2 4 3 3 4 2" xfId="22408" xr:uid="{A0EF4FEF-EE7D-4A8A-B6C7-0C21CE30AF40}"/>
    <cellStyle name="Normal 4 2 2 4 3 3 5" xfId="18197" xr:uid="{B0F07274-49CC-43A4-B676-851DBAC7C04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F80445BA-E98B-4945-BBAA-C1B8193B36C5}"/>
    <cellStyle name="Normal 4 2 2 4 3 4 2 2 3" xfId="29177" xr:uid="{E375AA8C-D2C6-4945-B46B-64E5F61C6E04}"/>
    <cellStyle name="Normal 4 2 2 4 3 4 2 3" xfId="12326" xr:uid="{760BB644-AA28-47D5-AE71-35C4C2995269}"/>
    <cellStyle name="Normal 4 2 2 4 3 4 2 3 2" xfId="24966" xr:uid="{ED88374F-4A47-44C6-8B1D-F1175D8F010A}"/>
    <cellStyle name="Normal 4 2 2 4 3 4 2 4" xfId="20755" xr:uid="{A1C01810-2EEF-41DC-86C5-51F84F1B29D3}"/>
    <cellStyle name="Normal 4 2 2 4 3 4 3" xfId="5970" xr:uid="{00000000-0005-0000-0000-0000C6120000}"/>
    <cellStyle name="Normal 4 2 2 4 3 4 3 2" xfId="14399" xr:uid="{FA54771F-4D1F-4941-8C91-7FE80A8ECDA6}"/>
    <cellStyle name="Normal 4 2 2 4 3 4 3 3" xfId="27032" xr:uid="{9F72082D-BCE4-4C4B-9B48-B28C49E404FF}"/>
    <cellStyle name="Normal 4 2 2 4 3 4 4" xfId="10181" xr:uid="{6E2201CD-D2F8-4552-81B8-EEDB81D99E51}"/>
    <cellStyle name="Normal 4 2 2 4 3 4 4 2" xfId="22821" xr:uid="{62FF6411-306D-4757-AA34-D74241A55846}"/>
    <cellStyle name="Normal 4 2 2 4 3 4 5" xfId="18610" xr:uid="{98291DF0-DB4D-4903-88D7-9C3292565801}"/>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9DDCC920-50BA-4083-AAD0-8497C87BEC85}"/>
    <cellStyle name="Normal 4 2 2 4 3 5 2 2 3" xfId="29590" xr:uid="{8F5FAEFD-97E6-41FC-A482-8B84AC831E80}"/>
    <cellStyle name="Normal 4 2 2 4 3 5 2 3" xfId="12739" xr:uid="{DDFABD24-A4EE-420C-BF4D-258E88A5D82D}"/>
    <cellStyle name="Normal 4 2 2 4 3 5 2 3 2" xfId="25379" xr:uid="{B94E4BED-D6B1-4A64-829F-E0220A669893}"/>
    <cellStyle name="Normal 4 2 2 4 3 5 2 4" xfId="21168" xr:uid="{48B0F7FE-C53C-4AAE-9144-8345423E9D21}"/>
    <cellStyle name="Normal 4 2 2 4 3 5 3" xfId="6383" xr:uid="{00000000-0005-0000-0000-0000CA120000}"/>
    <cellStyle name="Normal 4 2 2 4 3 5 3 2" xfId="14812" xr:uid="{9FC1DD68-A186-4ED4-9943-966D31D8BCA3}"/>
    <cellStyle name="Normal 4 2 2 4 3 5 3 3" xfId="27445" xr:uid="{70852438-7561-4F5A-988B-2EBDDE8C3764}"/>
    <cellStyle name="Normal 4 2 2 4 3 5 4" xfId="10594" xr:uid="{E528BF20-0015-4700-A563-1DD9E843D212}"/>
    <cellStyle name="Normal 4 2 2 4 3 5 4 2" xfId="23234" xr:uid="{9A71FD61-FA60-4EF3-B208-647DEF3D3438}"/>
    <cellStyle name="Normal 4 2 2 4 3 5 5" xfId="19023" xr:uid="{3DED0C14-AFA1-469B-AD4C-BB154BE0A97B}"/>
    <cellStyle name="Normal 4 2 2 4 3 6" xfId="2511" xr:uid="{00000000-0005-0000-0000-0000CB120000}"/>
    <cellStyle name="Normal 4 2 2 4 3 6 2" xfId="6796" xr:uid="{00000000-0005-0000-0000-0000CC120000}"/>
    <cellStyle name="Normal 4 2 2 4 3 6 2 2" xfId="15225" xr:uid="{62790468-6EDC-42F1-B0A7-BE876F44B485}"/>
    <cellStyle name="Normal 4 2 2 4 3 6 2 3" xfId="27858" xr:uid="{D269E047-DBA3-4F66-90EC-EF77CDF405BB}"/>
    <cellStyle name="Normal 4 2 2 4 3 6 3" xfId="11007" xr:uid="{FED31788-D92E-45B1-A897-39473AC56B12}"/>
    <cellStyle name="Normal 4 2 2 4 3 6 3 2" xfId="23647" xr:uid="{379CEE29-FCC2-4932-9572-0A50ED83CDA7}"/>
    <cellStyle name="Normal 4 2 2 4 3 6 4" xfId="19436" xr:uid="{9338C51F-D8E5-4163-9368-2F54110E5888}"/>
    <cellStyle name="Normal 4 2 2 4 3 7" xfId="4731" xr:uid="{00000000-0005-0000-0000-0000CD120000}"/>
    <cellStyle name="Normal 4 2 2 4 3 7 2" xfId="13160" xr:uid="{9390D3A6-B53C-4CC4-9A81-70D1446B373D}"/>
    <cellStyle name="Normal 4 2 2 4 3 7 3" xfId="25793" xr:uid="{BCAADCA6-81BF-4569-BC0F-ACC88D4E02A0}"/>
    <cellStyle name="Normal 4 2 2 4 3 8" xfId="8942" xr:uid="{6F321E79-9C27-4569-BB50-1EDF17B09FE6}"/>
    <cellStyle name="Normal 4 2 2 4 3 8 2" xfId="21582" xr:uid="{15A94C23-525D-4786-AEAA-96DE300D74C0}"/>
    <cellStyle name="Normal 4 2 2 4 3 9" xfId="17371" xr:uid="{83319EA1-C6BE-4B6B-868D-E478DF287EAA}"/>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18AE688B-0461-4189-B649-7DAC4F430EE4}"/>
    <cellStyle name="Normal 4 2 2 4 4 2 2 3" xfId="28348" xr:uid="{362F7879-3FA5-4CED-A1E6-F8971E0FECFD}"/>
    <cellStyle name="Normal 4 2 2 4 4 2 3" xfId="11497" xr:uid="{A027A58A-225A-4E5B-A751-B34478B87527}"/>
    <cellStyle name="Normal 4 2 2 4 4 2 3 2" xfId="24137" xr:uid="{179061E9-3EC0-4AB8-B809-4F67EB08BC09}"/>
    <cellStyle name="Normal 4 2 2 4 4 2 4" xfId="19926" xr:uid="{D995C9C9-C88D-4B60-A381-172D54B3B0CE}"/>
    <cellStyle name="Normal 4 2 2 4 4 3" xfId="5141" xr:uid="{00000000-0005-0000-0000-0000D1120000}"/>
    <cellStyle name="Normal 4 2 2 4 4 3 2" xfId="13570" xr:uid="{E626E2A6-2D83-4C6C-9947-0E333C4E677A}"/>
    <cellStyle name="Normal 4 2 2 4 4 3 3" xfId="26203" xr:uid="{46CFF326-BFC9-45F3-8B25-1A262447A12D}"/>
    <cellStyle name="Normal 4 2 2 4 4 4" xfId="9352" xr:uid="{D2425497-4FEF-4084-A094-142B5075B44C}"/>
    <cellStyle name="Normal 4 2 2 4 4 4 2" xfId="21992" xr:uid="{F6A68B4B-CBCA-41F7-A9A7-ED60DBF38D42}"/>
    <cellStyle name="Normal 4 2 2 4 4 5" xfId="17781" xr:uid="{F5F4625B-5AB2-4CC6-902B-0B2BDDE4EE9C}"/>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21A64908-2E49-4AB2-A52D-21F8D5B9C0D1}"/>
    <cellStyle name="Normal 4 2 2 4 5 2 2 3" xfId="28761" xr:uid="{D9EFF3FD-73AC-4FAF-AD88-842C23C056FC}"/>
    <cellStyle name="Normal 4 2 2 4 5 2 3" xfId="11910" xr:uid="{D37035AD-280B-4503-99A8-BE41279BBD04}"/>
    <cellStyle name="Normal 4 2 2 4 5 2 3 2" xfId="24550" xr:uid="{7937FA7B-8B64-4E2F-99C7-514D40429E5F}"/>
    <cellStyle name="Normal 4 2 2 4 5 2 4" xfId="20339" xr:uid="{E68D640D-8B74-43FB-BEEB-F625BABC30CD}"/>
    <cellStyle name="Normal 4 2 2 4 5 3" xfId="5554" xr:uid="{00000000-0005-0000-0000-0000D5120000}"/>
    <cellStyle name="Normal 4 2 2 4 5 3 2" xfId="13983" xr:uid="{2D52364A-F689-4AED-AE1C-D6FBDC0797BC}"/>
    <cellStyle name="Normal 4 2 2 4 5 3 3" xfId="26616" xr:uid="{ED9983C4-BF53-4653-AD98-0581DBC08B96}"/>
    <cellStyle name="Normal 4 2 2 4 5 4" xfId="9765" xr:uid="{05FEBBF8-1F85-486D-B0BE-16A7B5FEFE49}"/>
    <cellStyle name="Normal 4 2 2 4 5 4 2" xfId="22405" xr:uid="{326AADAC-7650-4117-BC5F-3AE59BBD24F9}"/>
    <cellStyle name="Normal 4 2 2 4 5 5" xfId="18194" xr:uid="{263B9244-D03C-4DA2-8296-2B08EA4A1669}"/>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2FE5F380-42CF-4994-8CC5-BEC5F7E0C10C}"/>
    <cellStyle name="Normal 4 2 2 4 6 2 2 3" xfId="29174" xr:uid="{65BA3C5C-C885-48F2-A6F1-B2D988CE4B82}"/>
    <cellStyle name="Normal 4 2 2 4 6 2 3" xfId="12323" xr:uid="{3D641EDB-7E66-47E9-83EF-2446B2A81770}"/>
    <cellStyle name="Normal 4 2 2 4 6 2 3 2" xfId="24963" xr:uid="{7BFC7E92-D213-4AEE-9C28-3F9C94C1D85E}"/>
    <cellStyle name="Normal 4 2 2 4 6 2 4" xfId="20752" xr:uid="{CE5B9272-67A4-45CE-B473-9F9B71A1649A}"/>
    <cellStyle name="Normal 4 2 2 4 6 3" xfId="5967" xr:uid="{00000000-0005-0000-0000-0000D9120000}"/>
    <cellStyle name="Normal 4 2 2 4 6 3 2" xfId="14396" xr:uid="{E8E932AC-C8EF-4756-9B16-FB055EFBAB65}"/>
    <cellStyle name="Normal 4 2 2 4 6 3 3" xfId="27029" xr:uid="{05CB6F29-A571-4F69-8B63-2EA0848829CF}"/>
    <cellStyle name="Normal 4 2 2 4 6 4" xfId="10178" xr:uid="{B1FFBB7A-D9E4-41BA-8AE4-52FBCBE786FA}"/>
    <cellStyle name="Normal 4 2 2 4 6 4 2" xfId="22818" xr:uid="{1D9777A2-2323-4DF6-8594-0E975D2939FE}"/>
    <cellStyle name="Normal 4 2 2 4 6 5" xfId="18607" xr:uid="{90D1B707-D0BF-4A8A-9CCC-49A84DA41266}"/>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3C44FD33-5A86-4E10-A8C5-5981B34445E7}"/>
    <cellStyle name="Normal 4 2 2 4 7 2 2 3" xfId="29587" xr:uid="{1D2B8789-A4B8-4953-A508-35423AE2AB8D}"/>
    <cellStyle name="Normal 4 2 2 4 7 2 3" xfId="12736" xr:uid="{CAA30C90-50F8-46F8-AFC7-B2CC9F8480DD}"/>
    <cellStyle name="Normal 4 2 2 4 7 2 3 2" xfId="25376" xr:uid="{46A6D595-33D5-45B4-AF95-D6746EE4702D}"/>
    <cellStyle name="Normal 4 2 2 4 7 2 4" xfId="21165" xr:uid="{36CFBA24-9761-44BE-AC39-DACA6B49E0C3}"/>
    <cellStyle name="Normal 4 2 2 4 7 3" xfId="6380" xr:uid="{00000000-0005-0000-0000-0000DD120000}"/>
    <cellStyle name="Normal 4 2 2 4 7 3 2" xfId="14809" xr:uid="{F7E6F5C9-2EC6-4CBD-9EF1-7B30C7994313}"/>
    <cellStyle name="Normal 4 2 2 4 7 3 3" xfId="27442" xr:uid="{54F96E2F-6C87-4FF3-9C81-37274CF6C8C8}"/>
    <cellStyle name="Normal 4 2 2 4 7 4" xfId="10591" xr:uid="{3990A11F-F558-4A3F-82CF-BC2884CB81F5}"/>
    <cellStyle name="Normal 4 2 2 4 7 4 2" xfId="23231" xr:uid="{FA781904-47D8-4095-B461-8E35263D8F1D}"/>
    <cellStyle name="Normal 4 2 2 4 7 5" xfId="19020" xr:uid="{245C3B06-878C-40F9-93F2-C1A6F852BE47}"/>
    <cellStyle name="Normal 4 2 2 4 8" xfId="2508" xr:uid="{00000000-0005-0000-0000-0000DE120000}"/>
    <cellStyle name="Normal 4 2 2 4 8 2" xfId="6793" xr:uid="{00000000-0005-0000-0000-0000DF120000}"/>
    <cellStyle name="Normal 4 2 2 4 8 2 2" xfId="15222" xr:uid="{6546743B-0122-41DE-B121-53435308FDEE}"/>
    <cellStyle name="Normal 4 2 2 4 8 2 3" xfId="27855" xr:uid="{D69FA301-D4D9-4096-88F2-317A22F7619D}"/>
    <cellStyle name="Normal 4 2 2 4 8 3" xfId="11004" xr:uid="{A3F60CEB-FA78-40D7-9B74-FB27A36F8F5D}"/>
    <cellStyle name="Normal 4 2 2 4 8 3 2" xfId="23644" xr:uid="{B2BD3C80-B875-4357-BCC9-B8A26BA5777E}"/>
    <cellStyle name="Normal 4 2 2 4 8 4" xfId="19433" xr:uid="{7EB0411B-1B23-474E-8896-42B34B3F34BB}"/>
    <cellStyle name="Normal 4 2 2 4 9" xfId="4728" xr:uid="{00000000-0005-0000-0000-0000E0120000}"/>
    <cellStyle name="Normal 4 2 2 4 9 2" xfId="13157" xr:uid="{6C7FA1C7-FAD8-476C-976F-D17F2D75BD3C}"/>
    <cellStyle name="Normal 4 2 2 4 9 3" xfId="25790" xr:uid="{9BC61E3E-512D-4043-927A-A73ED8A86A3D}"/>
    <cellStyle name="Normal 4 2 2 5" xfId="351" xr:uid="{00000000-0005-0000-0000-0000E1120000}"/>
    <cellStyle name="Normal 4 2 2 5 10" xfId="17372" xr:uid="{AD3EE5C2-7E2D-40A1-B50C-21D317BC19B3}"/>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3BFD9C84-AA41-46D4-96AD-662C03AD1C7A}"/>
    <cellStyle name="Normal 4 2 2 5 2 2 2 2 3" xfId="28353" xr:uid="{F438E041-68C2-44A6-9118-8533BC022E0B}"/>
    <cellStyle name="Normal 4 2 2 5 2 2 2 3" xfId="11502" xr:uid="{9177427B-BC17-4173-A0F4-ADCB3FAF8ACD}"/>
    <cellStyle name="Normal 4 2 2 5 2 2 2 3 2" xfId="24142" xr:uid="{C05F0C84-8ED6-4DA0-86F5-53EDB3FCB27A}"/>
    <cellStyle name="Normal 4 2 2 5 2 2 2 4" xfId="19931" xr:uid="{04467E36-AB1E-4A9D-884A-443ACCF854DD}"/>
    <cellStyle name="Normal 4 2 2 5 2 2 3" xfId="5146" xr:uid="{00000000-0005-0000-0000-0000E6120000}"/>
    <cellStyle name="Normal 4 2 2 5 2 2 3 2" xfId="13575" xr:uid="{1A2F8D31-2020-4BBC-9936-05C8A0ACA5DB}"/>
    <cellStyle name="Normal 4 2 2 5 2 2 3 3" xfId="26208" xr:uid="{A14D30B3-C460-406C-883D-67125D6D6E4A}"/>
    <cellStyle name="Normal 4 2 2 5 2 2 4" xfId="9357" xr:uid="{5C479878-2E8D-411F-8F61-DD914F8CEB6F}"/>
    <cellStyle name="Normal 4 2 2 5 2 2 4 2" xfId="21997" xr:uid="{D6083F6C-FC47-4956-9BBC-078916CE244C}"/>
    <cellStyle name="Normal 4 2 2 5 2 2 5" xfId="17786" xr:uid="{8ADFFB20-D175-4DFA-B059-DDB6C7B32DCD}"/>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54EB8CA1-CDB5-422B-92C8-FD7B362A2E72}"/>
    <cellStyle name="Normal 4 2 2 5 2 3 2 2 3" xfId="28766" xr:uid="{9BFFC07A-EA58-447C-A6D4-CF6F7F438744}"/>
    <cellStyle name="Normal 4 2 2 5 2 3 2 3" xfId="11915" xr:uid="{96EC7FDA-0E1D-4F27-99B4-B453BEC8312A}"/>
    <cellStyle name="Normal 4 2 2 5 2 3 2 3 2" xfId="24555" xr:uid="{BFE5B706-5BB8-4D6A-9EC6-0AD257D779FC}"/>
    <cellStyle name="Normal 4 2 2 5 2 3 2 4" xfId="20344" xr:uid="{0046EF70-59A6-4DE1-8DC1-C9921F1B1480}"/>
    <cellStyle name="Normal 4 2 2 5 2 3 3" xfId="5559" xr:uid="{00000000-0005-0000-0000-0000EA120000}"/>
    <cellStyle name="Normal 4 2 2 5 2 3 3 2" xfId="13988" xr:uid="{86C4983E-E45A-48FC-8C1B-7EE76B56CACB}"/>
    <cellStyle name="Normal 4 2 2 5 2 3 3 3" xfId="26621" xr:uid="{66AAE3F8-0812-4964-B3B5-010817DB569C}"/>
    <cellStyle name="Normal 4 2 2 5 2 3 4" xfId="9770" xr:uid="{2E45466C-B747-4F96-8AEB-82E970635909}"/>
    <cellStyle name="Normal 4 2 2 5 2 3 4 2" xfId="22410" xr:uid="{AB5253D3-F66F-4F5F-A288-5B05040C619B}"/>
    <cellStyle name="Normal 4 2 2 5 2 3 5" xfId="18199" xr:uid="{6141429B-269F-43E0-BCB7-CA7E2080503A}"/>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77B49D7A-15EC-4AD7-8554-BAD4BC9C89AA}"/>
    <cellStyle name="Normal 4 2 2 5 2 4 2 2 3" xfId="29179" xr:uid="{FBA57B45-EF2B-4CD1-94BD-671BFFB198D6}"/>
    <cellStyle name="Normal 4 2 2 5 2 4 2 3" xfId="12328" xr:uid="{CA92F8BB-CBE8-4EBD-9FAE-E16DC3A5918F}"/>
    <cellStyle name="Normal 4 2 2 5 2 4 2 3 2" xfId="24968" xr:uid="{35B4AB52-21E8-4F0E-9729-CC5A6D39813F}"/>
    <cellStyle name="Normal 4 2 2 5 2 4 2 4" xfId="20757" xr:uid="{E10CF6ED-FAE7-4AD3-A931-4A92BF5711BB}"/>
    <cellStyle name="Normal 4 2 2 5 2 4 3" xfId="5972" xr:uid="{00000000-0005-0000-0000-0000EE120000}"/>
    <cellStyle name="Normal 4 2 2 5 2 4 3 2" xfId="14401" xr:uid="{C985999C-543D-4EE0-B000-A22D4B07AECF}"/>
    <cellStyle name="Normal 4 2 2 5 2 4 3 3" xfId="27034" xr:uid="{85C0E394-178F-4326-B97A-5E18B6438156}"/>
    <cellStyle name="Normal 4 2 2 5 2 4 4" xfId="10183" xr:uid="{E87A2F4D-1DA6-4A10-9815-57A2CFFBDDCE}"/>
    <cellStyle name="Normal 4 2 2 5 2 4 4 2" xfId="22823" xr:uid="{0AB23EFA-5DA9-4737-AE85-45D2736CB50B}"/>
    <cellStyle name="Normal 4 2 2 5 2 4 5" xfId="18612" xr:uid="{D8232D7B-F8EC-4017-B568-1C6E99F71EF9}"/>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CBF3E936-EEBB-4A5A-95E7-87B0D23CB6DF}"/>
    <cellStyle name="Normal 4 2 2 5 2 5 2 2 3" xfId="29592" xr:uid="{A2FB7173-1A2B-4BF9-8D88-94D039974C40}"/>
    <cellStyle name="Normal 4 2 2 5 2 5 2 3" xfId="12741" xr:uid="{DC8D4097-24DA-48F7-AC79-174DB8BDC76C}"/>
    <cellStyle name="Normal 4 2 2 5 2 5 2 3 2" xfId="25381" xr:uid="{F9192B55-7FC1-412B-8ED7-24734D600A90}"/>
    <cellStyle name="Normal 4 2 2 5 2 5 2 4" xfId="21170" xr:uid="{384E9A40-C992-4C89-997A-B70FBB64EF18}"/>
    <cellStyle name="Normal 4 2 2 5 2 5 3" xfId="6385" xr:uid="{00000000-0005-0000-0000-0000F2120000}"/>
    <cellStyle name="Normal 4 2 2 5 2 5 3 2" xfId="14814" xr:uid="{D67D2A0D-5500-49A6-BB8A-36F2A18B3C9A}"/>
    <cellStyle name="Normal 4 2 2 5 2 5 3 3" xfId="27447" xr:uid="{4DD6517A-D548-4D68-ADE8-1AF3934986FE}"/>
    <cellStyle name="Normal 4 2 2 5 2 5 4" xfId="10596" xr:uid="{AE06AD96-F971-429F-A367-04F0829B7E94}"/>
    <cellStyle name="Normal 4 2 2 5 2 5 4 2" xfId="23236" xr:uid="{3FB3DF93-B0F1-4EF7-9CB5-544FC3DBBFF5}"/>
    <cellStyle name="Normal 4 2 2 5 2 5 5" xfId="19025" xr:uid="{6EB72912-E958-407A-A6A7-4CB7B02BEBAA}"/>
    <cellStyle name="Normal 4 2 2 5 2 6" xfId="2513" xr:uid="{00000000-0005-0000-0000-0000F3120000}"/>
    <cellStyle name="Normal 4 2 2 5 2 6 2" xfId="6798" xr:uid="{00000000-0005-0000-0000-0000F4120000}"/>
    <cellStyle name="Normal 4 2 2 5 2 6 2 2" xfId="15227" xr:uid="{802D692F-3C28-4ACD-A900-C505ECD3643A}"/>
    <cellStyle name="Normal 4 2 2 5 2 6 2 3" xfId="27860" xr:uid="{32D1D38E-FC87-4241-8D86-12C4E52A7950}"/>
    <cellStyle name="Normal 4 2 2 5 2 6 3" xfId="11009" xr:uid="{5871DABA-4490-451C-BF02-A81394714541}"/>
    <cellStyle name="Normal 4 2 2 5 2 6 3 2" xfId="23649" xr:uid="{24160903-30B1-4E25-8C0B-22209C6BE8D9}"/>
    <cellStyle name="Normal 4 2 2 5 2 6 4" xfId="19438" xr:uid="{A3142A59-73CE-4A44-95B6-222DFDA10AF3}"/>
    <cellStyle name="Normal 4 2 2 5 2 7" xfId="4733" xr:uid="{00000000-0005-0000-0000-0000F5120000}"/>
    <cellStyle name="Normal 4 2 2 5 2 7 2" xfId="13162" xr:uid="{8B85AF04-1F97-4D7A-9EC3-955D8C874C0F}"/>
    <cellStyle name="Normal 4 2 2 5 2 7 3" xfId="25795" xr:uid="{CF250562-6CC4-476B-ACAF-B1AD3BDB12B0}"/>
    <cellStyle name="Normal 4 2 2 5 2 8" xfId="8944" xr:uid="{56AB1DB0-E6E0-43EA-BBF1-056801C05F22}"/>
    <cellStyle name="Normal 4 2 2 5 2 8 2" xfId="21584" xr:uid="{12454B25-F3F5-4E4A-850F-531673DF6C0B}"/>
    <cellStyle name="Normal 4 2 2 5 2 9" xfId="17373" xr:uid="{E231C06C-F0E0-4750-B4C9-51DFE5C621C2}"/>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494FB820-F601-48C8-909F-5958103EA121}"/>
    <cellStyle name="Normal 4 2 2 5 3 2 2 3" xfId="28352" xr:uid="{37F4846C-9638-4D60-ACAF-11EF8822539B}"/>
    <cellStyle name="Normal 4 2 2 5 3 2 3" xfId="11501" xr:uid="{F1239212-8368-4EAE-831D-7335272D881F}"/>
    <cellStyle name="Normal 4 2 2 5 3 2 3 2" xfId="24141" xr:uid="{B2E5A8EF-F91E-48D7-85D6-717477DFE4D8}"/>
    <cellStyle name="Normal 4 2 2 5 3 2 4" xfId="19930" xr:uid="{3CC7BFAA-7B9F-4CFC-9476-93B50C2B1F27}"/>
    <cellStyle name="Normal 4 2 2 5 3 3" xfId="5145" xr:uid="{00000000-0005-0000-0000-0000F9120000}"/>
    <cellStyle name="Normal 4 2 2 5 3 3 2" xfId="13574" xr:uid="{8C3E4A6B-7A8E-474E-95CF-5A6BD85A6B64}"/>
    <cellStyle name="Normal 4 2 2 5 3 3 3" xfId="26207" xr:uid="{F2AEC9A1-5885-4BB8-A0F0-470A7D1C5150}"/>
    <cellStyle name="Normal 4 2 2 5 3 4" xfId="9356" xr:uid="{69796142-9621-4EB5-A237-84BF414BB45A}"/>
    <cellStyle name="Normal 4 2 2 5 3 4 2" xfId="21996" xr:uid="{83BC301B-B936-4202-B5CD-695F4ECFA1C1}"/>
    <cellStyle name="Normal 4 2 2 5 3 5" xfId="17785" xr:uid="{C5E695D3-BA75-4E31-BFF3-CF972C729B7C}"/>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4333C949-AE9A-4B8A-9A6E-38E5D2C3C817}"/>
    <cellStyle name="Normal 4 2 2 5 4 2 2 3" xfId="28765" xr:uid="{A09D542E-4B07-45F3-8E18-C78177F1EC1B}"/>
    <cellStyle name="Normal 4 2 2 5 4 2 3" xfId="11914" xr:uid="{BB20D4A6-D8B3-48A7-A33F-E4BF8C7FC33F}"/>
    <cellStyle name="Normal 4 2 2 5 4 2 3 2" xfId="24554" xr:uid="{AE1BD5A0-D46F-432C-81DF-D495F33A3688}"/>
    <cellStyle name="Normal 4 2 2 5 4 2 4" xfId="20343" xr:uid="{749FD3CC-CE97-455A-9AFA-009089C9E8EC}"/>
    <cellStyle name="Normal 4 2 2 5 4 3" xfId="5558" xr:uid="{00000000-0005-0000-0000-0000FD120000}"/>
    <cellStyle name="Normal 4 2 2 5 4 3 2" xfId="13987" xr:uid="{ACC240A2-F841-4FAC-9B15-9D6EA4222710}"/>
    <cellStyle name="Normal 4 2 2 5 4 3 3" xfId="26620" xr:uid="{EB6E556C-6A43-4066-9301-2A36A3D29FAC}"/>
    <cellStyle name="Normal 4 2 2 5 4 4" xfId="9769" xr:uid="{E6BD712A-5657-4C47-9977-44C0D51862FC}"/>
    <cellStyle name="Normal 4 2 2 5 4 4 2" xfId="22409" xr:uid="{2A4953CD-BDBE-4EF7-8203-99CF77E9C8CF}"/>
    <cellStyle name="Normal 4 2 2 5 4 5" xfId="18198" xr:uid="{D1413280-FDA6-40B0-BBE2-A9DE4A5E9020}"/>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1CDF0339-544F-41DD-96DC-DEFC7C7EFA3B}"/>
    <cellStyle name="Normal 4 2 2 5 5 2 2 3" xfId="29178" xr:uid="{1D6C71C4-37BA-4BE5-AEA6-615E6349775D}"/>
    <cellStyle name="Normal 4 2 2 5 5 2 3" xfId="12327" xr:uid="{58B66CED-A326-4663-BED6-F9A72703B46D}"/>
    <cellStyle name="Normal 4 2 2 5 5 2 3 2" xfId="24967" xr:uid="{29A57646-8C6B-4D09-A2FB-49560FA27976}"/>
    <cellStyle name="Normal 4 2 2 5 5 2 4" xfId="20756" xr:uid="{B21B0D19-1CC5-455D-9329-7FA10B6CD600}"/>
    <cellStyle name="Normal 4 2 2 5 5 3" xfId="5971" xr:uid="{00000000-0005-0000-0000-000001130000}"/>
    <cellStyle name="Normal 4 2 2 5 5 3 2" xfId="14400" xr:uid="{7E67742A-39E2-43A3-B239-42F0240EE4BD}"/>
    <cellStyle name="Normal 4 2 2 5 5 3 3" xfId="27033" xr:uid="{B49D655B-F6C1-45C5-A1D3-CE77BE88387B}"/>
    <cellStyle name="Normal 4 2 2 5 5 4" xfId="10182" xr:uid="{7C0AA2EA-CE6B-4850-89A4-6D1AEC7BEF4B}"/>
    <cellStyle name="Normal 4 2 2 5 5 4 2" xfId="22822" xr:uid="{33115593-F2A2-404A-9D6D-FEDC63E98E10}"/>
    <cellStyle name="Normal 4 2 2 5 5 5" xfId="18611" xr:uid="{6BAD0FCA-8E8F-4E42-A73D-CF34F2AC91B7}"/>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7D933B1E-2C8A-4CCB-B9A7-D320E9A964AE}"/>
    <cellStyle name="Normal 4 2 2 5 6 2 2 3" xfId="29591" xr:uid="{B1DE8A18-B0D8-44DC-9671-5B4A6A52B9D0}"/>
    <cellStyle name="Normal 4 2 2 5 6 2 3" xfId="12740" xr:uid="{D871B048-CA55-41C4-9C15-9CAADFEEF76E}"/>
    <cellStyle name="Normal 4 2 2 5 6 2 3 2" xfId="25380" xr:uid="{2157E3AD-748D-4A06-B345-3C483BD45B59}"/>
    <cellStyle name="Normal 4 2 2 5 6 2 4" xfId="21169" xr:uid="{ABFD7E07-A4BA-4D58-9940-8A415354531E}"/>
    <cellStyle name="Normal 4 2 2 5 6 3" xfId="6384" xr:uid="{00000000-0005-0000-0000-000005130000}"/>
    <cellStyle name="Normal 4 2 2 5 6 3 2" xfId="14813" xr:uid="{CF9CD2DD-D50B-406A-9E58-A049D5E60601}"/>
    <cellStyle name="Normal 4 2 2 5 6 3 3" xfId="27446" xr:uid="{D066571A-B1C0-40A8-B22A-FACC9A240D93}"/>
    <cellStyle name="Normal 4 2 2 5 6 4" xfId="10595" xr:uid="{9F42F941-0B7B-459C-B923-4C9605AC5CDA}"/>
    <cellStyle name="Normal 4 2 2 5 6 4 2" xfId="23235" xr:uid="{1978E160-863E-45BD-8104-EACE9FF3DED9}"/>
    <cellStyle name="Normal 4 2 2 5 6 5" xfId="19024" xr:uid="{434CC7FA-7D8D-4EA3-B981-543906559343}"/>
    <cellStyle name="Normal 4 2 2 5 7" xfId="2512" xr:uid="{00000000-0005-0000-0000-000006130000}"/>
    <cellStyle name="Normal 4 2 2 5 7 2" xfId="6797" xr:uid="{00000000-0005-0000-0000-000007130000}"/>
    <cellStyle name="Normal 4 2 2 5 7 2 2" xfId="15226" xr:uid="{D4E8AF09-5B4B-43C0-8BE1-E7674A5E6453}"/>
    <cellStyle name="Normal 4 2 2 5 7 2 3" xfId="27859" xr:uid="{A57AB9D9-23C0-495F-82B6-FF166DE6DFB1}"/>
    <cellStyle name="Normal 4 2 2 5 7 3" xfId="11008" xr:uid="{B058E0B6-9990-43D2-8D4A-76F3751D3D8A}"/>
    <cellStyle name="Normal 4 2 2 5 7 3 2" xfId="23648" xr:uid="{3E66177D-992C-47B0-B625-28B14762D324}"/>
    <cellStyle name="Normal 4 2 2 5 7 4" xfId="19437" xr:uid="{70827E8B-F152-4703-BFC3-420CE595A17B}"/>
    <cellStyle name="Normal 4 2 2 5 8" xfId="4732" xr:uid="{00000000-0005-0000-0000-000008130000}"/>
    <cellStyle name="Normal 4 2 2 5 8 2" xfId="13161" xr:uid="{78E655EC-CE01-4EF8-9AC3-DB7BDA765B65}"/>
    <cellStyle name="Normal 4 2 2 5 8 3" xfId="25794" xr:uid="{A13E6307-5103-45EE-90DE-99084FA59ED0}"/>
    <cellStyle name="Normal 4 2 2 5 9" xfId="8943" xr:uid="{ACFB791D-EE26-46ED-8723-ACD95FC2AC0E}"/>
    <cellStyle name="Normal 4 2 2 5 9 2" xfId="21583" xr:uid="{2EE54F5F-C46B-42BA-A162-18C0CF913895}"/>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D2ABADFF-92B7-41B3-AAA9-744B6F45BB13}"/>
    <cellStyle name="Normal 4 2 2 6 2 2 2 3" xfId="28354" xr:uid="{1544243D-D6BD-4429-9062-9A8E3008BEFD}"/>
    <cellStyle name="Normal 4 2 2 6 2 2 3" xfId="11503" xr:uid="{CE6AE668-2D21-4D52-90F7-C269C89E36A1}"/>
    <cellStyle name="Normal 4 2 2 6 2 2 3 2" xfId="24143" xr:uid="{4031D4D8-B867-4D6A-9DAB-ED5BF12AFB2D}"/>
    <cellStyle name="Normal 4 2 2 6 2 2 4" xfId="19932" xr:uid="{9DBEA7CA-EB63-4A37-A615-2117D4F07032}"/>
    <cellStyle name="Normal 4 2 2 6 2 3" xfId="5147" xr:uid="{00000000-0005-0000-0000-00000D130000}"/>
    <cellStyle name="Normal 4 2 2 6 2 3 2" xfId="13576" xr:uid="{ADD4727F-9EDB-427F-A5C7-1230AFE4F3FF}"/>
    <cellStyle name="Normal 4 2 2 6 2 3 3" xfId="26209" xr:uid="{85F0BCF2-C08A-4FCA-973D-D229A13B9FFD}"/>
    <cellStyle name="Normal 4 2 2 6 2 4" xfId="9358" xr:uid="{70A91033-2093-441D-B261-80476A78AF66}"/>
    <cellStyle name="Normal 4 2 2 6 2 4 2" xfId="21998" xr:uid="{2B42E070-4CFF-4B51-AD49-0324AAA64F3F}"/>
    <cellStyle name="Normal 4 2 2 6 2 5" xfId="17787" xr:uid="{30587D7B-8C9C-4A51-A5AF-765EA6FDF30D}"/>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A70AA994-3242-485D-B589-300EEB76B210}"/>
    <cellStyle name="Normal 4 2 2 6 3 2 2 3" xfId="28767" xr:uid="{35718E9E-111F-46C6-A067-A2AB88CB4FD9}"/>
    <cellStyle name="Normal 4 2 2 6 3 2 3" xfId="11916" xr:uid="{167F36A5-6634-4EA2-B430-6653D67025AA}"/>
    <cellStyle name="Normal 4 2 2 6 3 2 3 2" xfId="24556" xr:uid="{D0E1DDD2-2049-4753-9FB2-3032195FB7C2}"/>
    <cellStyle name="Normal 4 2 2 6 3 2 4" xfId="20345" xr:uid="{47E03917-1CCA-4D8B-8926-83010B30D314}"/>
    <cellStyle name="Normal 4 2 2 6 3 3" xfId="5560" xr:uid="{00000000-0005-0000-0000-000011130000}"/>
    <cellStyle name="Normal 4 2 2 6 3 3 2" xfId="13989" xr:uid="{F2F84C62-64C9-424B-AAAC-B45BEEB9311B}"/>
    <cellStyle name="Normal 4 2 2 6 3 3 3" xfId="26622" xr:uid="{A77BE673-2F8E-4BDC-B9AC-9D647DD516EB}"/>
    <cellStyle name="Normal 4 2 2 6 3 4" xfId="9771" xr:uid="{256B2528-F77A-40A2-B470-F29348D6CCAB}"/>
    <cellStyle name="Normal 4 2 2 6 3 4 2" xfId="22411" xr:uid="{36682158-A443-41CD-BEF6-E6073298EA4F}"/>
    <cellStyle name="Normal 4 2 2 6 3 5" xfId="18200" xr:uid="{A4568AF9-98D8-4EA5-83B6-003A1CE20354}"/>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FE68E017-4326-49C0-ADD5-EF84C76BCD92}"/>
    <cellStyle name="Normal 4 2 2 6 4 2 2 3" xfId="29180" xr:uid="{EC21BF8D-05E0-4638-9F7F-D5D03F4BAE03}"/>
    <cellStyle name="Normal 4 2 2 6 4 2 3" xfId="12329" xr:uid="{36B9DE29-F4B3-443E-BC63-F6D4BD420BBD}"/>
    <cellStyle name="Normal 4 2 2 6 4 2 3 2" xfId="24969" xr:uid="{FC21F6B8-EAA3-4634-9F46-9EFA2EF904A1}"/>
    <cellStyle name="Normal 4 2 2 6 4 2 4" xfId="20758" xr:uid="{25CA3767-C759-4A03-A72C-55E287F2DDE1}"/>
    <cellStyle name="Normal 4 2 2 6 4 3" xfId="5973" xr:uid="{00000000-0005-0000-0000-000015130000}"/>
    <cellStyle name="Normal 4 2 2 6 4 3 2" xfId="14402" xr:uid="{AFF28C01-2D1F-4D88-9115-737A5DBDD0FB}"/>
    <cellStyle name="Normal 4 2 2 6 4 3 3" xfId="27035" xr:uid="{D7FC805D-383B-4488-BA85-9818AC1A0C82}"/>
    <cellStyle name="Normal 4 2 2 6 4 4" xfId="10184" xr:uid="{A12A2CD8-19EE-46EA-A484-7D6AC6C00700}"/>
    <cellStyle name="Normal 4 2 2 6 4 4 2" xfId="22824" xr:uid="{7B603EE3-78C8-4AAA-A9AC-0422CC7760E0}"/>
    <cellStyle name="Normal 4 2 2 6 4 5" xfId="18613" xr:uid="{93D15CF7-730E-424D-B39C-732BCE8192AF}"/>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3627382B-9659-4AC3-AD1B-097B66F122F8}"/>
    <cellStyle name="Normal 4 2 2 6 5 2 2 3" xfId="29593" xr:uid="{2262A9D9-D7F9-402E-89A5-6F35D6E57E89}"/>
    <cellStyle name="Normal 4 2 2 6 5 2 3" xfId="12742" xr:uid="{40DA43A1-5E6A-476A-BFFB-ED8A738E9E38}"/>
    <cellStyle name="Normal 4 2 2 6 5 2 3 2" xfId="25382" xr:uid="{94D0FE0E-3885-4B03-A3A1-0CF27C4865D0}"/>
    <cellStyle name="Normal 4 2 2 6 5 2 4" xfId="21171" xr:uid="{0ABF828B-4691-48F8-A803-ADE40619A2D5}"/>
    <cellStyle name="Normal 4 2 2 6 5 3" xfId="6386" xr:uid="{00000000-0005-0000-0000-000019130000}"/>
    <cellStyle name="Normal 4 2 2 6 5 3 2" xfId="14815" xr:uid="{F368036B-D9AD-45C0-8D07-D5B8523A0E30}"/>
    <cellStyle name="Normal 4 2 2 6 5 3 3" xfId="27448" xr:uid="{6742F3B4-9B69-4D1A-8918-B06702FA9500}"/>
    <cellStyle name="Normal 4 2 2 6 5 4" xfId="10597" xr:uid="{CF5A9852-5B0B-463F-8F47-C71D4D764A9F}"/>
    <cellStyle name="Normal 4 2 2 6 5 4 2" xfId="23237" xr:uid="{B4D8CFC3-9E37-4F81-B635-47CFD62D8DCE}"/>
    <cellStyle name="Normal 4 2 2 6 5 5" xfId="19026" xr:uid="{2B13197A-3E59-4790-A910-ACB51A3661DC}"/>
    <cellStyle name="Normal 4 2 2 6 6" xfId="2514" xr:uid="{00000000-0005-0000-0000-00001A130000}"/>
    <cellStyle name="Normal 4 2 2 6 6 2" xfId="6799" xr:uid="{00000000-0005-0000-0000-00001B130000}"/>
    <cellStyle name="Normal 4 2 2 6 6 2 2" xfId="15228" xr:uid="{15E2609B-913F-4529-B038-BE657060706F}"/>
    <cellStyle name="Normal 4 2 2 6 6 2 3" xfId="27861" xr:uid="{C3FDF648-1CF9-416D-A574-6BDCB4BE2734}"/>
    <cellStyle name="Normal 4 2 2 6 6 3" xfId="11010" xr:uid="{24243DDB-D798-41A6-9C9F-2830B922B7F1}"/>
    <cellStyle name="Normal 4 2 2 6 6 3 2" xfId="23650" xr:uid="{5A7FF555-85B2-4A69-BEFE-0529234DD489}"/>
    <cellStyle name="Normal 4 2 2 6 6 4" xfId="19439" xr:uid="{0E98DE35-9625-467D-B078-8F72268E8643}"/>
    <cellStyle name="Normal 4 2 2 6 7" xfId="4734" xr:uid="{00000000-0005-0000-0000-00001C130000}"/>
    <cellStyle name="Normal 4 2 2 6 7 2" xfId="13163" xr:uid="{129D2FB3-4CD1-40FF-9309-E14471BBDD4B}"/>
    <cellStyle name="Normal 4 2 2 6 7 3" xfId="25796" xr:uid="{8287D20B-C3E9-4F5C-A958-C22C9A90F377}"/>
    <cellStyle name="Normal 4 2 2 6 8" xfId="8945" xr:uid="{D76F9596-FDAA-48F0-A2DE-DEBF52F06511}"/>
    <cellStyle name="Normal 4 2 2 6 8 2" xfId="21585" xr:uid="{638625A0-257E-4746-89AD-AA4B444C58E1}"/>
    <cellStyle name="Normal 4 2 2 6 9" xfId="17374" xr:uid="{CD3CF6AD-2538-4291-8ED6-17393A6AB40A}"/>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153801DD-4290-4CE1-A919-AE1F69A6D630}"/>
    <cellStyle name="Normal 4 2 2 7 2 2 3" xfId="28339" xr:uid="{3A69029E-68F3-488C-BE90-14B1B6FE27E9}"/>
    <cellStyle name="Normal 4 2 2 7 2 3" xfId="11488" xr:uid="{CE3199F3-1621-428D-88C8-5E1A4825C85E}"/>
    <cellStyle name="Normal 4 2 2 7 2 3 2" xfId="24128" xr:uid="{6EC49C4E-62D6-4D83-9439-3370A2378F68}"/>
    <cellStyle name="Normal 4 2 2 7 2 4" xfId="19917" xr:uid="{B0CA91F2-0B33-4577-8119-4F4F887C3008}"/>
    <cellStyle name="Normal 4 2 2 7 3" xfId="5132" xr:uid="{00000000-0005-0000-0000-000020130000}"/>
    <cellStyle name="Normal 4 2 2 7 3 2" xfId="13561" xr:uid="{E17290D3-A7B2-460D-97BC-C94B1DAACEDB}"/>
    <cellStyle name="Normal 4 2 2 7 3 3" xfId="26194" xr:uid="{7648C66C-D255-4D03-A17C-D4A6AC879F89}"/>
    <cellStyle name="Normal 4 2 2 7 4" xfId="9343" xr:uid="{EE48BD09-0920-4D45-8919-F86F9F8B394A}"/>
    <cellStyle name="Normal 4 2 2 7 4 2" xfId="21983" xr:uid="{526C8AD5-C76E-4E79-A868-FE433D73CB28}"/>
    <cellStyle name="Normal 4 2 2 7 5" xfId="17772" xr:uid="{0F2623A9-4479-4258-8DFA-B907E91A4233}"/>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46345182-7466-47D8-8EF8-97E13A557E1C}"/>
    <cellStyle name="Normal 4 2 2 8 2 2 3" xfId="28752" xr:uid="{B2C0B549-DE5D-4C40-9F5E-1C26114E0E4F}"/>
    <cellStyle name="Normal 4 2 2 8 2 3" xfId="11901" xr:uid="{0A0B12C8-DEED-45CD-8F89-ACCF998EFC89}"/>
    <cellStyle name="Normal 4 2 2 8 2 3 2" xfId="24541" xr:uid="{95D639D5-E679-4072-AD3A-855780D0C4A3}"/>
    <cellStyle name="Normal 4 2 2 8 2 4" xfId="20330" xr:uid="{66C56874-28E2-47A4-8F0C-AECD699B0BA1}"/>
    <cellStyle name="Normal 4 2 2 8 3" xfId="5545" xr:uid="{00000000-0005-0000-0000-000024130000}"/>
    <cellStyle name="Normal 4 2 2 8 3 2" xfId="13974" xr:uid="{61A7FEDF-3FB5-4077-AB30-5A9AD0B4770C}"/>
    <cellStyle name="Normal 4 2 2 8 3 3" xfId="26607" xr:uid="{45EFA381-3B17-420E-9951-4C35CEE0A85F}"/>
    <cellStyle name="Normal 4 2 2 8 4" xfId="9756" xr:uid="{03A25304-F0D2-486A-80FC-5B58400D16A7}"/>
    <cellStyle name="Normal 4 2 2 8 4 2" xfId="22396" xr:uid="{0D2E732E-8A2B-416E-837B-37EE230F6149}"/>
    <cellStyle name="Normal 4 2 2 8 5" xfId="18185" xr:uid="{D2900B5B-83A7-430E-B4A7-C846C3DF68BC}"/>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E3BEDF2E-89A5-4591-8196-DA26EA82143E}"/>
    <cellStyle name="Normal 4 2 2 9 2 2 3" xfId="29165" xr:uid="{6A0B0B75-C385-4B8D-B2EA-4C1C3BACC100}"/>
    <cellStyle name="Normal 4 2 2 9 2 3" xfId="12314" xr:uid="{82A466B7-0786-4FA7-AFE0-9F97D96D716A}"/>
    <cellStyle name="Normal 4 2 2 9 2 3 2" xfId="24954" xr:uid="{32D13BB6-E985-46E9-8E83-C076CFD31DBF}"/>
    <cellStyle name="Normal 4 2 2 9 2 4" xfId="20743" xr:uid="{6EA44EF8-ED69-400C-ADD9-D1649A3EA174}"/>
    <cellStyle name="Normal 4 2 2 9 3" xfId="5958" xr:uid="{00000000-0005-0000-0000-000028130000}"/>
    <cellStyle name="Normal 4 2 2 9 3 2" xfId="14387" xr:uid="{FA340825-FC39-4B42-BFD2-5B05232A5EB9}"/>
    <cellStyle name="Normal 4 2 2 9 3 3" xfId="27020" xr:uid="{D1FAF0DA-607A-4B92-B210-4C68A5801EC2}"/>
    <cellStyle name="Normal 4 2 2 9 4" xfId="10169" xr:uid="{54AA0FAE-22AE-4B98-97C9-3214DF6A3F54}"/>
    <cellStyle name="Normal 4 2 2 9 4 2" xfId="22809" xr:uid="{EFCF267D-8FF3-494D-8613-ADC9E951BDDE}"/>
    <cellStyle name="Normal 4 2 2 9 5" xfId="18598" xr:uid="{DECABB3D-7543-4131-B240-20747BA043C9}"/>
    <cellStyle name="Normal 4 2 3" xfId="354" xr:uid="{00000000-0005-0000-0000-000029130000}"/>
    <cellStyle name="Normal 4 2 4" xfId="355" xr:uid="{00000000-0005-0000-0000-00002A130000}"/>
    <cellStyle name="Normal 4 2 4 10" xfId="4735" xr:uid="{00000000-0005-0000-0000-00002B130000}"/>
    <cellStyle name="Normal 4 2 4 10 2" xfId="13164" xr:uid="{992C48B6-9C81-46AA-A8F0-11F135894BAF}"/>
    <cellStyle name="Normal 4 2 4 10 3" xfId="25797" xr:uid="{39724FAA-9774-485F-AAA8-3FF2B88E2620}"/>
    <cellStyle name="Normal 4 2 4 11" xfId="8946" xr:uid="{B1419437-8F4E-4672-8741-E44A963E0F8F}"/>
    <cellStyle name="Normal 4 2 4 11 2" xfId="21586" xr:uid="{DCBD79ED-2298-4C78-BB64-9E143D16316D}"/>
    <cellStyle name="Normal 4 2 4 12" xfId="17375" xr:uid="{8409C745-9CBD-40A2-ADE1-47D601ECD08C}"/>
    <cellStyle name="Normal 4 2 4 2" xfId="356" xr:uid="{00000000-0005-0000-0000-00002C130000}"/>
    <cellStyle name="Normal 4 2 4 2 10" xfId="8947" xr:uid="{505E5AD4-2911-4799-A80E-3954B4FAFC25}"/>
    <cellStyle name="Normal 4 2 4 2 10 2" xfId="21587" xr:uid="{141B58BE-95B2-47EF-93C7-6822445F4243}"/>
    <cellStyle name="Normal 4 2 4 2 11" xfId="17376" xr:uid="{21B0A71B-98E9-4CA2-9037-8E10974CABA7}"/>
    <cellStyle name="Normal 4 2 4 2 2" xfId="357" xr:uid="{00000000-0005-0000-0000-00002D130000}"/>
    <cellStyle name="Normal 4 2 4 2 2 10" xfId="17377" xr:uid="{7D3C1BA0-F00B-4380-ADB2-68E51BF3458B}"/>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28ECFCFA-75C8-4748-9B7C-D0B6459AE3A0}"/>
    <cellStyle name="Normal 4 2 4 2 2 2 2 2 2 3" xfId="28358" xr:uid="{DE6D9E75-3568-4050-A38C-DF5E42B61EAA}"/>
    <cellStyle name="Normal 4 2 4 2 2 2 2 2 3" xfId="11507" xr:uid="{E46E213F-8402-468B-A2D0-5431F4F66FC3}"/>
    <cellStyle name="Normal 4 2 4 2 2 2 2 2 3 2" xfId="24147" xr:uid="{AF6DAE47-1BE8-49D4-AB12-ECC0F6DC6FBE}"/>
    <cellStyle name="Normal 4 2 4 2 2 2 2 2 4" xfId="19936" xr:uid="{FF95DAE2-5EF1-4793-84D3-A9BC224F7A37}"/>
    <cellStyle name="Normal 4 2 4 2 2 2 2 3" xfId="5151" xr:uid="{00000000-0005-0000-0000-000032130000}"/>
    <cellStyle name="Normal 4 2 4 2 2 2 2 3 2" xfId="13580" xr:uid="{7FBDB443-9A0D-4693-98C1-B00B5D3A1551}"/>
    <cellStyle name="Normal 4 2 4 2 2 2 2 3 3" xfId="26213" xr:uid="{633741ED-5D1E-42EC-AB0A-9B3D6F4CBC5E}"/>
    <cellStyle name="Normal 4 2 4 2 2 2 2 4" xfId="9362" xr:uid="{45539AAA-CC3E-411B-B7FF-216A5B531F70}"/>
    <cellStyle name="Normal 4 2 4 2 2 2 2 4 2" xfId="22002" xr:uid="{29669D9B-2359-40F2-82A2-9016026C5DF5}"/>
    <cellStyle name="Normal 4 2 4 2 2 2 2 5" xfId="17791" xr:uid="{74540B2C-881D-49C9-8766-D43D54F3C5EF}"/>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6C481BE8-018E-416B-A131-A3D3AE9D0045}"/>
    <cellStyle name="Normal 4 2 4 2 2 2 3 2 2 3" xfId="28771" xr:uid="{8DC146EF-A1DB-48B2-846A-02055EEB6AA0}"/>
    <cellStyle name="Normal 4 2 4 2 2 2 3 2 3" xfId="11920" xr:uid="{81D406A7-5A79-4062-8AD3-57F392FC3D5A}"/>
    <cellStyle name="Normal 4 2 4 2 2 2 3 2 3 2" xfId="24560" xr:uid="{2AD545F3-18E3-433C-A313-59C7A33CE557}"/>
    <cellStyle name="Normal 4 2 4 2 2 2 3 2 4" xfId="20349" xr:uid="{14BE6E67-CD9B-4905-B46C-CF033AC25CAC}"/>
    <cellStyle name="Normal 4 2 4 2 2 2 3 3" xfId="5564" xr:uid="{00000000-0005-0000-0000-000036130000}"/>
    <cellStyle name="Normal 4 2 4 2 2 2 3 3 2" xfId="13993" xr:uid="{2705F001-06CF-495D-820D-F9BAA1162766}"/>
    <cellStyle name="Normal 4 2 4 2 2 2 3 3 3" xfId="26626" xr:uid="{39596F74-F5BE-40DB-9FC3-37AB78DB253D}"/>
    <cellStyle name="Normal 4 2 4 2 2 2 3 4" xfId="9775" xr:uid="{321A4D51-C4BB-410C-ADFE-6BCB34F98030}"/>
    <cellStyle name="Normal 4 2 4 2 2 2 3 4 2" xfId="22415" xr:uid="{F992728E-0231-4DCF-AE95-8BC5F3055325}"/>
    <cellStyle name="Normal 4 2 4 2 2 2 3 5" xfId="18204" xr:uid="{31F9DF99-155B-4BD1-990A-028561E00B2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954ECF43-0DC8-4804-88F2-89061B6B6B70}"/>
    <cellStyle name="Normal 4 2 4 2 2 2 4 2 2 3" xfId="29184" xr:uid="{ED6FDA22-415D-41F8-8295-E85AF6C0F18D}"/>
    <cellStyle name="Normal 4 2 4 2 2 2 4 2 3" xfId="12333" xr:uid="{1DB88FC7-9CF0-4F8D-B9B9-D4CFE8CB3EE1}"/>
    <cellStyle name="Normal 4 2 4 2 2 2 4 2 3 2" xfId="24973" xr:uid="{65BBDFA2-5AC0-4700-9EAE-6B3A5722D4E9}"/>
    <cellStyle name="Normal 4 2 4 2 2 2 4 2 4" xfId="20762" xr:uid="{8C713E65-1DC0-48E4-819F-8978F5E31BAF}"/>
    <cellStyle name="Normal 4 2 4 2 2 2 4 3" xfId="5977" xr:uid="{00000000-0005-0000-0000-00003A130000}"/>
    <cellStyle name="Normal 4 2 4 2 2 2 4 3 2" xfId="14406" xr:uid="{347E51E8-C121-4B9B-B8F9-E2352BFFC95A}"/>
    <cellStyle name="Normal 4 2 4 2 2 2 4 3 3" xfId="27039" xr:uid="{DAE0CB4B-DA62-4133-87C1-5F16F49B4ABA}"/>
    <cellStyle name="Normal 4 2 4 2 2 2 4 4" xfId="10188" xr:uid="{34EADD92-E75C-44F3-970E-A7481C31FE66}"/>
    <cellStyle name="Normal 4 2 4 2 2 2 4 4 2" xfId="22828" xr:uid="{E975597B-420A-4943-BA31-C7329E13A121}"/>
    <cellStyle name="Normal 4 2 4 2 2 2 4 5" xfId="18617" xr:uid="{2A06FB06-CA41-4482-A425-1514BD01363E}"/>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72616806-AAFC-4F61-BD6A-E6C90D445012}"/>
    <cellStyle name="Normal 4 2 4 2 2 2 5 2 2 3" xfId="29597" xr:uid="{ACA22A4C-51C5-4CC1-A414-6CEA74AB1A57}"/>
    <cellStyle name="Normal 4 2 4 2 2 2 5 2 3" xfId="12746" xr:uid="{7FA7EBC9-9955-411A-8302-8302FB11C232}"/>
    <cellStyle name="Normal 4 2 4 2 2 2 5 2 3 2" xfId="25386" xr:uid="{776A24AD-8B8C-4BD0-A4C4-E696BD293E8F}"/>
    <cellStyle name="Normal 4 2 4 2 2 2 5 2 4" xfId="21175" xr:uid="{8F97B2AA-2354-4A05-A7C8-08A4C720C402}"/>
    <cellStyle name="Normal 4 2 4 2 2 2 5 3" xfId="6390" xr:uid="{00000000-0005-0000-0000-00003E130000}"/>
    <cellStyle name="Normal 4 2 4 2 2 2 5 3 2" xfId="14819" xr:uid="{4325958A-C6F7-41F6-8C2D-933A28D8DE33}"/>
    <cellStyle name="Normal 4 2 4 2 2 2 5 3 3" xfId="27452" xr:uid="{3CEDEA73-818A-4009-AD6D-17C5068B56D2}"/>
    <cellStyle name="Normal 4 2 4 2 2 2 5 4" xfId="10601" xr:uid="{ED4253C8-56C5-49F3-8A8D-C243826B237D}"/>
    <cellStyle name="Normal 4 2 4 2 2 2 5 4 2" xfId="23241" xr:uid="{25617FF5-F7C3-495B-84ED-D02DD6BD0118}"/>
    <cellStyle name="Normal 4 2 4 2 2 2 5 5" xfId="19030" xr:uid="{5EE65855-2FFC-4A59-9EC6-21295D82B3F3}"/>
    <cellStyle name="Normal 4 2 4 2 2 2 6" xfId="2518" xr:uid="{00000000-0005-0000-0000-00003F130000}"/>
    <cellStyle name="Normal 4 2 4 2 2 2 6 2" xfId="6803" xr:uid="{00000000-0005-0000-0000-000040130000}"/>
    <cellStyle name="Normal 4 2 4 2 2 2 6 2 2" xfId="15232" xr:uid="{BCC9C44D-F326-42A2-B77C-E2CEDEC3F4F4}"/>
    <cellStyle name="Normal 4 2 4 2 2 2 6 2 3" xfId="27865" xr:uid="{91F9BB22-99BB-4ED5-8137-6482CDBA1CC1}"/>
    <cellStyle name="Normal 4 2 4 2 2 2 6 3" xfId="11014" xr:uid="{DFF2E972-0C41-4996-A654-F3C88D919174}"/>
    <cellStyle name="Normal 4 2 4 2 2 2 6 3 2" xfId="23654" xr:uid="{2D88B1EA-B2DB-4E29-AEBF-DF61AFEA5754}"/>
    <cellStyle name="Normal 4 2 4 2 2 2 6 4" xfId="19443" xr:uid="{D6DA1863-12FD-42B8-AC25-4C8035F6508D}"/>
    <cellStyle name="Normal 4 2 4 2 2 2 7" xfId="4738" xr:uid="{00000000-0005-0000-0000-000041130000}"/>
    <cellStyle name="Normal 4 2 4 2 2 2 7 2" xfId="13167" xr:uid="{16BAA291-BD3D-40D7-A05A-1A81F0696EC5}"/>
    <cellStyle name="Normal 4 2 4 2 2 2 7 3" xfId="25800" xr:uid="{8F7A5231-D625-4B0B-9BF6-67BF296F0376}"/>
    <cellStyle name="Normal 4 2 4 2 2 2 8" xfId="8949" xr:uid="{2EF3BB80-D934-4158-9051-7A2A694EA3C2}"/>
    <cellStyle name="Normal 4 2 4 2 2 2 8 2" xfId="21589" xr:uid="{01EDC972-6C63-4FB2-A29D-3601A73A8C6C}"/>
    <cellStyle name="Normal 4 2 4 2 2 2 9" xfId="17378" xr:uid="{52E984C2-19A9-4944-A2B0-E64BF90386CC}"/>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13D7BAE9-3BFD-487C-8E64-AFA3090EA1F2}"/>
    <cellStyle name="Normal 4 2 4 2 2 3 2 2 3" xfId="28357" xr:uid="{AF23F75F-4181-4673-AB21-22FD9FA498FD}"/>
    <cellStyle name="Normal 4 2 4 2 2 3 2 3" xfId="11506" xr:uid="{46A103D4-7A92-4A83-B611-4FE0A25AF86F}"/>
    <cellStyle name="Normal 4 2 4 2 2 3 2 3 2" xfId="24146" xr:uid="{229D5D88-9F28-4080-A609-254EA83DBE27}"/>
    <cellStyle name="Normal 4 2 4 2 2 3 2 4" xfId="19935" xr:uid="{7459E043-4910-46A0-A2A2-04E45D727A4F}"/>
    <cellStyle name="Normal 4 2 4 2 2 3 3" xfId="5150" xr:uid="{00000000-0005-0000-0000-000045130000}"/>
    <cellStyle name="Normal 4 2 4 2 2 3 3 2" xfId="13579" xr:uid="{240415C9-37BC-46A3-846D-1D6B47BEB531}"/>
    <cellStyle name="Normal 4 2 4 2 2 3 3 3" xfId="26212" xr:uid="{633311A9-B437-4BC8-9CB9-68DA297E9987}"/>
    <cellStyle name="Normal 4 2 4 2 2 3 4" xfId="9361" xr:uid="{311450CF-45E6-46F5-A4AF-4E8583D11BA0}"/>
    <cellStyle name="Normal 4 2 4 2 2 3 4 2" xfId="22001" xr:uid="{82CC285A-A392-4E20-860D-F417145E4037}"/>
    <cellStyle name="Normal 4 2 4 2 2 3 5" xfId="17790" xr:uid="{94BEE8F7-CD40-42B9-9396-CE2179482B32}"/>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66D016A3-0DB9-4FCA-8FEE-27F6F53DA66F}"/>
    <cellStyle name="Normal 4 2 4 2 2 4 2 2 3" xfId="28770" xr:uid="{54634021-420C-4E6A-9584-F3BE4E4E9914}"/>
    <cellStyle name="Normal 4 2 4 2 2 4 2 3" xfId="11919" xr:uid="{32E06BD7-6F24-4B1B-B295-809C7DDB640C}"/>
    <cellStyle name="Normal 4 2 4 2 2 4 2 3 2" xfId="24559" xr:uid="{201C741C-545C-4009-919E-6324A37F470F}"/>
    <cellStyle name="Normal 4 2 4 2 2 4 2 4" xfId="20348" xr:uid="{015006A2-BEDA-4488-BF7D-46F2ADA662D9}"/>
    <cellStyle name="Normal 4 2 4 2 2 4 3" xfId="5563" xr:uid="{00000000-0005-0000-0000-000049130000}"/>
    <cellStyle name="Normal 4 2 4 2 2 4 3 2" xfId="13992" xr:uid="{B6BCE2F4-A2F0-4833-A378-CDB3716F1BF5}"/>
    <cellStyle name="Normal 4 2 4 2 2 4 3 3" xfId="26625" xr:uid="{E62D1C87-BCC3-4F97-9D50-869FE25B5E90}"/>
    <cellStyle name="Normal 4 2 4 2 2 4 4" xfId="9774" xr:uid="{BC2CE95F-DCA7-429D-9446-48D5EF70F9F9}"/>
    <cellStyle name="Normal 4 2 4 2 2 4 4 2" xfId="22414" xr:uid="{8A7750E5-5981-4B0E-A075-350325063972}"/>
    <cellStyle name="Normal 4 2 4 2 2 4 5" xfId="18203" xr:uid="{694E92FC-7B61-46EC-B21B-3F45B15460B5}"/>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1469AF15-15B2-41EA-8CF1-2E3C02B74A23}"/>
    <cellStyle name="Normal 4 2 4 2 2 5 2 2 3" xfId="29183" xr:uid="{1C99E8C6-6047-4971-965A-BE9751079643}"/>
    <cellStyle name="Normal 4 2 4 2 2 5 2 3" xfId="12332" xr:uid="{9B630467-00F5-4322-AC1A-DFAE2E845A80}"/>
    <cellStyle name="Normal 4 2 4 2 2 5 2 3 2" xfId="24972" xr:uid="{8DB1D937-FD08-4176-BC90-40A668A46826}"/>
    <cellStyle name="Normal 4 2 4 2 2 5 2 4" xfId="20761" xr:uid="{2E520C6B-16AD-49BD-A68E-187DE38BA8B8}"/>
    <cellStyle name="Normal 4 2 4 2 2 5 3" xfId="5976" xr:uid="{00000000-0005-0000-0000-00004D130000}"/>
    <cellStyle name="Normal 4 2 4 2 2 5 3 2" xfId="14405" xr:uid="{F5D804D8-0245-4AF2-91E4-6E03EC8F9602}"/>
    <cellStyle name="Normal 4 2 4 2 2 5 3 3" xfId="27038" xr:uid="{5D388080-C459-4C40-9F9C-F92D8733BC4D}"/>
    <cellStyle name="Normal 4 2 4 2 2 5 4" xfId="10187" xr:uid="{AFA8397F-340F-4B5C-8A7D-7E7A9C2DC74B}"/>
    <cellStyle name="Normal 4 2 4 2 2 5 4 2" xfId="22827" xr:uid="{087F7571-EAD1-4A5C-8CD2-A5B9D14629A4}"/>
    <cellStyle name="Normal 4 2 4 2 2 5 5" xfId="18616" xr:uid="{75EDF16B-7C41-45B8-B2CB-0F8AA44B86EE}"/>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F0EBFEEE-F947-42D0-A3B6-B0CD604336BD}"/>
    <cellStyle name="Normal 4 2 4 2 2 6 2 2 3" xfId="29596" xr:uid="{6E694C73-8E61-4B34-86DD-65C6775106B5}"/>
    <cellStyle name="Normal 4 2 4 2 2 6 2 3" xfId="12745" xr:uid="{32887915-91B5-4830-B7B3-E9D347552F04}"/>
    <cellStyle name="Normal 4 2 4 2 2 6 2 3 2" xfId="25385" xr:uid="{02565C76-5614-4E97-A292-779BBDC0C347}"/>
    <cellStyle name="Normal 4 2 4 2 2 6 2 4" xfId="21174" xr:uid="{B5DAD547-F98F-4958-8B79-AC411C264E67}"/>
    <cellStyle name="Normal 4 2 4 2 2 6 3" xfId="6389" xr:uid="{00000000-0005-0000-0000-000051130000}"/>
    <cellStyle name="Normal 4 2 4 2 2 6 3 2" xfId="14818" xr:uid="{A89DBB84-5241-43DA-8785-F5DF6AC01577}"/>
    <cellStyle name="Normal 4 2 4 2 2 6 3 3" xfId="27451" xr:uid="{EFBC8CBB-0ADB-45D8-98CC-0EB14659B5D2}"/>
    <cellStyle name="Normal 4 2 4 2 2 6 4" xfId="10600" xr:uid="{80484392-35BB-49D0-A470-0904FF8F0FF3}"/>
    <cellStyle name="Normal 4 2 4 2 2 6 4 2" xfId="23240" xr:uid="{0D8058A8-E519-4548-A7E6-2859C2F1312F}"/>
    <cellStyle name="Normal 4 2 4 2 2 6 5" xfId="19029" xr:uid="{42F3C6DA-7F7B-4DCF-833B-F8DD900450F4}"/>
    <cellStyle name="Normal 4 2 4 2 2 7" xfId="2517" xr:uid="{00000000-0005-0000-0000-000052130000}"/>
    <cellStyle name="Normal 4 2 4 2 2 7 2" xfId="6802" xr:uid="{00000000-0005-0000-0000-000053130000}"/>
    <cellStyle name="Normal 4 2 4 2 2 7 2 2" xfId="15231" xr:uid="{EB5FA08A-3EF1-4815-9D4D-CD1FB9FAD480}"/>
    <cellStyle name="Normal 4 2 4 2 2 7 2 3" xfId="27864" xr:uid="{2A12893D-CE5A-4401-8D52-E11BF0954BA3}"/>
    <cellStyle name="Normal 4 2 4 2 2 7 3" xfId="11013" xr:uid="{D89A3B89-0C20-423B-B75C-8C31CF2C5FD4}"/>
    <cellStyle name="Normal 4 2 4 2 2 7 3 2" xfId="23653" xr:uid="{6E27A767-6706-4035-92C1-89734606C3E5}"/>
    <cellStyle name="Normal 4 2 4 2 2 7 4" xfId="19442" xr:uid="{77603204-7763-4C8E-BF17-FFB7CCD18E3B}"/>
    <cellStyle name="Normal 4 2 4 2 2 8" xfId="4737" xr:uid="{00000000-0005-0000-0000-000054130000}"/>
    <cellStyle name="Normal 4 2 4 2 2 8 2" xfId="13166" xr:uid="{ECEEE7B8-6D7B-4100-8348-ECCEBF3186D0}"/>
    <cellStyle name="Normal 4 2 4 2 2 8 3" xfId="25799" xr:uid="{4FDBA779-9C2D-4213-94EC-6B5E02478927}"/>
    <cellStyle name="Normal 4 2 4 2 2 9" xfId="8948" xr:uid="{308392B3-7FF4-47C7-98C7-23DE7A1FEB21}"/>
    <cellStyle name="Normal 4 2 4 2 2 9 2" xfId="21588" xr:uid="{5CB8419F-E95C-409A-A177-BC292C653E4D}"/>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088DD699-2233-449E-8E21-1EFEC654A13B}"/>
    <cellStyle name="Normal 4 2 4 2 3 2 2 2 3" xfId="28359" xr:uid="{1D01D3BA-E8F9-4757-9AA4-B9845CA0C1AC}"/>
    <cellStyle name="Normal 4 2 4 2 3 2 2 3" xfId="11508" xr:uid="{2B12AC0F-A091-4418-8FAC-586BA0870D2D}"/>
    <cellStyle name="Normal 4 2 4 2 3 2 2 3 2" xfId="24148" xr:uid="{C95CED91-5EB3-4A7B-844A-E7CED33BDEC2}"/>
    <cellStyle name="Normal 4 2 4 2 3 2 2 4" xfId="19937" xr:uid="{70FA8975-0945-4D53-A367-8B3621A5F6D7}"/>
    <cellStyle name="Normal 4 2 4 2 3 2 3" xfId="5152" xr:uid="{00000000-0005-0000-0000-000059130000}"/>
    <cellStyle name="Normal 4 2 4 2 3 2 3 2" xfId="13581" xr:uid="{62EC48CA-1DD3-45BF-AC7F-5106424E0A16}"/>
    <cellStyle name="Normal 4 2 4 2 3 2 3 3" xfId="26214" xr:uid="{1BD64704-F33F-4EE2-A222-CEBF4445BD61}"/>
    <cellStyle name="Normal 4 2 4 2 3 2 4" xfId="9363" xr:uid="{4EB2F92B-7E13-4766-81EA-DDD0814E1372}"/>
    <cellStyle name="Normal 4 2 4 2 3 2 4 2" xfId="22003" xr:uid="{51ED7499-CDF5-4FF3-BC74-4B1FD1A0D3AA}"/>
    <cellStyle name="Normal 4 2 4 2 3 2 5" xfId="17792" xr:uid="{72A9B895-3E40-4B86-938A-25561167D948}"/>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F8493ED6-C062-4562-96C8-465726398939}"/>
    <cellStyle name="Normal 4 2 4 2 3 3 2 2 3" xfId="28772" xr:uid="{AF2226B1-F40B-4C3E-9D00-D2ECF899FDCB}"/>
    <cellStyle name="Normal 4 2 4 2 3 3 2 3" xfId="11921" xr:uid="{C7B817FB-30C0-4C7F-8517-BDFBFC14064E}"/>
    <cellStyle name="Normal 4 2 4 2 3 3 2 3 2" xfId="24561" xr:uid="{ABEDC245-642E-4D6B-BBFB-39F67C79D3E0}"/>
    <cellStyle name="Normal 4 2 4 2 3 3 2 4" xfId="20350" xr:uid="{D73EDA5E-3F78-4313-9D73-1F1D2AE313BC}"/>
    <cellStyle name="Normal 4 2 4 2 3 3 3" xfId="5565" xr:uid="{00000000-0005-0000-0000-00005D130000}"/>
    <cellStyle name="Normal 4 2 4 2 3 3 3 2" xfId="13994" xr:uid="{4D1DD506-0126-48E5-A80A-99017830DBD2}"/>
    <cellStyle name="Normal 4 2 4 2 3 3 3 3" xfId="26627" xr:uid="{09B02B6F-FBDA-4E93-8BCC-38410AD80ABB}"/>
    <cellStyle name="Normal 4 2 4 2 3 3 4" xfId="9776" xr:uid="{DD419C65-2B5A-4264-AB57-C9AB54FF0D3A}"/>
    <cellStyle name="Normal 4 2 4 2 3 3 4 2" xfId="22416" xr:uid="{444F8EA9-DD1F-45A4-BEBE-2BA60A9B414E}"/>
    <cellStyle name="Normal 4 2 4 2 3 3 5" xfId="18205" xr:uid="{7BC2759B-7822-487A-9397-F1A10B233095}"/>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E3F4972C-F16F-4B80-8A28-91514E5A3E75}"/>
    <cellStyle name="Normal 4 2 4 2 3 4 2 2 3" xfId="29185" xr:uid="{F147B755-3754-4F0E-B852-F2ECA3AF3B67}"/>
    <cellStyle name="Normal 4 2 4 2 3 4 2 3" xfId="12334" xr:uid="{C79927DC-36CB-4A42-B182-36903EB14623}"/>
    <cellStyle name="Normal 4 2 4 2 3 4 2 3 2" xfId="24974" xr:uid="{989BD086-B73A-4C39-9EA7-EBC2F68C580A}"/>
    <cellStyle name="Normal 4 2 4 2 3 4 2 4" xfId="20763" xr:uid="{D11E51D9-C1A2-4D4B-B472-BB70C584A129}"/>
    <cellStyle name="Normal 4 2 4 2 3 4 3" xfId="5978" xr:uid="{00000000-0005-0000-0000-000061130000}"/>
    <cellStyle name="Normal 4 2 4 2 3 4 3 2" xfId="14407" xr:uid="{DB3E29E8-84B6-42F3-9197-C35D8A1D97D1}"/>
    <cellStyle name="Normal 4 2 4 2 3 4 3 3" xfId="27040" xr:uid="{F9CD72B2-010A-454A-AB62-C07DF4B962E4}"/>
    <cellStyle name="Normal 4 2 4 2 3 4 4" xfId="10189" xr:uid="{14F776B7-6159-49E4-88A9-373308F8A0BC}"/>
    <cellStyle name="Normal 4 2 4 2 3 4 4 2" xfId="22829" xr:uid="{C957CA0A-0A9B-48DA-9765-29FDE0E292B9}"/>
    <cellStyle name="Normal 4 2 4 2 3 4 5" xfId="18618" xr:uid="{97C6951A-5374-415E-B053-913CD9C0994F}"/>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5E984710-830C-4A4A-B062-840E38A90369}"/>
    <cellStyle name="Normal 4 2 4 2 3 5 2 2 3" xfId="29598" xr:uid="{6207D08D-204E-47D4-B6D6-591E736A9F9E}"/>
    <cellStyle name="Normal 4 2 4 2 3 5 2 3" xfId="12747" xr:uid="{0F8CB3C7-27C4-44FE-BA06-B15C25803DFE}"/>
    <cellStyle name="Normal 4 2 4 2 3 5 2 3 2" xfId="25387" xr:uid="{7358A397-8EE5-4CDF-AF9B-E2258F18EA77}"/>
    <cellStyle name="Normal 4 2 4 2 3 5 2 4" xfId="21176" xr:uid="{8F7A5147-201D-4DBC-8A5C-70274A3E5573}"/>
    <cellStyle name="Normal 4 2 4 2 3 5 3" xfId="6391" xr:uid="{00000000-0005-0000-0000-000065130000}"/>
    <cellStyle name="Normal 4 2 4 2 3 5 3 2" xfId="14820" xr:uid="{760A3605-4BD3-438B-868D-CFF7F1B5A07F}"/>
    <cellStyle name="Normal 4 2 4 2 3 5 3 3" xfId="27453" xr:uid="{BF6428EF-A41E-489A-A8C5-7ACA66E0EAEF}"/>
    <cellStyle name="Normal 4 2 4 2 3 5 4" xfId="10602" xr:uid="{F763C44C-8118-4A77-8195-8ACF929C12B0}"/>
    <cellStyle name="Normal 4 2 4 2 3 5 4 2" xfId="23242" xr:uid="{3A6970B6-F98D-418A-B111-5D91A24CE2A7}"/>
    <cellStyle name="Normal 4 2 4 2 3 5 5" xfId="19031" xr:uid="{F73D6041-B8F5-44E1-AF2D-A1705CD5EA79}"/>
    <cellStyle name="Normal 4 2 4 2 3 6" xfId="2519" xr:uid="{00000000-0005-0000-0000-000066130000}"/>
    <cellStyle name="Normal 4 2 4 2 3 6 2" xfId="6804" xr:uid="{00000000-0005-0000-0000-000067130000}"/>
    <cellStyle name="Normal 4 2 4 2 3 6 2 2" xfId="15233" xr:uid="{625EA26E-2E11-45BF-9697-17207E25C4B8}"/>
    <cellStyle name="Normal 4 2 4 2 3 6 2 3" xfId="27866" xr:uid="{B5663CEA-4951-495F-9F97-D44207C4C713}"/>
    <cellStyle name="Normal 4 2 4 2 3 6 3" xfId="11015" xr:uid="{78310DD8-002F-4182-A24C-8C905F428AB4}"/>
    <cellStyle name="Normal 4 2 4 2 3 6 3 2" xfId="23655" xr:uid="{71A15373-D696-42FB-A5EF-5D8E4BB5FDDD}"/>
    <cellStyle name="Normal 4 2 4 2 3 6 4" xfId="19444" xr:uid="{C2D04869-4556-4BB9-BFA8-C6FAE9C1E78A}"/>
    <cellStyle name="Normal 4 2 4 2 3 7" xfId="4739" xr:uid="{00000000-0005-0000-0000-000068130000}"/>
    <cellStyle name="Normal 4 2 4 2 3 7 2" xfId="13168" xr:uid="{D90683EA-F07F-4D9E-9543-35B17BBFEF23}"/>
    <cellStyle name="Normal 4 2 4 2 3 7 3" xfId="25801" xr:uid="{84FBF998-9A92-4621-B2F2-C2FF9CA8C075}"/>
    <cellStyle name="Normal 4 2 4 2 3 8" xfId="8950" xr:uid="{2A4C8791-2516-4C8B-880C-0E1CAED41FED}"/>
    <cellStyle name="Normal 4 2 4 2 3 8 2" xfId="21590" xr:uid="{F4F6A966-4F5A-4F9E-936C-5DD187828285}"/>
    <cellStyle name="Normal 4 2 4 2 3 9" xfId="17379" xr:uid="{F14AD211-3609-49E6-8539-F4F779E78FB2}"/>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39D83256-76ED-4C84-A546-3A14AC246E88}"/>
    <cellStyle name="Normal 4 2 4 2 4 2 2 3" xfId="28356" xr:uid="{2F784571-9921-4D52-ADAC-63067E7BC63F}"/>
    <cellStyle name="Normal 4 2 4 2 4 2 3" xfId="11505" xr:uid="{935B1220-2F9B-47DF-9064-0001A38290BB}"/>
    <cellStyle name="Normal 4 2 4 2 4 2 3 2" xfId="24145" xr:uid="{08B74B78-A718-40B9-8A7C-62203B6D8634}"/>
    <cellStyle name="Normal 4 2 4 2 4 2 4" xfId="19934" xr:uid="{BD584D69-0581-4C3B-9322-581488F80A35}"/>
    <cellStyle name="Normal 4 2 4 2 4 3" xfId="5149" xr:uid="{00000000-0005-0000-0000-00006C130000}"/>
    <cellStyle name="Normal 4 2 4 2 4 3 2" xfId="13578" xr:uid="{0960C9E0-5A61-4CC7-BE46-F3ECB69D81B3}"/>
    <cellStyle name="Normal 4 2 4 2 4 3 3" xfId="26211" xr:uid="{4A09D30E-13AD-4ADE-9C6F-3CAC2716AE7F}"/>
    <cellStyle name="Normal 4 2 4 2 4 4" xfId="9360" xr:uid="{791F440F-1C1E-4BC7-A034-4A9D4FE0039E}"/>
    <cellStyle name="Normal 4 2 4 2 4 4 2" xfId="22000" xr:uid="{2CEDC0CC-8ACD-40E6-8CBE-E347339C5ADF}"/>
    <cellStyle name="Normal 4 2 4 2 4 5" xfId="17789" xr:uid="{38BEA4A9-A72A-460F-B4CB-B42BECD57276}"/>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8D7227B2-8AA7-4F3D-A099-BA4299C8D0E6}"/>
    <cellStyle name="Normal 4 2 4 2 5 2 2 3" xfId="28769" xr:uid="{C6F170BC-C293-4112-A2D5-2FC49F173854}"/>
    <cellStyle name="Normal 4 2 4 2 5 2 3" xfId="11918" xr:uid="{40B511EE-8EFB-4826-A983-2AAC4C0411B5}"/>
    <cellStyle name="Normal 4 2 4 2 5 2 3 2" xfId="24558" xr:uid="{4FB8205D-95AC-47C6-8AB2-BC3369BF6060}"/>
    <cellStyle name="Normal 4 2 4 2 5 2 4" xfId="20347" xr:uid="{558D01ED-24A9-4699-8F86-32C3C75AF738}"/>
    <cellStyle name="Normal 4 2 4 2 5 3" xfId="5562" xr:uid="{00000000-0005-0000-0000-000070130000}"/>
    <cellStyle name="Normal 4 2 4 2 5 3 2" xfId="13991" xr:uid="{5F83744B-0DCE-4846-B33B-960336E4DDC8}"/>
    <cellStyle name="Normal 4 2 4 2 5 3 3" xfId="26624" xr:uid="{D29F6F41-38C8-4809-A680-126E8CFF3CD1}"/>
    <cellStyle name="Normal 4 2 4 2 5 4" xfId="9773" xr:uid="{0224D580-BEAF-411F-A6EE-3DE108ABD4A7}"/>
    <cellStyle name="Normal 4 2 4 2 5 4 2" xfId="22413" xr:uid="{3FD3417B-CA05-4402-83BB-7BA2E7DFB739}"/>
    <cellStyle name="Normal 4 2 4 2 5 5" xfId="18202" xr:uid="{E64FCC98-04B6-46FC-A519-A1062D5F7B4B}"/>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88AE436F-504C-41A7-A4A9-831049C5F33B}"/>
    <cellStyle name="Normal 4 2 4 2 6 2 2 3" xfId="29182" xr:uid="{24CC148D-FC13-41F6-AF93-FA9B36E411C2}"/>
    <cellStyle name="Normal 4 2 4 2 6 2 3" xfId="12331" xr:uid="{BC41FA2B-8572-4903-BE83-953A900C6AE5}"/>
    <cellStyle name="Normal 4 2 4 2 6 2 3 2" xfId="24971" xr:uid="{B8535FB4-DB77-42CC-8DF2-67FD525DA681}"/>
    <cellStyle name="Normal 4 2 4 2 6 2 4" xfId="20760" xr:uid="{2DE24FA2-4194-4A86-A71C-F774C633664C}"/>
    <cellStyle name="Normal 4 2 4 2 6 3" xfId="5975" xr:uid="{00000000-0005-0000-0000-000074130000}"/>
    <cellStyle name="Normal 4 2 4 2 6 3 2" xfId="14404" xr:uid="{7527B454-D80B-4DE0-B341-FAA9B278B24B}"/>
    <cellStyle name="Normal 4 2 4 2 6 3 3" xfId="27037" xr:uid="{817E39CC-116A-4EB4-BB31-8DC1D8E5FEDF}"/>
    <cellStyle name="Normal 4 2 4 2 6 4" xfId="10186" xr:uid="{7A160494-6754-4D58-8FD1-993B90EA5BAA}"/>
    <cellStyle name="Normal 4 2 4 2 6 4 2" xfId="22826" xr:uid="{DD8B5017-916F-4FB2-B159-FB1505ED8EB9}"/>
    <cellStyle name="Normal 4 2 4 2 6 5" xfId="18615" xr:uid="{699CF195-0FAA-40D9-9527-02E522523548}"/>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14409D7B-2B84-4650-89FB-DB96885FD349}"/>
    <cellStyle name="Normal 4 2 4 2 7 2 2 3" xfId="29595" xr:uid="{0635113F-EAF4-439B-8769-D43A576DA967}"/>
    <cellStyle name="Normal 4 2 4 2 7 2 3" xfId="12744" xr:uid="{E517138A-D040-46F8-B64A-A3B7D5F99B25}"/>
    <cellStyle name="Normal 4 2 4 2 7 2 3 2" xfId="25384" xr:uid="{4B71D791-CF9F-4368-A3E0-F0D91B2F19BF}"/>
    <cellStyle name="Normal 4 2 4 2 7 2 4" xfId="21173" xr:uid="{4BA5A08B-68B2-4B90-A321-8FE3CE68A0BC}"/>
    <cellStyle name="Normal 4 2 4 2 7 3" xfId="6388" xr:uid="{00000000-0005-0000-0000-000078130000}"/>
    <cellStyle name="Normal 4 2 4 2 7 3 2" xfId="14817" xr:uid="{7E7B3F9F-06B2-4E91-944D-62B24EBBF333}"/>
    <cellStyle name="Normal 4 2 4 2 7 3 3" xfId="27450" xr:uid="{33C65537-736B-49B3-B301-B87F0A8E9C29}"/>
    <cellStyle name="Normal 4 2 4 2 7 4" xfId="10599" xr:uid="{BA676A73-8563-4E83-B658-7A7F1C004F13}"/>
    <cellStyle name="Normal 4 2 4 2 7 4 2" xfId="23239" xr:uid="{130C3EAE-751F-4299-81EF-08B00F9E894E}"/>
    <cellStyle name="Normal 4 2 4 2 7 5" xfId="19028" xr:uid="{E1D125D0-F0B8-4B3D-88D1-E2F0E2D81514}"/>
    <cellStyle name="Normal 4 2 4 2 8" xfId="2516" xr:uid="{00000000-0005-0000-0000-000079130000}"/>
    <cellStyle name="Normal 4 2 4 2 8 2" xfId="6801" xr:uid="{00000000-0005-0000-0000-00007A130000}"/>
    <cellStyle name="Normal 4 2 4 2 8 2 2" xfId="15230" xr:uid="{454D8038-6FDF-4607-8B25-67712EF9DD5E}"/>
    <cellStyle name="Normal 4 2 4 2 8 2 3" xfId="27863" xr:uid="{ACB7DA62-C8F5-41C3-B542-49F357E6E2B2}"/>
    <cellStyle name="Normal 4 2 4 2 8 3" xfId="11012" xr:uid="{196BFA67-27EA-4B71-BC94-9B6B91162614}"/>
    <cellStyle name="Normal 4 2 4 2 8 3 2" xfId="23652" xr:uid="{8C5B7D98-F8F2-4F19-A741-0046E6537B43}"/>
    <cellStyle name="Normal 4 2 4 2 8 4" xfId="19441" xr:uid="{C377CEAA-189C-47F6-8D7C-AB06690FB001}"/>
    <cellStyle name="Normal 4 2 4 2 9" xfId="4736" xr:uid="{00000000-0005-0000-0000-00007B130000}"/>
    <cellStyle name="Normal 4 2 4 2 9 2" xfId="13165" xr:uid="{1C704F16-B059-41DF-8744-01FD638F4353}"/>
    <cellStyle name="Normal 4 2 4 2 9 3" xfId="25798" xr:uid="{51675C7C-139A-4DB7-9A80-9CFFBF4A30EB}"/>
    <cellStyle name="Normal 4 2 4 3" xfId="360" xr:uid="{00000000-0005-0000-0000-00007C130000}"/>
    <cellStyle name="Normal 4 2 4 3 10" xfId="17380" xr:uid="{875BD605-2FF4-46E0-AB6D-C31931BF29DB}"/>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CF7790CA-7509-45AA-8C19-7E6709EC6857}"/>
    <cellStyle name="Normal 4 2 4 3 2 2 2 2 3" xfId="28361" xr:uid="{E904B607-A199-4843-AC33-F15F2217BC9C}"/>
    <cellStyle name="Normal 4 2 4 3 2 2 2 3" xfId="11510" xr:uid="{B890C60E-91AF-4B60-A914-098E162366CE}"/>
    <cellStyle name="Normal 4 2 4 3 2 2 2 3 2" xfId="24150" xr:uid="{60BEE1FE-8F90-4544-8737-AA5AFA427FF2}"/>
    <cellStyle name="Normal 4 2 4 3 2 2 2 4" xfId="19939" xr:uid="{85A710C3-06D7-4A92-8EEC-A8C0373C18E3}"/>
    <cellStyle name="Normal 4 2 4 3 2 2 3" xfId="5154" xr:uid="{00000000-0005-0000-0000-000081130000}"/>
    <cellStyle name="Normal 4 2 4 3 2 2 3 2" xfId="13583" xr:uid="{6E126BF2-D1C3-48B3-A669-4A7F4818938B}"/>
    <cellStyle name="Normal 4 2 4 3 2 2 3 3" xfId="26216" xr:uid="{98A1646F-D93F-4EBA-B715-370BFE60F532}"/>
    <cellStyle name="Normal 4 2 4 3 2 2 4" xfId="9365" xr:uid="{50DA3AE1-640C-49F7-B7CE-5FFF11736152}"/>
    <cellStyle name="Normal 4 2 4 3 2 2 4 2" xfId="22005" xr:uid="{94F456BB-B213-4237-B5EC-30BAF5BFFEC4}"/>
    <cellStyle name="Normal 4 2 4 3 2 2 5" xfId="17794" xr:uid="{99997570-2BC3-4D7D-987E-A0EFD4E64504}"/>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354EAE9D-72C0-439F-9648-E218FF9BFEA9}"/>
    <cellStyle name="Normal 4 2 4 3 2 3 2 2 3" xfId="28774" xr:uid="{A72C0E15-3BE3-4333-ACD1-D31008BC7C92}"/>
    <cellStyle name="Normal 4 2 4 3 2 3 2 3" xfId="11923" xr:uid="{3D9FDC59-90E5-465A-B89F-42540F64D9C7}"/>
    <cellStyle name="Normal 4 2 4 3 2 3 2 3 2" xfId="24563" xr:uid="{28B8096A-748A-44ED-833D-58206C2CBD44}"/>
    <cellStyle name="Normal 4 2 4 3 2 3 2 4" xfId="20352" xr:uid="{8455D2FD-06D8-468B-9CAB-048A75B71846}"/>
    <cellStyle name="Normal 4 2 4 3 2 3 3" xfId="5567" xr:uid="{00000000-0005-0000-0000-000085130000}"/>
    <cellStyle name="Normal 4 2 4 3 2 3 3 2" xfId="13996" xr:uid="{3D7E90FC-A472-4FC5-AF1B-A895033D7514}"/>
    <cellStyle name="Normal 4 2 4 3 2 3 3 3" xfId="26629" xr:uid="{D203C9DD-21B0-4127-85EF-2C39490D9675}"/>
    <cellStyle name="Normal 4 2 4 3 2 3 4" xfId="9778" xr:uid="{E3433766-AC9E-480B-96A8-953B5F3C5543}"/>
    <cellStyle name="Normal 4 2 4 3 2 3 4 2" xfId="22418" xr:uid="{E81D640E-8F18-4EA0-B90E-CF8134835721}"/>
    <cellStyle name="Normal 4 2 4 3 2 3 5" xfId="18207" xr:uid="{FEA4AAA6-744A-43CF-B64B-3408C26D39FC}"/>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412247C5-CC6D-4A17-8E2F-3F12F9224622}"/>
    <cellStyle name="Normal 4 2 4 3 2 4 2 2 3" xfId="29187" xr:uid="{BD3F5122-DF36-43B4-AFB2-122CE08E72B9}"/>
    <cellStyle name="Normal 4 2 4 3 2 4 2 3" xfId="12336" xr:uid="{3F545F00-7867-45A5-A24F-876BC039C8CA}"/>
    <cellStyle name="Normal 4 2 4 3 2 4 2 3 2" xfId="24976" xr:uid="{5A9CF16F-E753-42A7-9F1E-B1D02DA5DD60}"/>
    <cellStyle name="Normal 4 2 4 3 2 4 2 4" xfId="20765" xr:uid="{2A527967-3A33-423C-BAFD-2185A3643E1F}"/>
    <cellStyle name="Normal 4 2 4 3 2 4 3" xfId="5980" xr:uid="{00000000-0005-0000-0000-000089130000}"/>
    <cellStyle name="Normal 4 2 4 3 2 4 3 2" xfId="14409" xr:uid="{47D85CD0-6176-435F-A235-D1EB59C623FD}"/>
    <cellStyle name="Normal 4 2 4 3 2 4 3 3" xfId="27042" xr:uid="{A0729F69-41A1-4D48-920D-89EB6E927A63}"/>
    <cellStyle name="Normal 4 2 4 3 2 4 4" xfId="10191" xr:uid="{62909B2C-2E2D-4BAF-B429-AC701AD9C573}"/>
    <cellStyle name="Normal 4 2 4 3 2 4 4 2" xfId="22831" xr:uid="{03B54558-B4E7-4C87-A3D2-C2A3D7C7EE10}"/>
    <cellStyle name="Normal 4 2 4 3 2 4 5" xfId="18620" xr:uid="{EBE870BC-0511-42AD-ACA6-A0C6DFE6539C}"/>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2E6A5E5D-801A-4823-AC69-05BAEC2C04F0}"/>
    <cellStyle name="Normal 4 2 4 3 2 5 2 2 3" xfId="29600" xr:uid="{C9DBCB18-6B0F-458C-B381-4324C1E1B60D}"/>
    <cellStyle name="Normal 4 2 4 3 2 5 2 3" xfId="12749" xr:uid="{EF71422D-F8D5-4411-A354-767C5F8C820C}"/>
    <cellStyle name="Normal 4 2 4 3 2 5 2 3 2" xfId="25389" xr:uid="{12E6D8DE-90DD-499A-B1A4-D65AB7DAF630}"/>
    <cellStyle name="Normal 4 2 4 3 2 5 2 4" xfId="21178" xr:uid="{0996FD87-C087-40C1-8F93-1490CA4AEA8F}"/>
    <cellStyle name="Normal 4 2 4 3 2 5 3" xfId="6393" xr:uid="{00000000-0005-0000-0000-00008D130000}"/>
    <cellStyle name="Normal 4 2 4 3 2 5 3 2" xfId="14822" xr:uid="{73EDACA3-563E-407F-9F77-71B807FF9AEC}"/>
    <cellStyle name="Normal 4 2 4 3 2 5 3 3" xfId="27455" xr:uid="{67BBF2F9-AECF-4FF5-A670-7D328B1C98FE}"/>
    <cellStyle name="Normal 4 2 4 3 2 5 4" xfId="10604" xr:uid="{6C80C5E1-67A3-4D2D-B43F-A7757AA78BFC}"/>
    <cellStyle name="Normal 4 2 4 3 2 5 4 2" xfId="23244" xr:uid="{86850C26-0240-4875-8AB8-C0461F24DC5A}"/>
    <cellStyle name="Normal 4 2 4 3 2 5 5" xfId="19033" xr:uid="{EE9F9AC9-ED03-4945-B4CE-2893F7FD8719}"/>
    <cellStyle name="Normal 4 2 4 3 2 6" xfId="2521" xr:uid="{00000000-0005-0000-0000-00008E130000}"/>
    <cellStyle name="Normal 4 2 4 3 2 6 2" xfId="6806" xr:uid="{00000000-0005-0000-0000-00008F130000}"/>
    <cellStyle name="Normal 4 2 4 3 2 6 2 2" xfId="15235" xr:uid="{58E5D37B-5CEA-421F-BDA7-BC897C21423B}"/>
    <cellStyle name="Normal 4 2 4 3 2 6 2 3" xfId="27868" xr:uid="{583CD231-3239-46B4-86BC-3CDD725056F5}"/>
    <cellStyle name="Normal 4 2 4 3 2 6 3" xfId="11017" xr:uid="{BEF782A4-2AF0-4729-8378-670B42935EF2}"/>
    <cellStyle name="Normal 4 2 4 3 2 6 3 2" xfId="23657" xr:uid="{F9C26713-D7F7-4FEC-A28F-591C8E5DF3C6}"/>
    <cellStyle name="Normal 4 2 4 3 2 6 4" xfId="19446" xr:uid="{1E92197D-6C91-48E0-BDCD-3F6896E9130A}"/>
    <cellStyle name="Normal 4 2 4 3 2 7" xfId="4741" xr:uid="{00000000-0005-0000-0000-000090130000}"/>
    <cellStyle name="Normal 4 2 4 3 2 7 2" xfId="13170" xr:uid="{469403DD-5F7E-4D16-9091-77DC8CA60F8E}"/>
    <cellStyle name="Normal 4 2 4 3 2 7 3" xfId="25803" xr:uid="{BB072983-FA54-49FC-9B13-08B19FAFDF1F}"/>
    <cellStyle name="Normal 4 2 4 3 2 8" xfId="8952" xr:uid="{DBEE3E86-8760-431D-A2F4-622D99F573FE}"/>
    <cellStyle name="Normal 4 2 4 3 2 8 2" xfId="21592" xr:uid="{62CBE46A-70AE-456C-B6A0-47965118A0AC}"/>
    <cellStyle name="Normal 4 2 4 3 2 9" xfId="17381" xr:uid="{19A6065A-FC82-450D-AFDB-8B3F2EC17120}"/>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B9943FB5-6D56-442A-8CBF-55BC8819B29C}"/>
    <cellStyle name="Normal 4 2 4 3 3 2 2 3" xfId="28360" xr:uid="{23688D81-ADA1-4691-A7AF-0694B80BF090}"/>
    <cellStyle name="Normal 4 2 4 3 3 2 3" xfId="11509" xr:uid="{982BE4EA-E0EB-4BAE-ADC2-592FAEE8D4BB}"/>
    <cellStyle name="Normal 4 2 4 3 3 2 3 2" xfId="24149" xr:uid="{23A26406-2428-42C6-B51B-2EC5023F021C}"/>
    <cellStyle name="Normal 4 2 4 3 3 2 4" xfId="19938" xr:uid="{28578157-649B-4F6C-AEF9-60E559914D42}"/>
    <cellStyle name="Normal 4 2 4 3 3 3" xfId="5153" xr:uid="{00000000-0005-0000-0000-000094130000}"/>
    <cellStyle name="Normal 4 2 4 3 3 3 2" xfId="13582" xr:uid="{9E9CECA0-3502-492B-8DA7-6063BFD5B5DA}"/>
    <cellStyle name="Normal 4 2 4 3 3 3 3" xfId="26215" xr:uid="{3D7460EE-0738-474E-8AFC-3E80602132B6}"/>
    <cellStyle name="Normal 4 2 4 3 3 4" xfId="9364" xr:uid="{7779C008-7316-4A83-8ABA-7E0BA0975B4A}"/>
    <cellStyle name="Normal 4 2 4 3 3 4 2" xfId="22004" xr:uid="{0144542C-EB29-4768-9FD4-9C6223B89AA7}"/>
    <cellStyle name="Normal 4 2 4 3 3 5" xfId="17793" xr:uid="{E58E33A6-F241-4A85-A435-D027F6803ADA}"/>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C472C331-72BF-4FA4-85C0-FCE9765F4B34}"/>
    <cellStyle name="Normal 4 2 4 3 4 2 2 3" xfId="28773" xr:uid="{E87CAB35-7361-400B-A8CF-C0F415E52025}"/>
    <cellStyle name="Normal 4 2 4 3 4 2 3" xfId="11922" xr:uid="{071910CF-EC18-417C-89B8-766D54F1C109}"/>
    <cellStyle name="Normal 4 2 4 3 4 2 3 2" xfId="24562" xr:uid="{86765601-770F-4AA3-9A3E-2D0842786276}"/>
    <cellStyle name="Normal 4 2 4 3 4 2 4" xfId="20351" xr:uid="{893FF844-9E97-4F71-AD9E-1DE0EF765452}"/>
    <cellStyle name="Normal 4 2 4 3 4 3" xfId="5566" xr:uid="{00000000-0005-0000-0000-000098130000}"/>
    <cellStyle name="Normal 4 2 4 3 4 3 2" xfId="13995" xr:uid="{3DF66B0F-2973-4BC0-B2B4-0D383A3AE947}"/>
    <cellStyle name="Normal 4 2 4 3 4 3 3" xfId="26628" xr:uid="{9A3745C2-ABB6-4FCA-880E-F41D6FF81968}"/>
    <cellStyle name="Normal 4 2 4 3 4 4" xfId="9777" xr:uid="{396EA67C-6BE6-4026-8FFA-DECF6C92D913}"/>
    <cellStyle name="Normal 4 2 4 3 4 4 2" xfId="22417" xr:uid="{E555CF15-E2B3-4CF4-9CC7-F06B5FF04FD7}"/>
    <cellStyle name="Normal 4 2 4 3 4 5" xfId="18206" xr:uid="{D3AC4F32-CBBC-41DD-B2FD-B8197496355C}"/>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C9DED420-234A-406E-A0AA-C8C505C544FA}"/>
    <cellStyle name="Normal 4 2 4 3 5 2 2 3" xfId="29186" xr:uid="{3A18D814-1731-498B-A0E2-A0F46391FA11}"/>
    <cellStyle name="Normal 4 2 4 3 5 2 3" xfId="12335" xr:uid="{A335243A-DB21-4BA0-BB62-977D4810F989}"/>
    <cellStyle name="Normal 4 2 4 3 5 2 3 2" xfId="24975" xr:uid="{BEE13AB5-9263-4DBF-B4CC-956A8DE36B02}"/>
    <cellStyle name="Normal 4 2 4 3 5 2 4" xfId="20764" xr:uid="{279BFACA-63E0-4661-B92E-72AE85D09BDE}"/>
    <cellStyle name="Normal 4 2 4 3 5 3" xfId="5979" xr:uid="{00000000-0005-0000-0000-00009C130000}"/>
    <cellStyle name="Normal 4 2 4 3 5 3 2" xfId="14408" xr:uid="{1818006E-9F19-409F-A656-768C4D357614}"/>
    <cellStyle name="Normal 4 2 4 3 5 3 3" xfId="27041" xr:uid="{B2A77A16-6DE2-41ED-97C0-F23C2F8F553F}"/>
    <cellStyle name="Normal 4 2 4 3 5 4" xfId="10190" xr:uid="{8957742D-D3FA-46A8-83C7-11C273469DE7}"/>
    <cellStyle name="Normal 4 2 4 3 5 4 2" xfId="22830" xr:uid="{A126373A-6519-46FD-AD12-7E4391741B08}"/>
    <cellStyle name="Normal 4 2 4 3 5 5" xfId="18619" xr:uid="{F862C53D-A9F4-4EB9-9DFC-3D08BD05AF59}"/>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BEE4F201-1B15-4F54-B48D-DE3A65D62DBC}"/>
    <cellStyle name="Normal 4 2 4 3 6 2 2 3" xfId="29599" xr:uid="{CF68EB8B-27C2-4A5E-93DA-CBEACA21289F}"/>
    <cellStyle name="Normal 4 2 4 3 6 2 3" xfId="12748" xr:uid="{079C340A-065C-49A1-BE22-3507E0FC5D44}"/>
    <cellStyle name="Normal 4 2 4 3 6 2 3 2" xfId="25388" xr:uid="{3070B231-788C-4FB2-8810-C76612773C40}"/>
    <cellStyle name="Normal 4 2 4 3 6 2 4" xfId="21177" xr:uid="{BD46B140-2FC0-4E19-8366-63F000B92BF8}"/>
    <cellStyle name="Normal 4 2 4 3 6 3" xfId="6392" xr:uid="{00000000-0005-0000-0000-0000A0130000}"/>
    <cellStyle name="Normal 4 2 4 3 6 3 2" xfId="14821" xr:uid="{AF37EB98-03BE-4220-A7B7-F788761476E6}"/>
    <cellStyle name="Normal 4 2 4 3 6 3 3" xfId="27454" xr:uid="{5E7B375F-F502-46FE-A2C8-6487D40712F1}"/>
    <cellStyle name="Normal 4 2 4 3 6 4" xfId="10603" xr:uid="{1503D478-F736-4576-AC10-2E295D3C5B69}"/>
    <cellStyle name="Normal 4 2 4 3 6 4 2" xfId="23243" xr:uid="{2A4EECA3-22A2-4D1D-A833-E8D8DFB7C440}"/>
    <cellStyle name="Normal 4 2 4 3 6 5" xfId="19032" xr:uid="{B63AAF14-005D-471E-9C6C-58EE7514AB10}"/>
    <cellStyle name="Normal 4 2 4 3 7" xfId="2520" xr:uid="{00000000-0005-0000-0000-0000A1130000}"/>
    <cellStyle name="Normal 4 2 4 3 7 2" xfId="6805" xr:uid="{00000000-0005-0000-0000-0000A2130000}"/>
    <cellStyle name="Normal 4 2 4 3 7 2 2" xfId="15234" xr:uid="{A0E10163-0161-4569-85AE-F8E65359E3E7}"/>
    <cellStyle name="Normal 4 2 4 3 7 2 3" xfId="27867" xr:uid="{16B9AC1D-8346-4019-9526-7B67798EF6AD}"/>
    <cellStyle name="Normal 4 2 4 3 7 3" xfId="11016" xr:uid="{220B25F6-CDBD-4565-959F-3F3934865BE3}"/>
    <cellStyle name="Normal 4 2 4 3 7 3 2" xfId="23656" xr:uid="{1CE1DED7-6A82-41CE-AA02-15F9B410FD4B}"/>
    <cellStyle name="Normal 4 2 4 3 7 4" xfId="19445" xr:uid="{02AB4B1A-8351-45B8-AB20-0111B34DBBCB}"/>
    <cellStyle name="Normal 4 2 4 3 8" xfId="4740" xr:uid="{00000000-0005-0000-0000-0000A3130000}"/>
    <cellStyle name="Normal 4 2 4 3 8 2" xfId="13169" xr:uid="{CBAF0B4D-C94B-441F-A8B8-6EDC65E2355F}"/>
    <cellStyle name="Normal 4 2 4 3 8 3" xfId="25802" xr:uid="{0638AD30-1378-4AB3-9D37-70B67FD8D2F7}"/>
    <cellStyle name="Normal 4 2 4 3 9" xfId="8951" xr:uid="{C8394E1A-791C-42E3-834E-6CE2749A6CC2}"/>
    <cellStyle name="Normal 4 2 4 3 9 2" xfId="21591" xr:uid="{EAF33EEE-876F-47B0-B26B-E5AF2320EC3D}"/>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8B0E1492-6E14-4108-A116-C32A6487E224}"/>
    <cellStyle name="Normal 4 2 4 4 2 2 2 3" xfId="28362" xr:uid="{D33C16D7-9A23-41A6-9F91-45A46F923769}"/>
    <cellStyle name="Normal 4 2 4 4 2 2 3" xfId="11511" xr:uid="{7B6A859E-8F83-471D-BF5A-62F5420E5D78}"/>
    <cellStyle name="Normal 4 2 4 4 2 2 3 2" xfId="24151" xr:uid="{49A714A6-369D-44B2-8CF3-935C405FA57F}"/>
    <cellStyle name="Normal 4 2 4 4 2 2 4" xfId="19940" xr:uid="{309BF5FA-657C-41FC-AF83-B3DD0C7652EE}"/>
    <cellStyle name="Normal 4 2 4 4 2 3" xfId="5155" xr:uid="{00000000-0005-0000-0000-0000A8130000}"/>
    <cellStyle name="Normal 4 2 4 4 2 3 2" xfId="13584" xr:uid="{95861AAE-9FB8-482F-9169-B7FF7A9DF54C}"/>
    <cellStyle name="Normal 4 2 4 4 2 3 3" xfId="26217" xr:uid="{5E2B8597-9E5B-4623-BBC6-A0116CAFDD9A}"/>
    <cellStyle name="Normal 4 2 4 4 2 4" xfId="9366" xr:uid="{DD754E67-744C-417E-B907-F08899FED412}"/>
    <cellStyle name="Normal 4 2 4 4 2 4 2" xfId="22006" xr:uid="{6B1889DC-D830-4AC0-896E-9196D09C24F9}"/>
    <cellStyle name="Normal 4 2 4 4 2 5" xfId="17795" xr:uid="{790D6BAE-F7CB-4EB6-9A1B-A02E39B7D7BA}"/>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4E3E0DB2-AEC0-416F-8875-8CA1FC56D70B}"/>
    <cellStyle name="Normal 4 2 4 4 3 2 2 3" xfId="28775" xr:uid="{9708F733-7CF7-4F34-8492-6D1C2838EE45}"/>
    <cellStyle name="Normal 4 2 4 4 3 2 3" xfId="11924" xr:uid="{222FC24F-03B9-44F3-933A-6F0F134E5C78}"/>
    <cellStyle name="Normal 4 2 4 4 3 2 3 2" xfId="24564" xr:uid="{C9BB3807-F047-45D1-970C-B98A32754D44}"/>
    <cellStyle name="Normal 4 2 4 4 3 2 4" xfId="20353" xr:uid="{9DC2E0ED-351A-453E-91E7-F14C29EFA935}"/>
    <cellStyle name="Normal 4 2 4 4 3 3" xfId="5568" xr:uid="{00000000-0005-0000-0000-0000AC130000}"/>
    <cellStyle name="Normal 4 2 4 4 3 3 2" xfId="13997" xr:uid="{002808E4-00C6-44C5-80C5-1BB463D8170C}"/>
    <cellStyle name="Normal 4 2 4 4 3 3 3" xfId="26630" xr:uid="{DEEF0488-9EA8-4164-8009-7E05315B8427}"/>
    <cellStyle name="Normal 4 2 4 4 3 4" xfId="9779" xr:uid="{BF0368F2-4FB6-480A-B53E-3B02F3BC62A1}"/>
    <cellStyle name="Normal 4 2 4 4 3 4 2" xfId="22419" xr:uid="{9D5CB0E5-DE20-431C-A8DD-6D50444BDDE0}"/>
    <cellStyle name="Normal 4 2 4 4 3 5" xfId="18208" xr:uid="{06C3EFF8-284C-4371-A8E1-678A11E39AA8}"/>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8BFB266C-A467-4397-B6ED-5EB3954903E0}"/>
    <cellStyle name="Normal 4 2 4 4 4 2 2 3" xfId="29188" xr:uid="{B2336BD1-8AA0-46C9-8AAA-A61FDBEBBC84}"/>
    <cellStyle name="Normal 4 2 4 4 4 2 3" xfId="12337" xr:uid="{1379583F-7AB7-42A4-B9B7-4C5F16E64A84}"/>
    <cellStyle name="Normal 4 2 4 4 4 2 3 2" xfId="24977" xr:uid="{8474E815-3F4B-4F72-9DD9-B016A4F3FAEE}"/>
    <cellStyle name="Normal 4 2 4 4 4 2 4" xfId="20766" xr:uid="{7E245AEE-D390-4575-A9C3-8D50728D9F64}"/>
    <cellStyle name="Normal 4 2 4 4 4 3" xfId="5981" xr:uid="{00000000-0005-0000-0000-0000B0130000}"/>
    <cellStyle name="Normal 4 2 4 4 4 3 2" xfId="14410" xr:uid="{C874A078-E16B-4BED-ACF8-FB7160C67F3B}"/>
    <cellStyle name="Normal 4 2 4 4 4 3 3" xfId="27043" xr:uid="{CDE3EB45-41D7-4FCD-92EA-D9C155351A5B}"/>
    <cellStyle name="Normal 4 2 4 4 4 4" xfId="10192" xr:uid="{7E40C3F3-33F4-4B05-82F9-291BB115DA0F}"/>
    <cellStyle name="Normal 4 2 4 4 4 4 2" xfId="22832" xr:uid="{36C1AFA1-D53B-42C8-A238-1CD2D4F8B402}"/>
    <cellStyle name="Normal 4 2 4 4 4 5" xfId="18621" xr:uid="{05F6714C-57C8-4A72-968F-DE7650DF1498}"/>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94E159D7-4984-4A9B-A1AA-1F1EF269999E}"/>
    <cellStyle name="Normal 4 2 4 4 5 2 2 3" xfId="29601" xr:uid="{964C9441-11EA-4BEE-94AE-5E5D42676CEC}"/>
    <cellStyle name="Normal 4 2 4 4 5 2 3" xfId="12750" xr:uid="{F5FCDAE8-F05D-45A0-AADA-3F90FF4A1D59}"/>
    <cellStyle name="Normal 4 2 4 4 5 2 3 2" xfId="25390" xr:uid="{6E740E79-A903-4AA8-9C21-3D5924657E6E}"/>
    <cellStyle name="Normal 4 2 4 4 5 2 4" xfId="21179" xr:uid="{839FB5AA-DAB0-402C-B1C1-3DBDF36B061B}"/>
    <cellStyle name="Normal 4 2 4 4 5 3" xfId="6394" xr:uid="{00000000-0005-0000-0000-0000B4130000}"/>
    <cellStyle name="Normal 4 2 4 4 5 3 2" xfId="14823" xr:uid="{75A34273-96DC-49F3-BC15-39F85862A972}"/>
    <cellStyle name="Normal 4 2 4 4 5 3 3" xfId="27456" xr:uid="{ADF29AD0-4442-44FA-A428-DB4C377B54A1}"/>
    <cellStyle name="Normal 4 2 4 4 5 4" xfId="10605" xr:uid="{FE208675-EF8D-482D-9CE7-6E34035EA7A3}"/>
    <cellStyle name="Normal 4 2 4 4 5 4 2" xfId="23245" xr:uid="{65EC5B76-CBD5-4F9E-8B95-E2C15B098C66}"/>
    <cellStyle name="Normal 4 2 4 4 5 5" xfId="19034" xr:uid="{F61583EC-EC14-4D32-BC28-6459A979E480}"/>
    <cellStyle name="Normal 4 2 4 4 6" xfId="2522" xr:uid="{00000000-0005-0000-0000-0000B5130000}"/>
    <cellStyle name="Normal 4 2 4 4 6 2" xfId="6807" xr:uid="{00000000-0005-0000-0000-0000B6130000}"/>
    <cellStyle name="Normal 4 2 4 4 6 2 2" xfId="15236" xr:uid="{C14679B9-DBDB-43EC-A0AE-5B842F6652BC}"/>
    <cellStyle name="Normal 4 2 4 4 6 2 3" xfId="27869" xr:uid="{CD29FFFD-EF7E-46E7-81DF-203E90B75D7B}"/>
    <cellStyle name="Normal 4 2 4 4 6 3" xfId="11018" xr:uid="{9AD3D03D-EE42-4F53-9556-CC81BB4D17B6}"/>
    <cellStyle name="Normal 4 2 4 4 6 3 2" xfId="23658" xr:uid="{61A99A38-2657-4A19-ABB6-9DE3F851EA05}"/>
    <cellStyle name="Normal 4 2 4 4 6 4" xfId="19447" xr:uid="{39E31523-03EC-4AA7-919B-1D7BDC24405D}"/>
    <cellStyle name="Normal 4 2 4 4 7" xfId="4742" xr:uid="{00000000-0005-0000-0000-0000B7130000}"/>
    <cellStyle name="Normal 4 2 4 4 7 2" xfId="13171" xr:uid="{BC020D3C-B096-4A5A-AFA4-87A29F457025}"/>
    <cellStyle name="Normal 4 2 4 4 7 3" xfId="25804" xr:uid="{CA959813-CCEE-42EC-8AFC-705CE46663DA}"/>
    <cellStyle name="Normal 4 2 4 4 8" xfId="8953" xr:uid="{0E7623EB-4793-443C-A9B6-A9C88CD316FA}"/>
    <cellStyle name="Normal 4 2 4 4 8 2" xfId="21593" xr:uid="{B95C3410-2EB1-4DCF-997B-E7DA9785E757}"/>
    <cellStyle name="Normal 4 2 4 4 9" xfId="17382" xr:uid="{385E8D3B-E130-4449-A471-025B5AF61D37}"/>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D6259F32-D125-4B38-833C-72E48F1FA50D}"/>
    <cellStyle name="Normal 4 2 4 5 2 2 3" xfId="28355" xr:uid="{D1107B46-C019-4FBB-A1B9-2C9541091AC8}"/>
    <cellStyle name="Normal 4 2 4 5 2 3" xfId="11504" xr:uid="{FFF055FB-E8FC-4F99-9D8C-E8EA29953833}"/>
    <cellStyle name="Normal 4 2 4 5 2 3 2" xfId="24144" xr:uid="{6082B565-EAC5-40DD-AE1B-3051FD64B0F4}"/>
    <cellStyle name="Normal 4 2 4 5 2 4" xfId="19933" xr:uid="{2ABF92D6-FE5D-4158-9529-CEC1D7EEC751}"/>
    <cellStyle name="Normal 4 2 4 5 3" xfId="5148" xr:uid="{00000000-0005-0000-0000-0000BB130000}"/>
    <cellStyle name="Normal 4 2 4 5 3 2" xfId="13577" xr:uid="{31A9E367-F3E6-4C98-B370-C2D41472C7EE}"/>
    <cellStyle name="Normal 4 2 4 5 3 3" xfId="26210" xr:uid="{A4F261DB-5C4A-4286-B077-7EE2E688DB73}"/>
    <cellStyle name="Normal 4 2 4 5 4" xfId="9359" xr:uid="{E4660AE9-AD3F-4D83-ACBC-D97B3D7FC141}"/>
    <cellStyle name="Normal 4 2 4 5 4 2" xfId="21999" xr:uid="{4EC8D113-0670-4F3F-92EF-698DA0AFCDBE}"/>
    <cellStyle name="Normal 4 2 4 5 5" xfId="17788" xr:uid="{62A1D988-D39A-4476-8EC1-C00309126DFB}"/>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7AF802DA-7898-4765-9A98-447CB0140F03}"/>
    <cellStyle name="Normal 4 2 4 6 2 2 3" xfId="28768" xr:uid="{B78A7D53-096F-4088-8C27-9B7C409745C6}"/>
    <cellStyle name="Normal 4 2 4 6 2 3" xfId="11917" xr:uid="{18814D5B-53E1-4578-AB0B-FEC025A7FAE9}"/>
    <cellStyle name="Normal 4 2 4 6 2 3 2" xfId="24557" xr:uid="{7D535B7A-3FEE-428A-B7E8-5AC9ED268A59}"/>
    <cellStyle name="Normal 4 2 4 6 2 4" xfId="20346" xr:uid="{EE6F70FB-98CA-478B-B5B7-499170A5CAA4}"/>
    <cellStyle name="Normal 4 2 4 6 3" xfId="5561" xr:uid="{00000000-0005-0000-0000-0000BF130000}"/>
    <cellStyle name="Normal 4 2 4 6 3 2" xfId="13990" xr:uid="{0C47BF51-9136-45C0-996B-441EC35DF4CE}"/>
    <cellStyle name="Normal 4 2 4 6 3 3" xfId="26623" xr:uid="{43FDC0E4-E66D-41B0-A804-3AAA48DD9991}"/>
    <cellStyle name="Normal 4 2 4 6 4" xfId="9772" xr:uid="{35DBD149-1687-4150-98F4-A35D7A2318EE}"/>
    <cellStyle name="Normal 4 2 4 6 4 2" xfId="22412" xr:uid="{130527F9-FDF4-456E-96E2-79524562CC0D}"/>
    <cellStyle name="Normal 4 2 4 6 5" xfId="18201" xr:uid="{4AD295F5-0BBA-46A8-9D48-B3AA8BCAF4AB}"/>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0E15E241-D2FB-4D74-8276-79A7110A2720}"/>
    <cellStyle name="Normal 4 2 4 7 2 2 3" xfId="29181" xr:uid="{0D52A811-14D1-43B9-8FDB-04864B18751E}"/>
    <cellStyle name="Normal 4 2 4 7 2 3" xfId="12330" xr:uid="{4FFA3E95-A771-42AA-BD9D-CF7D82EFD857}"/>
    <cellStyle name="Normal 4 2 4 7 2 3 2" xfId="24970" xr:uid="{30D2AC47-A667-4573-B8D8-F38FB7C8A7FB}"/>
    <cellStyle name="Normal 4 2 4 7 2 4" xfId="20759" xr:uid="{28647523-C3BE-4C49-AB27-7A236536FAFC}"/>
    <cellStyle name="Normal 4 2 4 7 3" xfId="5974" xr:uid="{00000000-0005-0000-0000-0000C3130000}"/>
    <cellStyle name="Normal 4 2 4 7 3 2" xfId="14403" xr:uid="{EF75F610-FADE-4447-ABE6-1B7F85BCDAFD}"/>
    <cellStyle name="Normal 4 2 4 7 3 3" xfId="27036" xr:uid="{5267433C-69A1-48A1-A058-2AEB2ACE2C4F}"/>
    <cellStyle name="Normal 4 2 4 7 4" xfId="10185" xr:uid="{4F64BBBC-6B1E-49C0-868C-18BEEF8A6D3A}"/>
    <cellStyle name="Normal 4 2 4 7 4 2" xfId="22825" xr:uid="{13319497-2D1F-4FEE-834A-06E3087EE515}"/>
    <cellStyle name="Normal 4 2 4 7 5" xfId="18614" xr:uid="{9EEC6D00-E7BE-4904-912A-0B876F73922B}"/>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6621F09B-E45D-499C-B4F9-F444BB279561}"/>
    <cellStyle name="Normal 4 2 4 8 2 2 3" xfId="29594" xr:uid="{3089B311-F0F3-4567-981D-52658B8981E8}"/>
    <cellStyle name="Normal 4 2 4 8 2 3" xfId="12743" xr:uid="{427259B0-2B39-4817-B4FD-30D3CD4CBBA8}"/>
    <cellStyle name="Normal 4 2 4 8 2 3 2" xfId="25383" xr:uid="{29B94DFB-5E34-42C9-859E-01583093C67C}"/>
    <cellStyle name="Normal 4 2 4 8 2 4" xfId="21172" xr:uid="{4B964C4D-681A-491A-8723-424B96A51902}"/>
    <cellStyle name="Normal 4 2 4 8 3" xfId="6387" xr:uid="{00000000-0005-0000-0000-0000C7130000}"/>
    <cellStyle name="Normal 4 2 4 8 3 2" xfId="14816" xr:uid="{904AAC58-2FE5-488E-88D6-A277F19C9EA7}"/>
    <cellStyle name="Normal 4 2 4 8 3 3" xfId="27449" xr:uid="{9CCEFA8F-309D-478B-8579-A0A91D64911F}"/>
    <cellStyle name="Normal 4 2 4 8 4" xfId="10598" xr:uid="{A095064E-CD95-49BF-8EE8-67A79CF4AC9F}"/>
    <cellStyle name="Normal 4 2 4 8 4 2" xfId="23238" xr:uid="{BCC26FB4-86DB-4559-B5AA-76F7FF1531E6}"/>
    <cellStyle name="Normal 4 2 4 8 5" xfId="19027" xr:uid="{73EEE613-BE23-46AB-AF85-75922AE304ED}"/>
    <cellStyle name="Normal 4 2 4 9" xfId="2515" xr:uid="{00000000-0005-0000-0000-0000C8130000}"/>
    <cellStyle name="Normal 4 2 4 9 2" xfId="6800" xr:uid="{00000000-0005-0000-0000-0000C9130000}"/>
    <cellStyle name="Normal 4 2 4 9 2 2" xfId="15229" xr:uid="{24790C3B-F77C-4818-8E20-EED44DD3EB06}"/>
    <cellStyle name="Normal 4 2 4 9 2 3" xfId="27862" xr:uid="{8C9C5C0B-6C2F-4794-A191-961B964F908B}"/>
    <cellStyle name="Normal 4 2 4 9 3" xfId="11011" xr:uid="{4B3724C9-C9EC-4509-8D68-7519BEB9379C}"/>
    <cellStyle name="Normal 4 2 4 9 3 2" xfId="23651" xr:uid="{612E4DCC-4011-45CD-8877-A47E308646F2}"/>
    <cellStyle name="Normal 4 2 4 9 4" xfId="19440" xr:uid="{F1D89453-AA79-4BE3-ACC9-363C7A3E3935}"/>
    <cellStyle name="Normal 4 2 5" xfId="363" xr:uid="{00000000-0005-0000-0000-0000CA130000}"/>
    <cellStyle name="Normal 4 2 5 10" xfId="17383" xr:uid="{DE3F13F5-836C-4F0B-B6C4-A209496ECC9C}"/>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16CF896A-523B-45E5-9316-EDE5C0F1DC7F}"/>
    <cellStyle name="Normal 4 2 5 2 2 2 2 3" xfId="28364" xr:uid="{132F8048-478A-4A65-BE97-505AA2436672}"/>
    <cellStyle name="Normal 4 2 5 2 2 2 3" xfId="11513" xr:uid="{35C90573-B9D9-4FBD-8C72-1396FFFEE50D}"/>
    <cellStyle name="Normal 4 2 5 2 2 2 3 2" xfId="24153" xr:uid="{60AAABEB-F012-4703-802D-7678197BF3C4}"/>
    <cellStyle name="Normal 4 2 5 2 2 2 4" xfId="19942" xr:uid="{B9A4D080-E4AC-4BE4-81B5-0A7C8A9F627E}"/>
    <cellStyle name="Normal 4 2 5 2 2 3" xfId="5157" xr:uid="{00000000-0005-0000-0000-0000CF130000}"/>
    <cellStyle name="Normal 4 2 5 2 2 3 2" xfId="13586" xr:uid="{B018F080-E275-4EB3-9110-A86E02D912A5}"/>
    <cellStyle name="Normal 4 2 5 2 2 3 3" xfId="26219" xr:uid="{E1183264-ED57-48DB-AB72-B803C236261E}"/>
    <cellStyle name="Normal 4 2 5 2 2 4" xfId="9368" xr:uid="{33F02408-662A-44C6-84FA-AD3F42F38BE7}"/>
    <cellStyle name="Normal 4 2 5 2 2 4 2" xfId="22008" xr:uid="{D52C1F8B-8488-4680-8BBE-09CADEFE7C71}"/>
    <cellStyle name="Normal 4 2 5 2 2 5" xfId="17797" xr:uid="{B2BABFC9-8BBB-42FE-AEC2-E1CD00DA75F4}"/>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88486D89-7CE4-40F5-B2B4-40A81F11B702}"/>
    <cellStyle name="Normal 4 2 5 2 3 2 2 3" xfId="28777" xr:uid="{9D00B186-ABC7-4517-A284-7E49332983C8}"/>
    <cellStyle name="Normal 4 2 5 2 3 2 3" xfId="11926" xr:uid="{293E78F1-7828-4451-9821-1A29E0AF6453}"/>
    <cellStyle name="Normal 4 2 5 2 3 2 3 2" xfId="24566" xr:uid="{EF972881-5D05-4F8B-97D2-97CB8DE4657B}"/>
    <cellStyle name="Normal 4 2 5 2 3 2 4" xfId="20355" xr:uid="{516D515F-4205-4FD5-B76C-60E5F2C3B0DF}"/>
    <cellStyle name="Normal 4 2 5 2 3 3" xfId="5570" xr:uid="{00000000-0005-0000-0000-0000D3130000}"/>
    <cellStyle name="Normal 4 2 5 2 3 3 2" xfId="13999" xr:uid="{62CCA466-F749-4BCB-84C9-3144560ADC92}"/>
    <cellStyle name="Normal 4 2 5 2 3 3 3" xfId="26632" xr:uid="{1D3D91A5-EE7D-4A84-99C4-0CE3B4F3A67C}"/>
    <cellStyle name="Normal 4 2 5 2 3 4" xfId="9781" xr:uid="{BAEF4083-4F24-4909-A0C2-257DB7BA03E1}"/>
    <cellStyle name="Normal 4 2 5 2 3 4 2" xfId="22421" xr:uid="{CBA948F2-F5B7-4DE2-8F4D-4F49C0D0957D}"/>
    <cellStyle name="Normal 4 2 5 2 3 5" xfId="18210" xr:uid="{7C007146-DF42-4566-B920-64E50EFE42FE}"/>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5DF466AF-FE35-48CA-B6D5-EAEFE0D23BE0}"/>
    <cellStyle name="Normal 4 2 5 2 4 2 2 3" xfId="29190" xr:uid="{434FCA23-6503-4E06-9A6C-CCCEBADCAA74}"/>
    <cellStyle name="Normal 4 2 5 2 4 2 3" xfId="12339" xr:uid="{C3080D64-A803-4FC5-B8C4-58ACF572973D}"/>
    <cellStyle name="Normal 4 2 5 2 4 2 3 2" xfId="24979" xr:uid="{A1DBF499-F3BF-430A-8360-C2E8A3248AC3}"/>
    <cellStyle name="Normal 4 2 5 2 4 2 4" xfId="20768" xr:uid="{00163FE4-B86C-4CBC-864D-3082ABBC5927}"/>
    <cellStyle name="Normal 4 2 5 2 4 3" xfId="5983" xr:uid="{00000000-0005-0000-0000-0000D7130000}"/>
    <cellStyle name="Normal 4 2 5 2 4 3 2" xfId="14412" xr:uid="{394EAD08-550C-4C9A-BF54-14E90A1A5839}"/>
    <cellStyle name="Normal 4 2 5 2 4 3 3" xfId="27045" xr:uid="{60A8BD7D-73CC-45DA-84F5-EA0351AC2A07}"/>
    <cellStyle name="Normal 4 2 5 2 4 4" xfId="10194" xr:uid="{FE4D1FB6-1EBA-4311-9D17-6BE6FC7F314D}"/>
    <cellStyle name="Normal 4 2 5 2 4 4 2" xfId="22834" xr:uid="{997E3B82-C436-4036-87E6-876FED2F3D6B}"/>
    <cellStyle name="Normal 4 2 5 2 4 5" xfId="18623" xr:uid="{DF6C8A6A-07FB-4864-AE3E-670DF31E8612}"/>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A223D9E2-38C2-4A78-95CD-349CA5F3BB97}"/>
    <cellStyle name="Normal 4 2 5 2 5 2 2 3" xfId="29603" xr:uid="{73577046-F9EB-4152-A62D-337A630FBD8E}"/>
    <cellStyle name="Normal 4 2 5 2 5 2 3" xfId="12752" xr:uid="{C50727D1-018F-4A72-BF3C-3443E7212A00}"/>
    <cellStyle name="Normal 4 2 5 2 5 2 3 2" xfId="25392" xr:uid="{70D0FE06-65AA-4F79-81D4-34D6C591CA36}"/>
    <cellStyle name="Normal 4 2 5 2 5 2 4" xfId="21181" xr:uid="{EB640E0F-D627-4FFF-99CF-00A7681D12CD}"/>
    <cellStyle name="Normal 4 2 5 2 5 3" xfId="6396" xr:uid="{00000000-0005-0000-0000-0000DB130000}"/>
    <cellStyle name="Normal 4 2 5 2 5 3 2" xfId="14825" xr:uid="{BE0A1C7E-1644-4367-B9EA-86F488F5E80F}"/>
    <cellStyle name="Normal 4 2 5 2 5 3 3" xfId="27458" xr:uid="{780F7782-A201-4596-8FF9-694B5E254826}"/>
    <cellStyle name="Normal 4 2 5 2 5 4" xfId="10607" xr:uid="{927510E5-7245-4525-8AA0-0EB494083130}"/>
    <cellStyle name="Normal 4 2 5 2 5 4 2" xfId="23247" xr:uid="{D68A6CA3-B08B-49ED-B040-756305774D9B}"/>
    <cellStyle name="Normal 4 2 5 2 5 5" xfId="19036" xr:uid="{8BCB2C96-ACB3-40C5-9D84-61E32ACC159B}"/>
    <cellStyle name="Normal 4 2 5 2 6" xfId="2524" xr:uid="{00000000-0005-0000-0000-0000DC130000}"/>
    <cellStyle name="Normal 4 2 5 2 6 2" xfId="6809" xr:uid="{00000000-0005-0000-0000-0000DD130000}"/>
    <cellStyle name="Normal 4 2 5 2 6 2 2" xfId="15238" xr:uid="{100A3308-A87D-473B-97E2-D3DE249443EF}"/>
    <cellStyle name="Normal 4 2 5 2 6 2 3" xfId="27871" xr:uid="{74E75920-1E45-43B0-8CA8-0CF31666427C}"/>
    <cellStyle name="Normal 4 2 5 2 6 3" xfId="11020" xr:uid="{E778C00F-3B6C-4334-BD89-6BF88D11A68A}"/>
    <cellStyle name="Normal 4 2 5 2 6 3 2" xfId="23660" xr:uid="{1CD85C7B-8F00-4BF6-838B-3C8E53E9D9B2}"/>
    <cellStyle name="Normal 4 2 5 2 6 4" xfId="19449" xr:uid="{BD36BDDE-8E9E-4E6E-8FBD-A824DA5941E4}"/>
    <cellStyle name="Normal 4 2 5 2 7" xfId="4744" xr:uid="{00000000-0005-0000-0000-0000DE130000}"/>
    <cellStyle name="Normal 4 2 5 2 7 2" xfId="13173" xr:uid="{28856CEA-6569-4B7C-9121-2EA7CAD915B9}"/>
    <cellStyle name="Normal 4 2 5 2 7 3" xfId="25806" xr:uid="{40F22A75-0270-467E-AA01-BD47A1160447}"/>
    <cellStyle name="Normal 4 2 5 2 8" xfId="8955" xr:uid="{AD325875-9BEA-4609-B359-4D273706D414}"/>
    <cellStyle name="Normal 4 2 5 2 8 2" xfId="21595" xr:uid="{F15F00E3-42CD-49BD-8ECE-6CF115336DF4}"/>
    <cellStyle name="Normal 4 2 5 2 9" xfId="17384" xr:uid="{E8C0E304-08B1-4C5E-8D3C-2A0FB0F67A29}"/>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D25055B3-B51C-4E8E-AD67-FFB691B9CE62}"/>
    <cellStyle name="Normal 4 2 5 3 2 2 3" xfId="28363" xr:uid="{FF637430-981B-4F65-998F-9B53C34906D6}"/>
    <cellStyle name="Normal 4 2 5 3 2 3" xfId="11512" xr:uid="{1A2174A8-1614-418F-B42B-A8D5D0A62C03}"/>
    <cellStyle name="Normal 4 2 5 3 2 3 2" xfId="24152" xr:uid="{E7C752F1-E605-4CD4-972A-B0FE998B2246}"/>
    <cellStyle name="Normal 4 2 5 3 2 4" xfId="19941" xr:uid="{9B725658-96F4-48E5-9B13-8260C0D5865C}"/>
    <cellStyle name="Normal 4 2 5 3 3" xfId="5156" xr:uid="{00000000-0005-0000-0000-0000E2130000}"/>
    <cellStyle name="Normal 4 2 5 3 3 2" xfId="13585" xr:uid="{786C5398-F5F2-48DA-A6A0-B1A8857B7D5F}"/>
    <cellStyle name="Normal 4 2 5 3 3 3" xfId="26218" xr:uid="{2C11BB9A-12C8-465F-B403-9447C5145D54}"/>
    <cellStyle name="Normal 4 2 5 3 4" xfId="9367" xr:uid="{AA1D7F1A-E9DE-418A-A59C-1AF8C3923D0B}"/>
    <cellStyle name="Normal 4 2 5 3 4 2" xfId="22007" xr:uid="{9FE8348E-B3E3-48B9-9428-9A24150D11CA}"/>
    <cellStyle name="Normal 4 2 5 3 5" xfId="17796" xr:uid="{441D9E3B-5BFD-4596-BDE4-BC33539FF7C3}"/>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DC91C675-774B-40DD-9F70-AE5A957BFD43}"/>
    <cellStyle name="Normal 4 2 5 4 2 2 3" xfId="28776" xr:uid="{E2835041-34B1-4ED5-A470-F891E925F5B2}"/>
    <cellStyle name="Normal 4 2 5 4 2 3" xfId="11925" xr:uid="{E6EC622E-1441-4174-8703-F6B9A1A93397}"/>
    <cellStyle name="Normal 4 2 5 4 2 3 2" xfId="24565" xr:uid="{4D6637A7-7EAD-4C2B-882D-DC90F0287B31}"/>
    <cellStyle name="Normal 4 2 5 4 2 4" xfId="20354" xr:uid="{6A556BFC-9E15-4B8A-BB6D-A040C26D78F8}"/>
    <cellStyle name="Normal 4 2 5 4 3" xfId="5569" xr:uid="{00000000-0005-0000-0000-0000E6130000}"/>
    <cellStyle name="Normal 4 2 5 4 3 2" xfId="13998" xr:uid="{65318D5F-99A4-4E41-863E-D33D6A81C2AB}"/>
    <cellStyle name="Normal 4 2 5 4 3 3" xfId="26631" xr:uid="{E6505B12-6637-4142-AA7C-ADEB47B65DC2}"/>
    <cellStyle name="Normal 4 2 5 4 4" xfId="9780" xr:uid="{93611A58-5A34-47DE-B784-44F9B310D109}"/>
    <cellStyle name="Normal 4 2 5 4 4 2" xfId="22420" xr:uid="{4838E14E-A452-497A-A5FD-CB609CD54540}"/>
    <cellStyle name="Normal 4 2 5 4 5" xfId="18209" xr:uid="{B2F6A4B8-1F39-4F58-B01A-6624C5448CAC}"/>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C18B40F6-5CF0-4CFA-AD72-729C68C18A76}"/>
    <cellStyle name="Normal 4 2 5 5 2 2 3" xfId="29189" xr:uid="{59AC7C94-DFE3-4CDC-8F6C-5F697C3737DD}"/>
    <cellStyle name="Normal 4 2 5 5 2 3" xfId="12338" xr:uid="{6F9D6D27-EDF4-4A26-82BA-B4EA51F90761}"/>
    <cellStyle name="Normal 4 2 5 5 2 3 2" xfId="24978" xr:uid="{C4917B0B-39B6-4357-83D8-7F00EDCD023F}"/>
    <cellStyle name="Normal 4 2 5 5 2 4" xfId="20767" xr:uid="{BC22E95C-40E7-4DC0-8F3D-0A5ABCDC592C}"/>
    <cellStyle name="Normal 4 2 5 5 3" xfId="5982" xr:uid="{00000000-0005-0000-0000-0000EA130000}"/>
    <cellStyle name="Normal 4 2 5 5 3 2" xfId="14411" xr:uid="{C8225BF2-E1AE-4ACA-A5F8-66052F162F51}"/>
    <cellStyle name="Normal 4 2 5 5 3 3" xfId="27044" xr:uid="{748C4539-1F34-42BC-B8FC-6548CE2F2732}"/>
    <cellStyle name="Normal 4 2 5 5 4" xfId="10193" xr:uid="{46C28AC9-5350-4F9F-A517-39397FD0B425}"/>
    <cellStyle name="Normal 4 2 5 5 4 2" xfId="22833" xr:uid="{D353F5A3-B557-43DD-934F-1FF24C411E00}"/>
    <cellStyle name="Normal 4 2 5 5 5" xfId="18622" xr:uid="{86BEB8ED-56C1-4A9C-A6C0-7D104F586B0C}"/>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4718DFBB-8F60-4843-84FB-21562D52E038}"/>
    <cellStyle name="Normal 4 2 5 6 2 2 3" xfId="29602" xr:uid="{16FD7D14-2ED0-4A37-9091-CCB7C0C9B990}"/>
    <cellStyle name="Normal 4 2 5 6 2 3" xfId="12751" xr:uid="{CBF53AA8-FDB6-4687-8004-0BE802A0513F}"/>
    <cellStyle name="Normal 4 2 5 6 2 3 2" xfId="25391" xr:uid="{1AFB3124-0ED1-410A-81C7-951395C3EF33}"/>
    <cellStyle name="Normal 4 2 5 6 2 4" xfId="21180" xr:uid="{6AF54DA4-D58F-4689-A697-83F415E43B93}"/>
    <cellStyle name="Normal 4 2 5 6 3" xfId="6395" xr:uid="{00000000-0005-0000-0000-0000EE130000}"/>
    <cellStyle name="Normal 4 2 5 6 3 2" xfId="14824" xr:uid="{9B3FBC99-F7CB-4B1C-A0E8-DA5E542D714C}"/>
    <cellStyle name="Normal 4 2 5 6 3 3" xfId="27457" xr:uid="{627E3406-63AE-4DD4-AAEE-14D178C35963}"/>
    <cellStyle name="Normal 4 2 5 6 4" xfId="10606" xr:uid="{94CE8CF5-79C6-4BB8-921A-5808107F0828}"/>
    <cellStyle name="Normal 4 2 5 6 4 2" xfId="23246" xr:uid="{545B3147-4FFB-4D6A-B6AB-D7C7A605F1FE}"/>
    <cellStyle name="Normal 4 2 5 6 5" xfId="19035" xr:uid="{C1FA3424-B432-4BAB-B3A1-D80049F79075}"/>
    <cellStyle name="Normal 4 2 5 7" xfId="2523" xr:uid="{00000000-0005-0000-0000-0000EF130000}"/>
    <cellStyle name="Normal 4 2 5 7 2" xfId="6808" xr:uid="{00000000-0005-0000-0000-0000F0130000}"/>
    <cellStyle name="Normal 4 2 5 7 2 2" xfId="15237" xr:uid="{BF75A88F-7D25-4377-B08E-0F502EEF814A}"/>
    <cellStyle name="Normal 4 2 5 7 2 3" xfId="27870" xr:uid="{CF7EEFDB-B4BB-48FB-88C8-371DE5BC6DE5}"/>
    <cellStyle name="Normal 4 2 5 7 3" xfId="11019" xr:uid="{DC74C69F-EF6F-4F6D-9808-D061054BECE2}"/>
    <cellStyle name="Normal 4 2 5 7 3 2" xfId="23659" xr:uid="{E03677CF-5BD1-4787-B7DF-6D2739742B7F}"/>
    <cellStyle name="Normal 4 2 5 7 4" xfId="19448" xr:uid="{A8CAEB7B-DC86-4ED7-821C-33C5B80C5A36}"/>
    <cellStyle name="Normal 4 2 5 8" xfId="4743" xr:uid="{00000000-0005-0000-0000-0000F1130000}"/>
    <cellStyle name="Normal 4 2 5 8 2" xfId="13172" xr:uid="{E39A096B-8D04-4C7C-8DD5-60195AF35E3C}"/>
    <cellStyle name="Normal 4 2 5 8 3" xfId="25805" xr:uid="{3915F7F4-C5C9-4186-BAB6-9D15B7B386C5}"/>
    <cellStyle name="Normal 4 2 5 9" xfId="8954" xr:uid="{AFE38CC8-3073-4115-AFCA-CC92766E7271}"/>
    <cellStyle name="Normal 4 2 5 9 2" xfId="21594" xr:uid="{F6CD9120-C6D2-4E17-B466-0DBD4B7336F1}"/>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01119EFC-3503-4ED6-A19F-A1D43ABEC234}"/>
    <cellStyle name="Normal 4 2 6 2 2 2 3" xfId="28365" xr:uid="{B232C8C3-4224-41A6-B32C-5FB057E8510C}"/>
    <cellStyle name="Normal 4 2 6 2 2 3" xfId="11514" xr:uid="{ED8B9A03-3079-45F6-8D4B-C6785672B24D}"/>
    <cellStyle name="Normal 4 2 6 2 2 3 2" xfId="24154" xr:uid="{70132B04-0146-48A9-ACED-D08FFE8AFCD2}"/>
    <cellStyle name="Normal 4 2 6 2 2 4" xfId="19943" xr:uid="{5013A18A-8255-4542-BDBE-E888F1F210F1}"/>
    <cellStyle name="Normal 4 2 6 2 3" xfId="5158" xr:uid="{00000000-0005-0000-0000-0000F6130000}"/>
    <cellStyle name="Normal 4 2 6 2 3 2" xfId="13587" xr:uid="{41864866-B0B6-4FD8-8749-E18FA8747245}"/>
    <cellStyle name="Normal 4 2 6 2 3 3" xfId="26220" xr:uid="{54F2D539-29A7-4E26-95A2-72535404A004}"/>
    <cellStyle name="Normal 4 2 6 2 4" xfId="9369" xr:uid="{8FCFD137-0312-47D9-918E-1E2EC43CDA5D}"/>
    <cellStyle name="Normal 4 2 6 2 4 2" xfId="22009" xr:uid="{39634200-9BB6-4960-9EA1-758F950FD59B}"/>
    <cellStyle name="Normal 4 2 6 2 5" xfId="17798" xr:uid="{ACE9CF02-785F-4058-8942-4A665CB0F3ED}"/>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1A0681C8-EE9D-4AD2-A8AC-2614541287EF}"/>
    <cellStyle name="Normal 4 2 6 3 2 2 3" xfId="28778" xr:uid="{83963C42-9DBD-4716-8815-E4B6BED52284}"/>
    <cellStyle name="Normal 4 2 6 3 2 3" xfId="11927" xr:uid="{03209A0A-82B7-49D3-BBB0-2504B8ECB38D}"/>
    <cellStyle name="Normal 4 2 6 3 2 3 2" xfId="24567" xr:uid="{893D7468-ECDB-4B92-93E0-B81576A5B672}"/>
    <cellStyle name="Normal 4 2 6 3 2 4" xfId="20356" xr:uid="{FA2A2491-77E6-4D48-BECE-3EC45FEBA077}"/>
    <cellStyle name="Normal 4 2 6 3 3" xfId="5571" xr:uid="{00000000-0005-0000-0000-0000FA130000}"/>
    <cellStyle name="Normal 4 2 6 3 3 2" xfId="14000" xr:uid="{9AA0E5C1-236D-4139-A2CE-87272FE6388C}"/>
    <cellStyle name="Normal 4 2 6 3 3 3" xfId="26633" xr:uid="{30FFFD7D-907A-4724-B174-B82B88B249DB}"/>
    <cellStyle name="Normal 4 2 6 3 4" xfId="9782" xr:uid="{77B2F4BE-4821-45DE-A8CF-DD910F65CF7A}"/>
    <cellStyle name="Normal 4 2 6 3 4 2" xfId="22422" xr:uid="{42AEA9DD-4C1A-4707-969D-2B54FBD3EBB0}"/>
    <cellStyle name="Normal 4 2 6 3 5" xfId="18211" xr:uid="{BDE95E74-8F83-4B2F-81E8-81876D13DC0A}"/>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3C3C9D4C-B633-4D66-83FA-B46CBEDC4F2E}"/>
    <cellStyle name="Normal 4 2 6 4 2 2 3" xfId="29191" xr:uid="{B78CA349-3896-467B-89B5-27806EA8E92B}"/>
    <cellStyle name="Normal 4 2 6 4 2 3" xfId="12340" xr:uid="{BD7C113D-13E1-4949-8C96-3118B11B13A3}"/>
    <cellStyle name="Normal 4 2 6 4 2 3 2" xfId="24980" xr:uid="{78262A18-8D12-4D01-96B5-6EE3881F3900}"/>
    <cellStyle name="Normal 4 2 6 4 2 4" xfId="20769" xr:uid="{02DBC064-2DC5-44C4-BFA8-FDA0E89E0B03}"/>
    <cellStyle name="Normal 4 2 6 4 3" xfId="5984" xr:uid="{00000000-0005-0000-0000-0000FE130000}"/>
    <cellStyle name="Normal 4 2 6 4 3 2" xfId="14413" xr:uid="{92B79064-D62E-4B41-AD8E-9597AB9FE44C}"/>
    <cellStyle name="Normal 4 2 6 4 3 3" xfId="27046" xr:uid="{BB66F85B-56A7-4B2A-9E09-C95B1D5C32E8}"/>
    <cellStyle name="Normal 4 2 6 4 4" xfId="10195" xr:uid="{BD028143-0C64-486A-922B-781514FB6897}"/>
    <cellStyle name="Normal 4 2 6 4 4 2" xfId="22835" xr:uid="{7E8FB71C-E708-4D07-8F3A-F7F27F5ABDDD}"/>
    <cellStyle name="Normal 4 2 6 4 5" xfId="18624" xr:uid="{796EA6AF-D420-4CF6-85B2-9C75181DBA64}"/>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3AFB5150-3E3D-4C73-ADB5-A6A0FAE44C52}"/>
    <cellStyle name="Normal 4 2 6 5 2 2 3" xfId="29604" xr:uid="{A2E8B4FF-D5C9-4192-9954-FF8DE61656A8}"/>
    <cellStyle name="Normal 4 2 6 5 2 3" xfId="12753" xr:uid="{9B5BE8B6-F636-4D32-8CF9-CB7B00C1E8E8}"/>
    <cellStyle name="Normal 4 2 6 5 2 3 2" xfId="25393" xr:uid="{8D485CF3-56B6-432E-A329-612B0026CE36}"/>
    <cellStyle name="Normal 4 2 6 5 2 4" xfId="21182" xr:uid="{1F334BA5-ADFC-468C-A056-DCF197799CA2}"/>
    <cellStyle name="Normal 4 2 6 5 3" xfId="6397" xr:uid="{00000000-0005-0000-0000-000002140000}"/>
    <cellStyle name="Normal 4 2 6 5 3 2" xfId="14826" xr:uid="{BEDC7D37-2A2C-4EEE-9E94-C4FBA4CFFA20}"/>
    <cellStyle name="Normal 4 2 6 5 3 3" xfId="27459" xr:uid="{0D57303A-5879-422F-9416-1AB45895C5DD}"/>
    <cellStyle name="Normal 4 2 6 5 4" xfId="10608" xr:uid="{21D17B2D-BFB9-4095-8282-C2FF16DEA148}"/>
    <cellStyle name="Normal 4 2 6 5 4 2" xfId="23248" xr:uid="{A5257FCF-8CC1-47FA-930A-6B2DA23EBA16}"/>
    <cellStyle name="Normal 4 2 6 5 5" xfId="19037" xr:uid="{4E4D03CC-8DA8-4964-A5BF-FB4D12E01BAD}"/>
    <cellStyle name="Normal 4 2 6 6" xfId="2525" xr:uid="{00000000-0005-0000-0000-000003140000}"/>
    <cellStyle name="Normal 4 2 6 6 2" xfId="6810" xr:uid="{00000000-0005-0000-0000-000004140000}"/>
    <cellStyle name="Normal 4 2 6 6 2 2" xfId="15239" xr:uid="{C60DAEA1-7EC1-4572-BA1B-60B95F0E4339}"/>
    <cellStyle name="Normal 4 2 6 6 2 3" xfId="27872" xr:uid="{58B8F213-7A50-4C82-B938-82FBF8452EBE}"/>
    <cellStyle name="Normal 4 2 6 6 3" xfId="11021" xr:uid="{DE3402B8-19E0-4297-86CA-C33C1DF8611A}"/>
    <cellStyle name="Normal 4 2 6 6 3 2" xfId="23661" xr:uid="{54AEAC33-0476-455E-B8A5-7BC9549BED91}"/>
    <cellStyle name="Normal 4 2 6 6 4" xfId="19450" xr:uid="{1CC8975D-34E0-4CA0-B6F3-17A33E5FC7A2}"/>
    <cellStyle name="Normal 4 2 6 7" xfId="4745" xr:uid="{00000000-0005-0000-0000-000005140000}"/>
    <cellStyle name="Normal 4 2 6 7 2" xfId="13174" xr:uid="{3D555EF9-C673-4201-8885-AF913E615334}"/>
    <cellStyle name="Normal 4 2 6 7 3" xfId="25807" xr:uid="{17B74FDB-245D-47AF-A068-BC5005A80D62}"/>
    <cellStyle name="Normal 4 2 6 8" xfId="8956" xr:uid="{345038CF-C409-44A1-9951-5AE03E369C87}"/>
    <cellStyle name="Normal 4 2 6 8 2" xfId="21596" xr:uid="{039853B7-7468-40BC-A639-90AEBAFCC0ED}"/>
    <cellStyle name="Normal 4 2 6 9" xfId="17385" xr:uid="{A8F4AAC4-5569-429F-B5C0-FFABF659AE03}"/>
    <cellStyle name="Normal 4 3" xfId="366" xr:uid="{00000000-0005-0000-0000-000006140000}"/>
    <cellStyle name="Normal 4 3 10" xfId="8957" xr:uid="{16C25DEC-1230-4D93-A27F-8289BDB5E6F4}"/>
    <cellStyle name="Normal 4 3 10 2" xfId="21597" xr:uid="{7FD4DAE0-F532-410E-9659-9CAD3EF5747E}"/>
    <cellStyle name="Normal 4 3 11" xfId="17386" xr:uid="{D15C75E1-6F28-434F-9434-2EF3230128BB}"/>
    <cellStyle name="Normal 4 3 2" xfId="367" xr:uid="{00000000-0005-0000-0000-000007140000}"/>
    <cellStyle name="Normal 4 3 2 2" xfId="368" xr:uid="{00000000-0005-0000-0000-000008140000}"/>
    <cellStyle name="Normal 4 3 2 2 2" xfId="369" xr:uid="{00000000-0005-0000-0000-000009140000}"/>
    <cellStyle name="Normal 4 3 2 2 2 10" xfId="8958" xr:uid="{87C4B4E5-F583-4BD9-802F-CB692FE000CA}"/>
    <cellStyle name="Normal 4 3 2 2 2 10 2" xfId="21598" xr:uid="{E5FBA58C-2E28-4E9A-AC21-35AC5D8D9BC8}"/>
    <cellStyle name="Normal 4 3 2 2 2 11" xfId="17387" xr:uid="{5F56F2E5-1C70-4298-9D62-E7BF3D85373E}"/>
    <cellStyle name="Normal 4 3 2 2 2 2" xfId="370" xr:uid="{00000000-0005-0000-0000-00000A140000}"/>
    <cellStyle name="Normal 4 3 2 2 2 2 10" xfId="17388" xr:uid="{99ED56BE-32CC-4930-9956-30F73002E358}"/>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9F9AFF66-ACCB-4A08-A390-ABC9F7644742}"/>
    <cellStyle name="Normal 4 3 2 2 2 2 2 2 2 2 3" xfId="28369" xr:uid="{CA766F82-44FC-4C5E-BAF1-620E0AA1F3AB}"/>
    <cellStyle name="Normal 4 3 2 2 2 2 2 2 2 3" xfId="11518" xr:uid="{7F1F6A3D-F62C-44E3-B3F6-7572289CA652}"/>
    <cellStyle name="Normal 4 3 2 2 2 2 2 2 2 3 2" xfId="24158" xr:uid="{2C5D4097-CD29-4DE9-A11E-63E438363E8D}"/>
    <cellStyle name="Normal 4 3 2 2 2 2 2 2 2 4" xfId="19947" xr:uid="{6FE20BC5-3879-4EF4-AEF4-77ABCA0AD781}"/>
    <cellStyle name="Normal 4 3 2 2 2 2 2 2 3" xfId="5162" xr:uid="{00000000-0005-0000-0000-00000F140000}"/>
    <cellStyle name="Normal 4 3 2 2 2 2 2 2 3 2" xfId="13591" xr:uid="{2AC6E6A8-BD29-4BD2-920C-32CE4A374B03}"/>
    <cellStyle name="Normal 4 3 2 2 2 2 2 2 3 3" xfId="26224" xr:uid="{DC8E7B16-690D-453F-B377-5F77EE86F114}"/>
    <cellStyle name="Normal 4 3 2 2 2 2 2 2 4" xfId="9373" xr:uid="{C1901BDE-CF6D-4E0A-BA4D-F6E34C4F7923}"/>
    <cellStyle name="Normal 4 3 2 2 2 2 2 2 4 2" xfId="22013" xr:uid="{E2CABFE4-0032-4AF9-BC59-3BF850A10D39}"/>
    <cellStyle name="Normal 4 3 2 2 2 2 2 2 5" xfId="17802" xr:uid="{A1384799-14B8-4C4E-909B-1BA14EF550E1}"/>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F9BD37F1-C36D-4352-AB0A-F6BE0528C3AC}"/>
    <cellStyle name="Normal 4 3 2 2 2 2 2 3 2 2 3" xfId="28782" xr:uid="{DF638EC9-C538-4C8C-B413-577732025B20}"/>
    <cellStyle name="Normal 4 3 2 2 2 2 2 3 2 3" xfId="11931" xr:uid="{C9E5949C-FFEE-4641-9408-886A90F8B152}"/>
    <cellStyle name="Normal 4 3 2 2 2 2 2 3 2 3 2" xfId="24571" xr:uid="{91569ECA-1B50-43F4-8FA6-8AF165219E77}"/>
    <cellStyle name="Normal 4 3 2 2 2 2 2 3 2 4" xfId="20360" xr:uid="{68917E6B-3209-424C-95D6-988F50CB9063}"/>
    <cellStyle name="Normal 4 3 2 2 2 2 2 3 3" xfId="5575" xr:uid="{00000000-0005-0000-0000-000013140000}"/>
    <cellStyle name="Normal 4 3 2 2 2 2 2 3 3 2" xfId="14004" xr:uid="{99E8A0BD-AAA3-4A2A-A565-4C4C953A13D8}"/>
    <cellStyle name="Normal 4 3 2 2 2 2 2 3 3 3" xfId="26637" xr:uid="{F0C2A5D4-E831-4109-89C0-170CDD8E52AD}"/>
    <cellStyle name="Normal 4 3 2 2 2 2 2 3 4" xfId="9786" xr:uid="{A28317B4-19F6-4B59-A5EE-0D57871F3039}"/>
    <cellStyle name="Normal 4 3 2 2 2 2 2 3 4 2" xfId="22426" xr:uid="{D49974C7-5237-43C6-B421-B9032D63B026}"/>
    <cellStyle name="Normal 4 3 2 2 2 2 2 3 5" xfId="18215" xr:uid="{30E2CECD-0200-46F5-B46E-3F5C28E07764}"/>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E37AEDCB-50E6-4F35-AFC1-050227154C61}"/>
    <cellStyle name="Normal 4 3 2 2 2 2 2 4 2 2 3" xfId="29195" xr:uid="{A8531AA8-C3F5-40FE-AF58-EE0D80CB5948}"/>
    <cellStyle name="Normal 4 3 2 2 2 2 2 4 2 3" xfId="12344" xr:uid="{521F0BF3-0A95-4AF6-BA57-643A23F79A84}"/>
    <cellStyle name="Normal 4 3 2 2 2 2 2 4 2 3 2" xfId="24984" xr:uid="{DA95CE34-C40D-47BA-9C34-3A1E2D7F008F}"/>
    <cellStyle name="Normal 4 3 2 2 2 2 2 4 2 4" xfId="20773" xr:uid="{435D9DEF-2834-4CD5-8DD0-10C2DB036B8F}"/>
    <cellStyle name="Normal 4 3 2 2 2 2 2 4 3" xfId="5988" xr:uid="{00000000-0005-0000-0000-000017140000}"/>
    <cellStyle name="Normal 4 3 2 2 2 2 2 4 3 2" xfId="14417" xr:uid="{49143709-9B0A-44E5-9AB4-F1902F4B1ED4}"/>
    <cellStyle name="Normal 4 3 2 2 2 2 2 4 3 3" xfId="27050" xr:uid="{EF317BAA-3259-4D59-A9CD-51F1D5FC6177}"/>
    <cellStyle name="Normal 4 3 2 2 2 2 2 4 4" xfId="10199" xr:uid="{E33CAC65-3B57-4F3B-9684-BF7D0F10FA0A}"/>
    <cellStyle name="Normal 4 3 2 2 2 2 2 4 4 2" xfId="22839" xr:uid="{DEF5A2C5-6C77-40B5-BBF8-F7284B191BFB}"/>
    <cellStyle name="Normal 4 3 2 2 2 2 2 4 5" xfId="18628" xr:uid="{DAE38A76-19B3-4678-A398-F0A189CEB838}"/>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0CEF2E5D-3EF2-4B6F-874B-762F2D6EBFCB}"/>
    <cellStyle name="Normal 4 3 2 2 2 2 2 5 2 2 3" xfId="29608" xr:uid="{63EFB5DB-9984-4A2F-9B07-D5B49E9604E8}"/>
    <cellStyle name="Normal 4 3 2 2 2 2 2 5 2 3" xfId="12757" xr:uid="{2A342D23-5146-4D0D-8D49-E453A9842FF8}"/>
    <cellStyle name="Normal 4 3 2 2 2 2 2 5 2 3 2" xfId="25397" xr:uid="{0CD91646-7B4F-4F2E-9D58-FE23E3E45D83}"/>
    <cellStyle name="Normal 4 3 2 2 2 2 2 5 2 4" xfId="21186" xr:uid="{4F614A42-9BA4-47F9-BEA1-D2F632CAA2AE}"/>
    <cellStyle name="Normal 4 3 2 2 2 2 2 5 3" xfId="6401" xr:uid="{00000000-0005-0000-0000-00001B140000}"/>
    <cellStyle name="Normal 4 3 2 2 2 2 2 5 3 2" xfId="14830" xr:uid="{EC918402-20C9-4B8A-9B46-B0AC5AEA48FB}"/>
    <cellStyle name="Normal 4 3 2 2 2 2 2 5 3 3" xfId="27463" xr:uid="{4B036D7B-F096-4AFD-8481-9C40C2A82893}"/>
    <cellStyle name="Normal 4 3 2 2 2 2 2 5 4" xfId="10612" xr:uid="{1EF3CB0E-803F-4BC3-AC98-104D0BDC2E7F}"/>
    <cellStyle name="Normal 4 3 2 2 2 2 2 5 4 2" xfId="23252" xr:uid="{9B7BC2B0-0B2F-44FF-9345-58F69C765B28}"/>
    <cellStyle name="Normal 4 3 2 2 2 2 2 5 5" xfId="19041" xr:uid="{03171E7B-6A7E-4E99-947C-5A162585AC92}"/>
    <cellStyle name="Normal 4 3 2 2 2 2 2 6" xfId="2529" xr:uid="{00000000-0005-0000-0000-00001C140000}"/>
    <cellStyle name="Normal 4 3 2 2 2 2 2 6 2" xfId="6814" xr:uid="{00000000-0005-0000-0000-00001D140000}"/>
    <cellStyle name="Normal 4 3 2 2 2 2 2 6 2 2" xfId="15243" xr:uid="{14504825-A1A8-40A1-8A76-68DE970A1AA7}"/>
    <cellStyle name="Normal 4 3 2 2 2 2 2 6 2 3" xfId="27876" xr:uid="{1C9B98D1-5F0C-40C0-AB3A-330E23D5D1B7}"/>
    <cellStyle name="Normal 4 3 2 2 2 2 2 6 3" xfId="11025" xr:uid="{757F25BF-FC6C-49E7-A92E-EF9F5CDF6D84}"/>
    <cellStyle name="Normal 4 3 2 2 2 2 2 6 3 2" xfId="23665" xr:uid="{28D52C27-915C-4984-AE7C-BD68AC2745B6}"/>
    <cellStyle name="Normal 4 3 2 2 2 2 2 6 4" xfId="19454" xr:uid="{6AA58270-53CE-409B-AD70-907529D68583}"/>
    <cellStyle name="Normal 4 3 2 2 2 2 2 7" xfId="4749" xr:uid="{00000000-0005-0000-0000-00001E140000}"/>
    <cellStyle name="Normal 4 3 2 2 2 2 2 7 2" xfId="13178" xr:uid="{5B89EFFC-1EE5-4091-BEAD-0DADE350BA8A}"/>
    <cellStyle name="Normal 4 3 2 2 2 2 2 7 3" xfId="25811" xr:uid="{B3DED2F0-3879-449D-B995-2DC3E88E41F3}"/>
    <cellStyle name="Normal 4 3 2 2 2 2 2 8" xfId="8960" xr:uid="{A813E9F7-E569-466E-ACED-4D34CEA1BF83}"/>
    <cellStyle name="Normal 4 3 2 2 2 2 2 8 2" xfId="21600" xr:uid="{919572CE-13F1-49E1-A371-B748B6D1B30A}"/>
    <cellStyle name="Normal 4 3 2 2 2 2 2 9" xfId="17389" xr:uid="{62A710F0-1ECF-47B4-A1C6-A2A820A5D7B2}"/>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28950423-31B5-4C7D-AC01-234AD93A984C}"/>
    <cellStyle name="Normal 4 3 2 2 2 2 3 2 2 3" xfId="28368" xr:uid="{368B6F7F-DF75-4766-987B-6CC770DBBAD5}"/>
    <cellStyle name="Normal 4 3 2 2 2 2 3 2 3" xfId="11517" xr:uid="{886B4A22-0DF5-4DB7-8C35-B351B2F32605}"/>
    <cellStyle name="Normal 4 3 2 2 2 2 3 2 3 2" xfId="24157" xr:uid="{8391826E-90D0-4D86-AC0B-DDBD36CD19E2}"/>
    <cellStyle name="Normal 4 3 2 2 2 2 3 2 4" xfId="19946" xr:uid="{564547A8-CA53-4F9A-B747-3C3680DACD49}"/>
    <cellStyle name="Normal 4 3 2 2 2 2 3 3" xfId="5161" xr:uid="{00000000-0005-0000-0000-000022140000}"/>
    <cellStyle name="Normal 4 3 2 2 2 2 3 3 2" xfId="13590" xr:uid="{5CE0DD70-DF7F-4574-8C22-C6459AD131E5}"/>
    <cellStyle name="Normal 4 3 2 2 2 2 3 3 3" xfId="26223" xr:uid="{9EEC39E9-7DBC-442C-9FE6-CFC32DD69A24}"/>
    <cellStyle name="Normal 4 3 2 2 2 2 3 4" xfId="9372" xr:uid="{9BFEE0ED-1F4F-4041-A288-6586A49BB600}"/>
    <cellStyle name="Normal 4 3 2 2 2 2 3 4 2" xfId="22012" xr:uid="{845B29AD-376B-45B5-A982-8F50178C664A}"/>
    <cellStyle name="Normal 4 3 2 2 2 2 3 5" xfId="17801" xr:uid="{CA611A63-5B47-4204-B549-B0E286661CC7}"/>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5BEB1CDE-336E-48B0-9D52-66ACCF7BFDC5}"/>
    <cellStyle name="Normal 4 3 2 2 2 2 4 2 2 3" xfId="28781" xr:uid="{BAB3C201-41B0-4821-9EC2-A1F448E0B87B}"/>
    <cellStyle name="Normal 4 3 2 2 2 2 4 2 3" xfId="11930" xr:uid="{D506DD72-4E8B-4E35-80EB-3059699206AE}"/>
    <cellStyle name="Normal 4 3 2 2 2 2 4 2 3 2" xfId="24570" xr:uid="{7F48585E-F53E-4FBF-9E40-02B43DB4871B}"/>
    <cellStyle name="Normal 4 3 2 2 2 2 4 2 4" xfId="20359" xr:uid="{ABDBD744-BFA9-465E-B170-2C416846C6D7}"/>
    <cellStyle name="Normal 4 3 2 2 2 2 4 3" xfId="5574" xr:uid="{00000000-0005-0000-0000-000026140000}"/>
    <cellStyle name="Normal 4 3 2 2 2 2 4 3 2" xfId="14003" xr:uid="{9205338E-0566-45DD-AAE4-206F5ADC1EC5}"/>
    <cellStyle name="Normal 4 3 2 2 2 2 4 3 3" xfId="26636" xr:uid="{E08E71A8-7494-41E9-9F83-22A69333F5A9}"/>
    <cellStyle name="Normal 4 3 2 2 2 2 4 4" xfId="9785" xr:uid="{49EB46FE-D4C3-45D5-9363-DD9B8A1F031C}"/>
    <cellStyle name="Normal 4 3 2 2 2 2 4 4 2" xfId="22425" xr:uid="{EA793864-54EB-4863-84E8-E839C8C1206E}"/>
    <cellStyle name="Normal 4 3 2 2 2 2 4 5" xfId="18214" xr:uid="{4023DEEB-4EBC-46B6-B6DE-41E8C305F34D}"/>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34240192-B5C8-4BFF-850D-56F147E8FF42}"/>
    <cellStyle name="Normal 4 3 2 2 2 2 5 2 2 3" xfId="29194" xr:uid="{D1FA8655-B366-4286-B845-233E5AAFB8A9}"/>
    <cellStyle name="Normal 4 3 2 2 2 2 5 2 3" xfId="12343" xr:uid="{14A8A973-6F3E-42CA-B529-CAB76BA2E700}"/>
    <cellStyle name="Normal 4 3 2 2 2 2 5 2 3 2" xfId="24983" xr:uid="{3F6B09CA-569D-437C-A3FF-BEE079B16F90}"/>
    <cellStyle name="Normal 4 3 2 2 2 2 5 2 4" xfId="20772" xr:uid="{B198497E-A915-4BCC-B079-D05E0DAE7D4A}"/>
    <cellStyle name="Normal 4 3 2 2 2 2 5 3" xfId="5987" xr:uid="{00000000-0005-0000-0000-00002A140000}"/>
    <cellStyle name="Normal 4 3 2 2 2 2 5 3 2" xfId="14416" xr:uid="{85E6FD86-F8A0-46A3-A0AF-7589D92669D9}"/>
    <cellStyle name="Normal 4 3 2 2 2 2 5 3 3" xfId="27049" xr:uid="{9CB62EE1-5702-4840-B860-F8AB2FAA0379}"/>
    <cellStyle name="Normal 4 3 2 2 2 2 5 4" xfId="10198" xr:uid="{DBD09370-E5E0-47AD-967B-1D0EA533C3AE}"/>
    <cellStyle name="Normal 4 3 2 2 2 2 5 4 2" xfId="22838" xr:uid="{2A5931EF-C0CC-4291-B5DD-19A22734DF9C}"/>
    <cellStyle name="Normal 4 3 2 2 2 2 5 5" xfId="18627" xr:uid="{88B58CCF-BB51-4233-BB67-585FBD87DAFC}"/>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A816AF52-5949-4DDB-8F3B-ED6BAEBE03FD}"/>
    <cellStyle name="Normal 4 3 2 2 2 2 6 2 2 3" xfId="29607" xr:uid="{83936CAC-99FB-4614-B4BB-DD28F9DB41D0}"/>
    <cellStyle name="Normal 4 3 2 2 2 2 6 2 3" xfId="12756" xr:uid="{928E1B2F-60A6-4CA7-8747-455A956470D8}"/>
    <cellStyle name="Normal 4 3 2 2 2 2 6 2 3 2" xfId="25396" xr:uid="{5E92C55D-F659-4EC1-B9DC-71C2B8B956F2}"/>
    <cellStyle name="Normal 4 3 2 2 2 2 6 2 4" xfId="21185" xr:uid="{4F371D27-A4DE-4033-9B94-4AD7E70BF2CD}"/>
    <cellStyle name="Normal 4 3 2 2 2 2 6 3" xfId="6400" xr:uid="{00000000-0005-0000-0000-00002E140000}"/>
    <cellStyle name="Normal 4 3 2 2 2 2 6 3 2" xfId="14829" xr:uid="{7665E260-0BA6-471B-85C9-A23527B1C6E2}"/>
    <cellStyle name="Normal 4 3 2 2 2 2 6 3 3" xfId="27462" xr:uid="{547E6C29-6B7C-4B99-93E0-782CA58DDD23}"/>
    <cellStyle name="Normal 4 3 2 2 2 2 6 4" xfId="10611" xr:uid="{5A04987E-559B-4F84-ACEB-0525DD654450}"/>
    <cellStyle name="Normal 4 3 2 2 2 2 6 4 2" xfId="23251" xr:uid="{6C4FE30E-2102-4F5E-8517-EA85B6916FA3}"/>
    <cellStyle name="Normal 4 3 2 2 2 2 6 5" xfId="19040" xr:uid="{722D2897-BEB3-4D7D-9A5E-C140D14EC2D7}"/>
    <cellStyle name="Normal 4 3 2 2 2 2 7" xfId="2528" xr:uid="{00000000-0005-0000-0000-00002F140000}"/>
    <cellStyle name="Normal 4 3 2 2 2 2 7 2" xfId="6813" xr:uid="{00000000-0005-0000-0000-000030140000}"/>
    <cellStyle name="Normal 4 3 2 2 2 2 7 2 2" xfId="15242" xr:uid="{B4E2295A-FC68-4559-9A30-CDFC07CEFD8A}"/>
    <cellStyle name="Normal 4 3 2 2 2 2 7 2 3" xfId="27875" xr:uid="{D762D44E-6EB9-4896-AC11-BA5045D246DF}"/>
    <cellStyle name="Normal 4 3 2 2 2 2 7 3" xfId="11024" xr:uid="{0AAB23DD-27D2-4847-9E17-E2C2C59D9843}"/>
    <cellStyle name="Normal 4 3 2 2 2 2 7 3 2" xfId="23664" xr:uid="{094B1386-6EA5-40A1-85B1-3E5FB3318D77}"/>
    <cellStyle name="Normal 4 3 2 2 2 2 7 4" xfId="19453" xr:uid="{AD34C3D1-A023-4004-A2D1-EFDD9784A3C8}"/>
    <cellStyle name="Normal 4 3 2 2 2 2 8" xfId="4748" xr:uid="{00000000-0005-0000-0000-000031140000}"/>
    <cellStyle name="Normal 4 3 2 2 2 2 8 2" xfId="13177" xr:uid="{774EF460-19BD-4011-93EF-A816F7CF77BF}"/>
    <cellStyle name="Normal 4 3 2 2 2 2 8 3" xfId="25810" xr:uid="{4F1372FD-5A90-458F-9B69-A1D4E6BC0471}"/>
    <cellStyle name="Normal 4 3 2 2 2 2 9" xfId="8959" xr:uid="{2213F61C-F311-4563-8F0D-661A7F9E0A6B}"/>
    <cellStyle name="Normal 4 3 2 2 2 2 9 2" xfId="21599" xr:uid="{3DF4B198-6B5F-404F-BB04-F0642F7211F2}"/>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E7047DE3-CA00-4126-B246-5DEB15B35FB7}"/>
    <cellStyle name="Normal 4 3 2 2 2 3 2 2 2 3" xfId="28370" xr:uid="{3617E832-BFBA-404E-97C3-06DC1CBE3D7D}"/>
    <cellStyle name="Normal 4 3 2 2 2 3 2 2 3" xfId="11519" xr:uid="{4B326E1D-7FD2-4EDB-BC77-7C416CC8136E}"/>
    <cellStyle name="Normal 4 3 2 2 2 3 2 2 3 2" xfId="24159" xr:uid="{F3E4B20D-7E34-410B-87DE-73DDE8DA13D6}"/>
    <cellStyle name="Normal 4 3 2 2 2 3 2 2 4" xfId="19948" xr:uid="{4C6D6D61-692C-4B81-85D2-4C0508616375}"/>
    <cellStyle name="Normal 4 3 2 2 2 3 2 3" xfId="5163" xr:uid="{00000000-0005-0000-0000-000036140000}"/>
    <cellStyle name="Normal 4 3 2 2 2 3 2 3 2" xfId="13592" xr:uid="{A7BCBDF5-8E80-48A0-ABE1-10F43414028A}"/>
    <cellStyle name="Normal 4 3 2 2 2 3 2 3 3" xfId="26225" xr:uid="{C827F817-9A82-4C4F-BA21-A41B8EAF4153}"/>
    <cellStyle name="Normal 4 3 2 2 2 3 2 4" xfId="9374" xr:uid="{CED85EBF-2C91-4739-836C-9BF78B2E3756}"/>
    <cellStyle name="Normal 4 3 2 2 2 3 2 4 2" xfId="22014" xr:uid="{31B1D2A2-9449-4966-96D0-87BF69940F16}"/>
    <cellStyle name="Normal 4 3 2 2 2 3 2 5" xfId="17803" xr:uid="{DA57A8F8-1223-4B24-9D66-E89E9C8728EB}"/>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B4B4E014-F479-4EDD-98F2-13A7B5E72EF4}"/>
    <cellStyle name="Normal 4 3 2 2 2 3 3 2 2 3" xfId="28783" xr:uid="{555D13F0-E444-4E47-8FB9-39FE2C1374E1}"/>
    <cellStyle name="Normal 4 3 2 2 2 3 3 2 3" xfId="11932" xr:uid="{D7029896-38D6-4FBC-95E4-389A19315683}"/>
    <cellStyle name="Normal 4 3 2 2 2 3 3 2 3 2" xfId="24572" xr:uid="{F1B9E6BE-6351-4195-8A05-2E95763275A5}"/>
    <cellStyle name="Normal 4 3 2 2 2 3 3 2 4" xfId="20361" xr:uid="{5AE6F67E-34D0-4EF5-A6F0-93EDAE876826}"/>
    <cellStyle name="Normal 4 3 2 2 2 3 3 3" xfId="5576" xr:uid="{00000000-0005-0000-0000-00003A140000}"/>
    <cellStyle name="Normal 4 3 2 2 2 3 3 3 2" xfId="14005" xr:uid="{10533DA1-089E-4961-9188-7929C47131C4}"/>
    <cellStyle name="Normal 4 3 2 2 2 3 3 3 3" xfId="26638" xr:uid="{473877B2-6BA7-4114-9949-E9D5D6ED417B}"/>
    <cellStyle name="Normal 4 3 2 2 2 3 3 4" xfId="9787" xr:uid="{C3AFDF0D-1E41-4A9D-904B-7E3114C2C9BF}"/>
    <cellStyle name="Normal 4 3 2 2 2 3 3 4 2" xfId="22427" xr:uid="{2018E11C-6E2B-4894-8601-E46B4B4517DA}"/>
    <cellStyle name="Normal 4 3 2 2 2 3 3 5" xfId="18216" xr:uid="{D9AD6B59-9158-436D-89CD-2031CC6B3602}"/>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C76454CC-ADE7-4036-BE50-30490FE16E98}"/>
    <cellStyle name="Normal 4 3 2 2 2 3 4 2 2 3" xfId="29196" xr:uid="{3F6294B8-D53A-46A8-B145-D9BA09F4A10D}"/>
    <cellStyle name="Normal 4 3 2 2 2 3 4 2 3" xfId="12345" xr:uid="{1B08B08D-7025-4F8B-8CED-B25EC3EC9321}"/>
    <cellStyle name="Normal 4 3 2 2 2 3 4 2 3 2" xfId="24985" xr:uid="{2762FBFC-B2D9-49F0-B57B-D24046F989A8}"/>
    <cellStyle name="Normal 4 3 2 2 2 3 4 2 4" xfId="20774" xr:uid="{5EF04FD6-C2D3-41E9-BF17-D9C85D2999BB}"/>
    <cellStyle name="Normal 4 3 2 2 2 3 4 3" xfId="5989" xr:uid="{00000000-0005-0000-0000-00003E140000}"/>
    <cellStyle name="Normal 4 3 2 2 2 3 4 3 2" xfId="14418" xr:uid="{8E8A97B5-C45E-4284-94EE-16887074D60A}"/>
    <cellStyle name="Normal 4 3 2 2 2 3 4 3 3" xfId="27051" xr:uid="{CEC4893E-2810-40FE-9343-53F4F4EDA1F6}"/>
    <cellStyle name="Normal 4 3 2 2 2 3 4 4" xfId="10200" xr:uid="{AB58C1E1-1A10-45F0-8901-7D023D94E979}"/>
    <cellStyle name="Normal 4 3 2 2 2 3 4 4 2" xfId="22840" xr:uid="{01E0B916-B13A-4605-AD37-FDA3A2AAC4D0}"/>
    <cellStyle name="Normal 4 3 2 2 2 3 4 5" xfId="18629" xr:uid="{95544081-CF9C-418F-BBD3-68FB95B863A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809BC8BA-37E4-4F12-BD58-3EF888518DE3}"/>
    <cellStyle name="Normal 4 3 2 2 2 3 5 2 2 3" xfId="29609" xr:uid="{C6DD82EB-6328-40CA-A858-6D8E2EB47286}"/>
    <cellStyle name="Normal 4 3 2 2 2 3 5 2 3" xfId="12758" xr:uid="{FDC7D941-63E4-4C7C-A07B-467F21A3D288}"/>
    <cellStyle name="Normal 4 3 2 2 2 3 5 2 3 2" xfId="25398" xr:uid="{22B41EC6-DB8C-4F3A-99C8-F23958CCE724}"/>
    <cellStyle name="Normal 4 3 2 2 2 3 5 2 4" xfId="21187" xr:uid="{DE9C89DF-5D4C-49DF-B296-D707EF06C190}"/>
    <cellStyle name="Normal 4 3 2 2 2 3 5 3" xfId="6402" xr:uid="{00000000-0005-0000-0000-000042140000}"/>
    <cellStyle name="Normal 4 3 2 2 2 3 5 3 2" xfId="14831" xr:uid="{3E85C3DB-F5FA-44B6-8454-03750E8AE392}"/>
    <cellStyle name="Normal 4 3 2 2 2 3 5 3 3" xfId="27464" xr:uid="{7DB7B03A-68CD-4C26-BCA0-1659ED488426}"/>
    <cellStyle name="Normal 4 3 2 2 2 3 5 4" xfId="10613" xr:uid="{777E78A9-22A1-4420-9282-046B00ACA5FA}"/>
    <cellStyle name="Normal 4 3 2 2 2 3 5 4 2" xfId="23253" xr:uid="{F695883D-3B99-4363-85B2-838422943B47}"/>
    <cellStyle name="Normal 4 3 2 2 2 3 5 5" xfId="19042" xr:uid="{FB136AA1-6C1E-4079-B800-12475AFA10E1}"/>
    <cellStyle name="Normal 4 3 2 2 2 3 6" xfId="2530" xr:uid="{00000000-0005-0000-0000-000043140000}"/>
    <cellStyle name="Normal 4 3 2 2 2 3 6 2" xfId="6815" xr:uid="{00000000-0005-0000-0000-000044140000}"/>
    <cellStyle name="Normal 4 3 2 2 2 3 6 2 2" xfId="15244" xr:uid="{9A623365-BDEC-459D-AD2A-6319D361D1FA}"/>
    <cellStyle name="Normal 4 3 2 2 2 3 6 2 3" xfId="27877" xr:uid="{3EF8C639-5457-4024-99C9-0C3D55ECCEB6}"/>
    <cellStyle name="Normal 4 3 2 2 2 3 6 3" xfId="11026" xr:uid="{F42F3DE5-FCDD-435B-AA40-4F50338DC1A8}"/>
    <cellStyle name="Normal 4 3 2 2 2 3 6 3 2" xfId="23666" xr:uid="{FFDE7580-B572-4DF7-B0CC-878642A2910F}"/>
    <cellStyle name="Normal 4 3 2 2 2 3 6 4" xfId="19455" xr:uid="{6DBAC714-DA56-4453-87A2-7364C6077781}"/>
    <cellStyle name="Normal 4 3 2 2 2 3 7" xfId="4750" xr:uid="{00000000-0005-0000-0000-000045140000}"/>
    <cellStyle name="Normal 4 3 2 2 2 3 7 2" xfId="13179" xr:uid="{47553EB7-CB50-4827-870D-3096F028E739}"/>
    <cellStyle name="Normal 4 3 2 2 2 3 7 3" xfId="25812" xr:uid="{ABBB8752-2E1F-49FA-81F1-472CE7596647}"/>
    <cellStyle name="Normal 4 3 2 2 2 3 8" xfId="8961" xr:uid="{7F9F833E-8C68-4DC5-BE3F-920B208F89D3}"/>
    <cellStyle name="Normal 4 3 2 2 2 3 8 2" xfId="21601" xr:uid="{759E045E-9F2A-49A8-A879-EE5EF13BB0ED}"/>
    <cellStyle name="Normal 4 3 2 2 2 3 9" xfId="17390" xr:uid="{4B3D61A3-A7F8-4ADB-9532-BF23FDF5167A}"/>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66E39782-1870-4B72-BAEF-BAD8B364267A}"/>
    <cellStyle name="Normal 4 3 2 2 2 4 2 2 3" xfId="28367" xr:uid="{3A192826-A09A-4AA8-A3C5-2D05E12CB85E}"/>
    <cellStyle name="Normal 4 3 2 2 2 4 2 3" xfId="11516" xr:uid="{3BE0910B-2935-4468-8653-A483D33F3E9A}"/>
    <cellStyle name="Normal 4 3 2 2 2 4 2 3 2" xfId="24156" xr:uid="{9BEA39A9-3A12-487A-8E03-0B93EA2C6C71}"/>
    <cellStyle name="Normal 4 3 2 2 2 4 2 4" xfId="19945" xr:uid="{E1CBE965-FF70-4989-A203-E8D65C7AB838}"/>
    <cellStyle name="Normal 4 3 2 2 2 4 3" xfId="5160" xr:uid="{00000000-0005-0000-0000-000049140000}"/>
    <cellStyle name="Normal 4 3 2 2 2 4 3 2" xfId="13589" xr:uid="{E181DC49-89C7-4318-A0C5-2DDDA87918AE}"/>
    <cellStyle name="Normal 4 3 2 2 2 4 3 3" xfId="26222" xr:uid="{6D132D11-B82F-40AF-BB14-64453C71ED04}"/>
    <cellStyle name="Normal 4 3 2 2 2 4 4" xfId="9371" xr:uid="{1B2665C7-F4EE-406B-B417-615F372A2800}"/>
    <cellStyle name="Normal 4 3 2 2 2 4 4 2" xfId="22011" xr:uid="{B1AEC609-9CB4-4FFF-86D9-DE9FD92B637E}"/>
    <cellStyle name="Normal 4 3 2 2 2 4 5" xfId="17800" xr:uid="{7BBB5B3D-C589-4948-A6AE-05F491942016}"/>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2727528E-052F-4E71-A397-FE958E4A34ED}"/>
    <cellStyle name="Normal 4 3 2 2 2 5 2 2 3" xfId="28780" xr:uid="{6754C86E-8AFC-4DE6-83DE-5F681BBDFBC2}"/>
    <cellStyle name="Normal 4 3 2 2 2 5 2 3" xfId="11929" xr:uid="{C239D622-193B-4BBF-AD9F-6EC127854A1A}"/>
    <cellStyle name="Normal 4 3 2 2 2 5 2 3 2" xfId="24569" xr:uid="{40ED1F69-D871-413E-95B9-A518251F76FB}"/>
    <cellStyle name="Normal 4 3 2 2 2 5 2 4" xfId="20358" xr:uid="{C6D31FD4-CB8B-4AAB-9B43-A83008DCAB52}"/>
    <cellStyle name="Normal 4 3 2 2 2 5 3" xfId="5573" xr:uid="{00000000-0005-0000-0000-00004D140000}"/>
    <cellStyle name="Normal 4 3 2 2 2 5 3 2" xfId="14002" xr:uid="{3567A31F-897C-492A-9048-9D0A370DD567}"/>
    <cellStyle name="Normal 4 3 2 2 2 5 3 3" xfId="26635" xr:uid="{ABBA6725-4D5D-4BAD-805D-1CD78C278C6E}"/>
    <cellStyle name="Normal 4 3 2 2 2 5 4" xfId="9784" xr:uid="{47C77D47-5F06-4D79-908C-20521E4E567E}"/>
    <cellStyle name="Normal 4 3 2 2 2 5 4 2" xfId="22424" xr:uid="{6FCAD99A-2443-4E99-8F9F-E4355BCE424C}"/>
    <cellStyle name="Normal 4 3 2 2 2 5 5" xfId="18213" xr:uid="{22E23F3E-1BAF-491D-9E2E-DA8CC9260C1C}"/>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5C1FB1EB-608D-4275-9381-378016ED46FA}"/>
    <cellStyle name="Normal 4 3 2 2 2 6 2 2 3" xfId="29193" xr:uid="{243FF3C4-4711-4180-901F-40922BD1D40A}"/>
    <cellStyle name="Normal 4 3 2 2 2 6 2 3" xfId="12342" xr:uid="{783C1C8B-93DA-4675-B549-1F65C10B5D3C}"/>
    <cellStyle name="Normal 4 3 2 2 2 6 2 3 2" xfId="24982" xr:uid="{10DF1825-58F8-42AC-BAD5-09C7BC280698}"/>
    <cellStyle name="Normal 4 3 2 2 2 6 2 4" xfId="20771" xr:uid="{164004A7-78BC-4D04-AD51-DA45AA10D45A}"/>
    <cellStyle name="Normal 4 3 2 2 2 6 3" xfId="5986" xr:uid="{00000000-0005-0000-0000-000051140000}"/>
    <cellStyle name="Normal 4 3 2 2 2 6 3 2" xfId="14415" xr:uid="{8CBF46BF-C081-4A9C-B065-5EE757DE28B5}"/>
    <cellStyle name="Normal 4 3 2 2 2 6 3 3" xfId="27048" xr:uid="{543BF296-0310-4DC1-9658-627A9D9BF3B6}"/>
    <cellStyle name="Normal 4 3 2 2 2 6 4" xfId="10197" xr:uid="{E32C2508-4953-4C34-85EE-FF93E9838540}"/>
    <cellStyle name="Normal 4 3 2 2 2 6 4 2" xfId="22837" xr:uid="{02ED080B-FDB5-4746-B871-279E22FC0F9B}"/>
    <cellStyle name="Normal 4 3 2 2 2 6 5" xfId="18626" xr:uid="{460D3235-E04D-4163-BE3D-C574A9FF03AB}"/>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4FA6239C-92D8-4484-815B-F25AAEF002D3}"/>
    <cellStyle name="Normal 4 3 2 2 2 7 2 2 3" xfId="29606" xr:uid="{91504258-07F9-42CB-A3E7-724D11CC6DC3}"/>
    <cellStyle name="Normal 4 3 2 2 2 7 2 3" xfId="12755" xr:uid="{87E387F8-16D9-465F-A639-97E2A021DB3C}"/>
    <cellStyle name="Normal 4 3 2 2 2 7 2 3 2" xfId="25395" xr:uid="{3456BC7C-427F-476C-AA63-6BD41034D0C7}"/>
    <cellStyle name="Normal 4 3 2 2 2 7 2 4" xfId="21184" xr:uid="{94911623-BE50-48A3-A228-AD47892D7EA3}"/>
    <cellStyle name="Normal 4 3 2 2 2 7 3" xfId="6399" xr:uid="{00000000-0005-0000-0000-000055140000}"/>
    <cellStyle name="Normal 4 3 2 2 2 7 3 2" xfId="14828" xr:uid="{5F183B18-AF8D-4434-9442-127E898DF838}"/>
    <cellStyle name="Normal 4 3 2 2 2 7 3 3" xfId="27461" xr:uid="{C030E60A-E688-4E14-8AF7-805FB6658F1F}"/>
    <cellStyle name="Normal 4 3 2 2 2 7 4" xfId="10610" xr:uid="{285739BD-03D7-4025-ADD7-BE5BF4D578FA}"/>
    <cellStyle name="Normal 4 3 2 2 2 7 4 2" xfId="23250" xr:uid="{2D58CEDA-784A-46BE-9D14-A96E4736FE65}"/>
    <cellStyle name="Normal 4 3 2 2 2 7 5" xfId="19039" xr:uid="{0E309709-FAB0-4B08-A540-21A65950C8FD}"/>
    <cellStyle name="Normal 4 3 2 2 2 8" xfId="2527" xr:uid="{00000000-0005-0000-0000-000056140000}"/>
    <cellStyle name="Normal 4 3 2 2 2 8 2" xfId="6812" xr:uid="{00000000-0005-0000-0000-000057140000}"/>
    <cellStyle name="Normal 4 3 2 2 2 8 2 2" xfId="15241" xr:uid="{5C0DB1F5-39E9-4E4B-85E3-879FE31408AE}"/>
    <cellStyle name="Normal 4 3 2 2 2 8 2 3" xfId="27874" xr:uid="{3837E3A6-4623-4909-BFE4-0BAA451EAE97}"/>
    <cellStyle name="Normal 4 3 2 2 2 8 3" xfId="11023" xr:uid="{327F6FBD-D47A-4F58-AC7E-D0CFC19A5553}"/>
    <cellStyle name="Normal 4 3 2 2 2 8 3 2" xfId="23663" xr:uid="{A3A11773-F865-480C-8CD4-FEA44A9E279C}"/>
    <cellStyle name="Normal 4 3 2 2 2 8 4" xfId="19452" xr:uid="{4E13F147-D422-4755-AB8E-4307265DC6D2}"/>
    <cellStyle name="Normal 4 3 2 2 2 9" xfId="4747" xr:uid="{00000000-0005-0000-0000-000058140000}"/>
    <cellStyle name="Normal 4 3 2 2 2 9 2" xfId="13176" xr:uid="{9C65AF6A-2A2C-4C44-9F34-E22CCC9DF0E0}"/>
    <cellStyle name="Normal 4 3 2 2 2 9 3" xfId="25809" xr:uid="{88598C5D-D370-4228-9887-7B40DBA6DDFF}"/>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5C3F42D7-C4B0-4E55-96DC-2651233F1A1E}"/>
    <cellStyle name="Normal 4 3 3 10 2" xfId="21602" xr:uid="{1B0B45A9-5154-42F7-95CF-B24E0EAEB5D8}"/>
    <cellStyle name="Normal 4 3 3 11" xfId="17391" xr:uid="{0C1500DC-6A46-4CD2-8514-60C427D5DE8D}"/>
    <cellStyle name="Normal 4 3 3 2" xfId="375" xr:uid="{00000000-0005-0000-0000-00005D140000}"/>
    <cellStyle name="Normal 4 3 3 2 10" xfId="17392" xr:uid="{AC897373-0370-4404-9CDE-3A51C541F6D5}"/>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2A5B9CC8-EF28-494E-AB0A-30F340884186}"/>
    <cellStyle name="Normal 4 3 3 2 2 2 2 2 3" xfId="28373" xr:uid="{55265452-90D9-4293-87D0-0303F64EA75B}"/>
    <cellStyle name="Normal 4 3 3 2 2 2 2 3" xfId="11522" xr:uid="{35E33F6B-2A35-41FD-8174-9FFC60E6DC1A}"/>
    <cellStyle name="Normal 4 3 3 2 2 2 2 3 2" xfId="24162" xr:uid="{28855848-0427-4848-BE50-38D4B7ECB22B}"/>
    <cellStyle name="Normal 4 3 3 2 2 2 2 4" xfId="19951" xr:uid="{D8429606-8CCD-4916-AA1E-02D72E9E01AE}"/>
    <cellStyle name="Normal 4 3 3 2 2 2 3" xfId="5166" xr:uid="{00000000-0005-0000-0000-000062140000}"/>
    <cellStyle name="Normal 4 3 3 2 2 2 3 2" xfId="13595" xr:uid="{20E11C62-3467-4C0C-A68B-A191BB41E275}"/>
    <cellStyle name="Normal 4 3 3 2 2 2 3 3" xfId="26228" xr:uid="{C629277C-01C1-480A-8B7A-A0A326D57D1C}"/>
    <cellStyle name="Normal 4 3 3 2 2 2 4" xfId="9377" xr:uid="{B46511B9-6305-44F2-B071-BB731F9ACC87}"/>
    <cellStyle name="Normal 4 3 3 2 2 2 4 2" xfId="22017" xr:uid="{4243643D-2491-4EC4-B358-CB5D50FE5E77}"/>
    <cellStyle name="Normal 4 3 3 2 2 2 5" xfId="17806" xr:uid="{036AFCEC-C7E5-41B8-97BF-7A5BC9FF3BFD}"/>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1F3A2512-8857-405E-971F-DD2A0CE890F0}"/>
    <cellStyle name="Normal 4 3 3 2 2 3 2 2 3" xfId="28786" xr:uid="{7FDBF69E-2BDD-4D73-BED6-B6B3D7186037}"/>
    <cellStyle name="Normal 4 3 3 2 2 3 2 3" xfId="11935" xr:uid="{89D98324-9A97-4848-865A-3033EC5471D1}"/>
    <cellStyle name="Normal 4 3 3 2 2 3 2 3 2" xfId="24575" xr:uid="{2E91F64D-361A-40AC-AFCD-B1E74A95F9F6}"/>
    <cellStyle name="Normal 4 3 3 2 2 3 2 4" xfId="20364" xr:uid="{5CADA76B-AC40-4BA1-AC0C-32863DDD499A}"/>
    <cellStyle name="Normal 4 3 3 2 2 3 3" xfId="5579" xr:uid="{00000000-0005-0000-0000-000066140000}"/>
    <cellStyle name="Normal 4 3 3 2 2 3 3 2" xfId="14008" xr:uid="{FB121FB4-F553-43BD-AACF-8D1F31A7F08C}"/>
    <cellStyle name="Normal 4 3 3 2 2 3 3 3" xfId="26641" xr:uid="{2A663CE6-0C52-4CFF-9B51-1406F97F9E98}"/>
    <cellStyle name="Normal 4 3 3 2 2 3 4" xfId="9790" xr:uid="{A3EDC385-A87B-453A-82F9-2DF8FADD6B67}"/>
    <cellStyle name="Normal 4 3 3 2 2 3 4 2" xfId="22430" xr:uid="{77763C92-3FA7-4DF1-998B-648E332EAE07}"/>
    <cellStyle name="Normal 4 3 3 2 2 3 5" xfId="18219" xr:uid="{578CB22E-F538-407F-986D-B7EA0D2715FA}"/>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F00E0B76-3BF3-406D-B78A-FE1DFA86E97E}"/>
    <cellStyle name="Normal 4 3 3 2 2 4 2 2 3" xfId="29199" xr:uid="{451B260E-7CFF-4B03-A46B-4CE4E670F6EC}"/>
    <cellStyle name="Normal 4 3 3 2 2 4 2 3" xfId="12348" xr:uid="{F3946068-B3E5-42B1-B5D0-A0E2D4AD071F}"/>
    <cellStyle name="Normal 4 3 3 2 2 4 2 3 2" xfId="24988" xr:uid="{45879CEB-1BE3-4E72-9693-8D67DEFC160F}"/>
    <cellStyle name="Normal 4 3 3 2 2 4 2 4" xfId="20777" xr:uid="{291D791B-9E62-4389-9221-AA3E0485C0DE}"/>
    <cellStyle name="Normal 4 3 3 2 2 4 3" xfId="5992" xr:uid="{00000000-0005-0000-0000-00006A140000}"/>
    <cellStyle name="Normal 4 3 3 2 2 4 3 2" xfId="14421" xr:uid="{BDAB5BEA-7BE7-4EDA-942C-6D10C47C4D1E}"/>
    <cellStyle name="Normal 4 3 3 2 2 4 3 3" xfId="27054" xr:uid="{15C2B8DC-F873-497D-A0A5-5B432C3BFC6E}"/>
    <cellStyle name="Normal 4 3 3 2 2 4 4" xfId="10203" xr:uid="{E880630E-248A-45CC-A556-50E433C35AF2}"/>
    <cellStyle name="Normal 4 3 3 2 2 4 4 2" xfId="22843" xr:uid="{254C8BB1-C80C-4C7F-9E7A-090E563CED1C}"/>
    <cellStyle name="Normal 4 3 3 2 2 4 5" xfId="18632" xr:uid="{6E9673AD-4396-4019-9A27-4873707E0042}"/>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7038E08A-0EF6-42C7-BDFC-9FBA1C8B0477}"/>
    <cellStyle name="Normal 4 3 3 2 2 5 2 2 3" xfId="29612" xr:uid="{B2249CA9-5E30-4A09-B2F1-E1DF92365600}"/>
    <cellStyle name="Normal 4 3 3 2 2 5 2 3" xfId="12761" xr:uid="{6C3AA01C-4AFC-4EC0-868A-B1E9CAB72A69}"/>
    <cellStyle name="Normal 4 3 3 2 2 5 2 3 2" xfId="25401" xr:uid="{B5098740-1221-4F70-BAD7-9E994E18086A}"/>
    <cellStyle name="Normal 4 3 3 2 2 5 2 4" xfId="21190" xr:uid="{12E0E0FF-EB6F-460B-9733-B67C6E51B0B6}"/>
    <cellStyle name="Normal 4 3 3 2 2 5 3" xfId="6405" xr:uid="{00000000-0005-0000-0000-00006E140000}"/>
    <cellStyle name="Normal 4 3 3 2 2 5 3 2" xfId="14834" xr:uid="{00D2F144-6A21-449D-A1AB-F16D17A6E27D}"/>
    <cellStyle name="Normal 4 3 3 2 2 5 3 3" xfId="27467" xr:uid="{289FABF4-98B2-4BC2-AE74-9763886F01DB}"/>
    <cellStyle name="Normal 4 3 3 2 2 5 4" xfId="10616" xr:uid="{A7A4A95E-5F48-424A-A354-10C24FEF4ED4}"/>
    <cellStyle name="Normal 4 3 3 2 2 5 4 2" xfId="23256" xr:uid="{ECBD6222-42E0-4452-9291-8B2947E3F373}"/>
    <cellStyle name="Normal 4 3 3 2 2 5 5" xfId="19045" xr:uid="{6D16FBDB-8332-4FC9-B432-BBF3FC293AC7}"/>
    <cellStyle name="Normal 4 3 3 2 2 6" xfId="2533" xr:uid="{00000000-0005-0000-0000-00006F140000}"/>
    <cellStyle name="Normal 4 3 3 2 2 6 2" xfId="6818" xr:uid="{00000000-0005-0000-0000-000070140000}"/>
    <cellStyle name="Normal 4 3 3 2 2 6 2 2" xfId="15247" xr:uid="{CD07EC22-3CB9-45D6-B08F-762D2D23CA7A}"/>
    <cellStyle name="Normal 4 3 3 2 2 6 2 3" xfId="27880" xr:uid="{9E0DFFF8-7ADC-4D95-8A80-43BF2209E028}"/>
    <cellStyle name="Normal 4 3 3 2 2 6 3" xfId="11029" xr:uid="{119D99FA-FFA9-4213-80D5-64D6B0FC4B13}"/>
    <cellStyle name="Normal 4 3 3 2 2 6 3 2" xfId="23669" xr:uid="{C2A2640B-2E54-4496-B4DE-34081C7E630C}"/>
    <cellStyle name="Normal 4 3 3 2 2 6 4" xfId="19458" xr:uid="{BDFEA35C-D134-4BC1-A9D4-909B240F60F3}"/>
    <cellStyle name="Normal 4 3 3 2 2 7" xfId="4753" xr:uid="{00000000-0005-0000-0000-000071140000}"/>
    <cellStyle name="Normal 4 3 3 2 2 7 2" xfId="13182" xr:uid="{8641EFB4-162E-4EC9-9B16-D6BF791B8C20}"/>
    <cellStyle name="Normal 4 3 3 2 2 7 3" xfId="25815" xr:uid="{E710EC12-792B-4743-ADA4-6CD1338F2C24}"/>
    <cellStyle name="Normal 4 3 3 2 2 8" xfId="8964" xr:uid="{B0236D2E-70C3-4DE7-9C09-B555242777A5}"/>
    <cellStyle name="Normal 4 3 3 2 2 8 2" xfId="21604" xr:uid="{C9E9F2C7-7A93-47CD-9297-AC68E35F00F3}"/>
    <cellStyle name="Normal 4 3 3 2 2 9" xfId="17393" xr:uid="{A0874338-91DC-45ED-924F-036C4CF6E382}"/>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16331966-FDDB-48E2-8C4F-3C4C60032F59}"/>
    <cellStyle name="Normal 4 3 3 2 3 2 2 3" xfId="28372" xr:uid="{8C3F799A-7FAB-47FD-8A8B-57A41A33F2AD}"/>
    <cellStyle name="Normal 4 3 3 2 3 2 3" xfId="11521" xr:uid="{15E72966-1206-4639-A4CB-64066B71E55A}"/>
    <cellStyle name="Normal 4 3 3 2 3 2 3 2" xfId="24161" xr:uid="{68AE7F24-B440-4F0F-BE84-6FA7C0EF26B9}"/>
    <cellStyle name="Normal 4 3 3 2 3 2 4" xfId="19950" xr:uid="{A4D06D58-90BE-44B2-9DEE-F101321F13A2}"/>
    <cellStyle name="Normal 4 3 3 2 3 3" xfId="5165" xr:uid="{00000000-0005-0000-0000-000075140000}"/>
    <cellStyle name="Normal 4 3 3 2 3 3 2" xfId="13594" xr:uid="{97239CB1-3D67-4544-93B5-69382F27B3E1}"/>
    <cellStyle name="Normal 4 3 3 2 3 3 3" xfId="26227" xr:uid="{16D1ABD7-FBD0-4244-B826-924CBDA1F4D6}"/>
    <cellStyle name="Normal 4 3 3 2 3 4" xfId="9376" xr:uid="{090EFD5B-D5C5-4025-B122-8E6E5A55E511}"/>
    <cellStyle name="Normal 4 3 3 2 3 4 2" xfId="22016" xr:uid="{DEBF0F44-3D77-4D4E-9B3B-17C7626FE33D}"/>
    <cellStyle name="Normal 4 3 3 2 3 5" xfId="17805" xr:uid="{65EA83D0-E7EE-4601-8D40-07C0C4E3D1BF}"/>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51971B81-6A31-4F7F-826A-F2EA38408AB9}"/>
    <cellStyle name="Normal 4 3 3 2 4 2 2 3" xfId="28785" xr:uid="{659DF5D8-A6C2-4D7B-83CD-F8ADBDED45E9}"/>
    <cellStyle name="Normal 4 3 3 2 4 2 3" xfId="11934" xr:uid="{6EE19305-EB86-49DE-BCF8-85A4EB0FECEB}"/>
    <cellStyle name="Normal 4 3 3 2 4 2 3 2" xfId="24574" xr:uid="{F2BBE885-CF90-4BB5-8B82-AF5FA794159E}"/>
    <cellStyle name="Normal 4 3 3 2 4 2 4" xfId="20363" xr:uid="{9B7411DB-2FB6-43F4-9766-C6BAEBBB6C5A}"/>
    <cellStyle name="Normal 4 3 3 2 4 3" xfId="5578" xr:uid="{00000000-0005-0000-0000-000079140000}"/>
    <cellStyle name="Normal 4 3 3 2 4 3 2" xfId="14007" xr:uid="{24936024-1591-4B79-8AB3-71D17F0BFA09}"/>
    <cellStyle name="Normal 4 3 3 2 4 3 3" xfId="26640" xr:uid="{F41EB293-4E35-4AD7-96C1-05AE6080801B}"/>
    <cellStyle name="Normal 4 3 3 2 4 4" xfId="9789" xr:uid="{7E4ECF67-74A7-4599-953F-DADD080CF73E}"/>
    <cellStyle name="Normal 4 3 3 2 4 4 2" xfId="22429" xr:uid="{C7300645-E899-428D-9AD8-BE608D4C518C}"/>
    <cellStyle name="Normal 4 3 3 2 4 5" xfId="18218" xr:uid="{BEB439F4-0F75-48B1-9FE1-74822266BFA5}"/>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6CB2B37C-EB87-4CDA-94EC-F35FD30DF328}"/>
    <cellStyle name="Normal 4 3 3 2 5 2 2 3" xfId="29198" xr:uid="{A5BD9E5F-B81E-4151-90C1-0BFF40B3839A}"/>
    <cellStyle name="Normal 4 3 3 2 5 2 3" xfId="12347" xr:uid="{7AAB110E-CFFF-433E-B02C-50F86AFEA860}"/>
    <cellStyle name="Normal 4 3 3 2 5 2 3 2" xfId="24987" xr:uid="{C417FD2B-AF4C-4F5A-98FD-6CFC04E44196}"/>
    <cellStyle name="Normal 4 3 3 2 5 2 4" xfId="20776" xr:uid="{307064BE-44BA-40A8-B5AF-26F17AEEC237}"/>
    <cellStyle name="Normal 4 3 3 2 5 3" xfId="5991" xr:uid="{00000000-0005-0000-0000-00007D140000}"/>
    <cellStyle name="Normal 4 3 3 2 5 3 2" xfId="14420" xr:uid="{2D7A1DF1-7155-4B46-AD09-5D00D482B2A4}"/>
    <cellStyle name="Normal 4 3 3 2 5 3 3" xfId="27053" xr:uid="{B47D50EE-A2E1-40DB-8262-03EFA5A828EE}"/>
    <cellStyle name="Normal 4 3 3 2 5 4" xfId="10202" xr:uid="{CB645A23-121F-40BC-B59A-CD13860855A6}"/>
    <cellStyle name="Normal 4 3 3 2 5 4 2" xfId="22842" xr:uid="{BA5DC2BE-7188-43F2-8518-35CDA5F1AE02}"/>
    <cellStyle name="Normal 4 3 3 2 5 5" xfId="18631" xr:uid="{D5226BE6-9A3A-40F1-B4D2-7B3C380E6B7D}"/>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D112D18E-E336-4176-B30D-F7ADC28044C5}"/>
    <cellStyle name="Normal 4 3 3 2 6 2 2 3" xfId="29611" xr:uid="{7145CEE2-8118-4287-BBC8-00355AA1A590}"/>
    <cellStyle name="Normal 4 3 3 2 6 2 3" xfId="12760" xr:uid="{CBDF066D-F3DE-4CCF-ACF2-21A40939F676}"/>
    <cellStyle name="Normal 4 3 3 2 6 2 3 2" xfId="25400" xr:uid="{C8D06E95-3501-4E2F-8D71-1AFBD2343F92}"/>
    <cellStyle name="Normal 4 3 3 2 6 2 4" xfId="21189" xr:uid="{90A16F08-A718-4EEA-99BB-7E0AFF732500}"/>
    <cellStyle name="Normal 4 3 3 2 6 3" xfId="6404" xr:uid="{00000000-0005-0000-0000-000081140000}"/>
    <cellStyle name="Normal 4 3 3 2 6 3 2" xfId="14833" xr:uid="{C8CA8317-FF3E-45CA-9DF1-3A48D6E00BCE}"/>
    <cellStyle name="Normal 4 3 3 2 6 3 3" xfId="27466" xr:uid="{D7EDA973-82D4-42BA-A061-97F3E965AEBC}"/>
    <cellStyle name="Normal 4 3 3 2 6 4" xfId="10615" xr:uid="{4B351611-103F-4CB2-8FB4-88CF12EF5D58}"/>
    <cellStyle name="Normal 4 3 3 2 6 4 2" xfId="23255" xr:uid="{445CE72B-5EC4-4514-96AA-EA1EDB16C594}"/>
    <cellStyle name="Normal 4 3 3 2 6 5" xfId="19044" xr:uid="{613D7405-F39C-4119-99B8-E349D05AE4B9}"/>
    <cellStyle name="Normal 4 3 3 2 7" xfId="2532" xr:uid="{00000000-0005-0000-0000-000082140000}"/>
    <cellStyle name="Normal 4 3 3 2 7 2" xfId="6817" xr:uid="{00000000-0005-0000-0000-000083140000}"/>
    <cellStyle name="Normal 4 3 3 2 7 2 2" xfId="15246" xr:uid="{C0D0B22B-0F79-4F82-BB74-06B2E4D71BD9}"/>
    <cellStyle name="Normal 4 3 3 2 7 2 3" xfId="27879" xr:uid="{1D96A626-CB36-4A65-8083-8AB08A6DA15F}"/>
    <cellStyle name="Normal 4 3 3 2 7 3" xfId="11028" xr:uid="{079953CC-D914-4021-A6A0-D516F652E880}"/>
    <cellStyle name="Normal 4 3 3 2 7 3 2" xfId="23668" xr:uid="{05DF1489-6F2B-4E24-B8C6-28013A8F76A9}"/>
    <cellStyle name="Normal 4 3 3 2 7 4" xfId="19457" xr:uid="{10993355-D479-4C6A-B02B-35D30BF56650}"/>
    <cellStyle name="Normal 4 3 3 2 8" xfId="4752" xr:uid="{00000000-0005-0000-0000-000084140000}"/>
    <cellStyle name="Normal 4 3 3 2 8 2" xfId="13181" xr:uid="{09202A53-403B-4445-BA3E-77C4C728C39A}"/>
    <cellStyle name="Normal 4 3 3 2 8 3" xfId="25814" xr:uid="{50DE4DF0-E511-41BB-BB78-4AB673CB712A}"/>
    <cellStyle name="Normal 4 3 3 2 9" xfId="8963" xr:uid="{C4817564-8E35-4B9C-8BC4-0E6227F2C43E}"/>
    <cellStyle name="Normal 4 3 3 2 9 2" xfId="21603" xr:uid="{AAFDB0AB-D13C-4809-BC24-7B7B7D1EF3C8}"/>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2E2F9A49-7C17-44F1-BA68-29EAF5B24B8B}"/>
    <cellStyle name="Normal 4 3 3 3 2 2 2 3" xfId="28374" xr:uid="{088FF809-227A-479B-94CE-4F7F921C21BE}"/>
    <cellStyle name="Normal 4 3 3 3 2 2 3" xfId="11523" xr:uid="{CC630497-AB7C-4C16-8A2C-32815240526A}"/>
    <cellStyle name="Normal 4 3 3 3 2 2 3 2" xfId="24163" xr:uid="{DACB6744-E582-4ED2-8E93-DB263C650232}"/>
    <cellStyle name="Normal 4 3 3 3 2 2 4" xfId="19952" xr:uid="{0A0BA409-8085-4462-81ED-97FA27DC11B7}"/>
    <cellStyle name="Normal 4 3 3 3 2 3" xfId="5167" xr:uid="{00000000-0005-0000-0000-000089140000}"/>
    <cellStyle name="Normal 4 3 3 3 2 3 2" xfId="13596" xr:uid="{EF3A7B08-4453-45AF-9C79-AC2878CB9038}"/>
    <cellStyle name="Normal 4 3 3 3 2 3 3" xfId="26229" xr:uid="{993D01CE-4DBF-4B45-99DD-AB7A72AD744C}"/>
    <cellStyle name="Normal 4 3 3 3 2 4" xfId="9378" xr:uid="{4EFFCBF2-1073-443E-8BCF-6BD8CF6516CE}"/>
    <cellStyle name="Normal 4 3 3 3 2 4 2" xfId="22018" xr:uid="{DC0ACECF-A5D0-4C63-9CE4-A0AF243D04B2}"/>
    <cellStyle name="Normal 4 3 3 3 2 5" xfId="17807" xr:uid="{106387D3-C9A1-406C-92FE-F13D293C6498}"/>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A795CBDE-FB53-4FDB-9C54-2909EC97240D}"/>
    <cellStyle name="Normal 4 3 3 3 3 2 2 3" xfId="28787" xr:uid="{2329500C-5C7F-4747-9635-1CE315E25428}"/>
    <cellStyle name="Normal 4 3 3 3 3 2 3" xfId="11936" xr:uid="{4D836DB7-71B5-431B-89B7-01D8D1CC53E5}"/>
    <cellStyle name="Normal 4 3 3 3 3 2 3 2" xfId="24576" xr:uid="{2C6EE06A-36FE-4740-9221-5539631DFD49}"/>
    <cellStyle name="Normal 4 3 3 3 3 2 4" xfId="20365" xr:uid="{5B63A2DE-E603-445E-A03B-C544735107AB}"/>
    <cellStyle name="Normal 4 3 3 3 3 3" xfId="5580" xr:uid="{00000000-0005-0000-0000-00008D140000}"/>
    <cellStyle name="Normal 4 3 3 3 3 3 2" xfId="14009" xr:uid="{AD337D7A-0FB6-4809-BF0F-9B5A4E1E69CD}"/>
    <cellStyle name="Normal 4 3 3 3 3 3 3" xfId="26642" xr:uid="{B77D6B66-15CB-45BA-9B49-F680EA8CC9F9}"/>
    <cellStyle name="Normal 4 3 3 3 3 4" xfId="9791" xr:uid="{0D5E325F-62D2-48A8-9FFA-0605EF64D4CE}"/>
    <cellStyle name="Normal 4 3 3 3 3 4 2" xfId="22431" xr:uid="{E4DE8BAD-1217-4D25-8C39-4133D4C14D76}"/>
    <cellStyle name="Normal 4 3 3 3 3 5" xfId="18220" xr:uid="{82E8DAF4-9011-4186-9486-175DC90E634B}"/>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61CA29FC-7284-4ED8-A139-D1194BBA308A}"/>
    <cellStyle name="Normal 4 3 3 3 4 2 2 3" xfId="29200" xr:uid="{4590B63D-2985-417B-9AEA-8A46880ED47F}"/>
    <cellStyle name="Normal 4 3 3 3 4 2 3" xfId="12349" xr:uid="{BA050EEA-2999-4B92-8F3C-B518AA6A9958}"/>
    <cellStyle name="Normal 4 3 3 3 4 2 3 2" xfId="24989" xr:uid="{EB68BBCE-F7D6-434B-A69F-28A77AE8AB5A}"/>
    <cellStyle name="Normal 4 3 3 3 4 2 4" xfId="20778" xr:uid="{9956656F-8D0B-4DB0-99BC-454B31EEC976}"/>
    <cellStyle name="Normal 4 3 3 3 4 3" xfId="5993" xr:uid="{00000000-0005-0000-0000-000091140000}"/>
    <cellStyle name="Normal 4 3 3 3 4 3 2" xfId="14422" xr:uid="{FE85FD7D-E212-481A-A586-EA43C729B389}"/>
    <cellStyle name="Normal 4 3 3 3 4 3 3" xfId="27055" xr:uid="{72C1511D-A4F7-4CD0-AFB0-4681CC567173}"/>
    <cellStyle name="Normal 4 3 3 3 4 4" xfId="10204" xr:uid="{223C37B3-15FE-4146-8F7C-84E7C1904AB8}"/>
    <cellStyle name="Normal 4 3 3 3 4 4 2" xfId="22844" xr:uid="{56839764-AF13-4017-AB16-343295E7767D}"/>
    <cellStyle name="Normal 4 3 3 3 4 5" xfId="18633" xr:uid="{524DB379-2C9D-4A28-849D-11669C6D13A5}"/>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26A106F9-0216-44CC-9B42-27AC291656E3}"/>
    <cellStyle name="Normal 4 3 3 3 5 2 2 3" xfId="29613" xr:uid="{DBBFA6CB-3051-4CED-A1AF-66D1EAAD058A}"/>
    <cellStyle name="Normal 4 3 3 3 5 2 3" xfId="12762" xr:uid="{EB9F9A0D-EA87-4213-BCD2-BCACCC0785F3}"/>
    <cellStyle name="Normal 4 3 3 3 5 2 3 2" xfId="25402" xr:uid="{9011A004-FE08-4558-8DBE-D6D0B4766ACE}"/>
    <cellStyle name="Normal 4 3 3 3 5 2 4" xfId="21191" xr:uid="{6E8567AD-8673-4FA8-AE58-BACBA7DC47F0}"/>
    <cellStyle name="Normal 4 3 3 3 5 3" xfId="6406" xr:uid="{00000000-0005-0000-0000-000095140000}"/>
    <cellStyle name="Normal 4 3 3 3 5 3 2" xfId="14835" xr:uid="{2AEA6CEA-850E-4F39-93C5-1F958241A0EF}"/>
    <cellStyle name="Normal 4 3 3 3 5 3 3" xfId="27468" xr:uid="{A97920B6-EB2E-4057-9632-B1402353B1CC}"/>
    <cellStyle name="Normal 4 3 3 3 5 4" xfId="10617" xr:uid="{672B6816-C0B8-4CEF-B84C-B07A6B3CD802}"/>
    <cellStyle name="Normal 4 3 3 3 5 4 2" xfId="23257" xr:uid="{A49D44EE-DAB0-4ACB-9148-22ACB023FE8A}"/>
    <cellStyle name="Normal 4 3 3 3 5 5" xfId="19046" xr:uid="{F064DC63-51AD-4729-98DE-FA1FDB9EACD2}"/>
    <cellStyle name="Normal 4 3 3 3 6" xfId="2534" xr:uid="{00000000-0005-0000-0000-000096140000}"/>
    <cellStyle name="Normal 4 3 3 3 6 2" xfId="6819" xr:uid="{00000000-0005-0000-0000-000097140000}"/>
    <cellStyle name="Normal 4 3 3 3 6 2 2" xfId="15248" xr:uid="{AAEBBD1B-FBFC-434B-924E-DA1D4CB9816D}"/>
    <cellStyle name="Normal 4 3 3 3 6 2 3" xfId="27881" xr:uid="{4D173ED0-0914-47A0-9C2F-ECA1190C6886}"/>
    <cellStyle name="Normal 4 3 3 3 6 3" xfId="11030" xr:uid="{229B9BCA-E5A2-484A-A071-D3ECBDFDF1AA}"/>
    <cellStyle name="Normal 4 3 3 3 6 3 2" xfId="23670" xr:uid="{06F65C4E-5EAA-4D43-9EAA-D9CD62A5861B}"/>
    <cellStyle name="Normal 4 3 3 3 6 4" xfId="19459" xr:uid="{906E61F0-B63B-4EB4-A45F-0FBC096A6CDA}"/>
    <cellStyle name="Normal 4 3 3 3 7" xfId="4754" xr:uid="{00000000-0005-0000-0000-000098140000}"/>
    <cellStyle name="Normal 4 3 3 3 7 2" xfId="13183" xr:uid="{31453607-0D20-47AB-91C9-49C86F604F59}"/>
    <cellStyle name="Normal 4 3 3 3 7 3" xfId="25816" xr:uid="{C52FDC83-AE31-4B44-BB31-91905277D2BF}"/>
    <cellStyle name="Normal 4 3 3 3 8" xfId="8965" xr:uid="{3E736A05-BA7D-4C41-8305-816B9C3972DE}"/>
    <cellStyle name="Normal 4 3 3 3 8 2" xfId="21605" xr:uid="{EA48C2D0-F2EE-40E0-88B6-582BE683BBAC}"/>
    <cellStyle name="Normal 4 3 3 3 9" xfId="17394" xr:uid="{E471CED2-2D7C-40DB-ADD2-F14A395A3777}"/>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356F61ED-A4FA-4F97-96F1-76735B94B046}"/>
    <cellStyle name="Normal 4 3 3 4 2 2 3" xfId="28371" xr:uid="{0062B676-FFE2-4D67-B084-165DAE61D9ED}"/>
    <cellStyle name="Normal 4 3 3 4 2 3" xfId="11520" xr:uid="{57165F1A-8FBC-4EAB-9A4E-D7A8B057CCEC}"/>
    <cellStyle name="Normal 4 3 3 4 2 3 2" xfId="24160" xr:uid="{303B2B05-C9A5-4F79-ABF0-435D2BA9F179}"/>
    <cellStyle name="Normal 4 3 3 4 2 4" xfId="19949" xr:uid="{A083E3BB-DFE3-4135-9C8B-098E16F80FA4}"/>
    <cellStyle name="Normal 4 3 3 4 3" xfId="5164" xr:uid="{00000000-0005-0000-0000-00009C140000}"/>
    <cellStyle name="Normal 4 3 3 4 3 2" xfId="13593" xr:uid="{8D754682-FC3B-431C-AAC6-F1D23740B244}"/>
    <cellStyle name="Normal 4 3 3 4 3 3" xfId="26226" xr:uid="{CA20173C-883C-450F-9C00-F28D3C3AB36F}"/>
    <cellStyle name="Normal 4 3 3 4 4" xfId="9375" xr:uid="{DA2BB65C-400D-47F9-BB66-67CB7F8368F0}"/>
    <cellStyle name="Normal 4 3 3 4 4 2" xfId="22015" xr:uid="{6A9E1564-3A7E-4D93-B2EB-E9E4AEE38FD9}"/>
    <cellStyle name="Normal 4 3 3 4 5" xfId="17804" xr:uid="{4621ED49-C0B0-445C-BE23-D28D3783F14A}"/>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516D5034-5750-4F34-820D-B7369B9EA9BF}"/>
    <cellStyle name="Normal 4 3 3 5 2 2 3" xfId="28784" xr:uid="{7E705A53-AAD0-48E3-815F-81AE58B31973}"/>
    <cellStyle name="Normal 4 3 3 5 2 3" xfId="11933" xr:uid="{89AF0862-0687-4565-982C-C671FC5C0321}"/>
    <cellStyle name="Normal 4 3 3 5 2 3 2" xfId="24573" xr:uid="{19789FA9-DF34-486B-8077-9714F1D3891D}"/>
    <cellStyle name="Normal 4 3 3 5 2 4" xfId="20362" xr:uid="{5211D487-6F2E-4989-98B2-8F25A31281B6}"/>
    <cellStyle name="Normal 4 3 3 5 3" xfId="5577" xr:uid="{00000000-0005-0000-0000-0000A0140000}"/>
    <cellStyle name="Normal 4 3 3 5 3 2" xfId="14006" xr:uid="{B0FF022F-DE32-4FAF-866A-B7D867330F15}"/>
    <cellStyle name="Normal 4 3 3 5 3 3" xfId="26639" xr:uid="{6D4B1EB1-5D41-47BA-BC9B-22DACC15055C}"/>
    <cellStyle name="Normal 4 3 3 5 4" xfId="9788" xr:uid="{CC34A6D7-5078-4543-ABE7-49A5B71176B5}"/>
    <cellStyle name="Normal 4 3 3 5 4 2" xfId="22428" xr:uid="{D34C94B5-1BAA-4D09-BAEE-9739C83CACA0}"/>
    <cellStyle name="Normal 4 3 3 5 5" xfId="18217" xr:uid="{A6338EE5-D508-4664-87FD-D5C35449DB6B}"/>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A7F4B2B5-05B3-40C4-ADED-5BA7A1BA1D22}"/>
    <cellStyle name="Normal 4 3 3 6 2 2 3" xfId="29197" xr:uid="{62EEDD4E-E267-401B-9B25-7E4677A1E80E}"/>
    <cellStyle name="Normal 4 3 3 6 2 3" xfId="12346" xr:uid="{11093A95-EF2B-4320-ADF3-D28477CD2BD0}"/>
    <cellStyle name="Normal 4 3 3 6 2 3 2" xfId="24986" xr:uid="{C13E5A78-1AD7-4722-A0B2-8EA7A250ABF6}"/>
    <cellStyle name="Normal 4 3 3 6 2 4" xfId="20775" xr:uid="{8EC20FA8-1CC1-45BD-82B2-B2DDD29E63F9}"/>
    <cellStyle name="Normal 4 3 3 6 3" xfId="5990" xr:uid="{00000000-0005-0000-0000-0000A4140000}"/>
    <cellStyle name="Normal 4 3 3 6 3 2" xfId="14419" xr:uid="{807ECB7C-0491-49D6-ACCD-5862C0466046}"/>
    <cellStyle name="Normal 4 3 3 6 3 3" xfId="27052" xr:uid="{D5CADBB0-39C4-4014-B7CA-E6A5CC6BE556}"/>
    <cellStyle name="Normal 4 3 3 6 4" xfId="10201" xr:uid="{2566F3CF-418D-4D95-A0A7-390683BB2154}"/>
    <cellStyle name="Normal 4 3 3 6 4 2" xfId="22841" xr:uid="{F82413F8-497C-413C-A6E9-F9576B2DA62C}"/>
    <cellStyle name="Normal 4 3 3 6 5" xfId="18630" xr:uid="{BA99B887-CDFB-4305-8B71-78F9EC826CCA}"/>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19A9040C-BC14-4B4C-A8A7-99D97F9470A3}"/>
    <cellStyle name="Normal 4 3 3 7 2 2 3" xfId="29610" xr:uid="{CB4A70C5-867C-4D73-8971-3424A2AC5CF6}"/>
    <cellStyle name="Normal 4 3 3 7 2 3" xfId="12759" xr:uid="{46E41BC2-6E53-43F8-89E3-DCEDD6EF0685}"/>
    <cellStyle name="Normal 4 3 3 7 2 3 2" xfId="25399" xr:uid="{2E8DAB37-0640-4077-A750-818A74896C0B}"/>
    <cellStyle name="Normal 4 3 3 7 2 4" xfId="21188" xr:uid="{47B9BDD2-D89B-4F25-976C-449C5ADDB3DF}"/>
    <cellStyle name="Normal 4 3 3 7 3" xfId="6403" xr:uid="{00000000-0005-0000-0000-0000A8140000}"/>
    <cellStyle name="Normal 4 3 3 7 3 2" xfId="14832" xr:uid="{87752160-6109-4324-AE59-2771D86BA610}"/>
    <cellStyle name="Normal 4 3 3 7 3 3" xfId="27465" xr:uid="{51D4EDEA-9312-4DAA-B25A-FBA5D5DA543C}"/>
    <cellStyle name="Normal 4 3 3 7 4" xfId="10614" xr:uid="{B27BCB02-3571-4FC0-808A-04D54FCCD51F}"/>
    <cellStyle name="Normal 4 3 3 7 4 2" xfId="23254" xr:uid="{DFC01971-050D-4E2E-895A-E284DCCE60F0}"/>
    <cellStyle name="Normal 4 3 3 7 5" xfId="19043" xr:uid="{740C01E2-C5B2-4989-8578-13177BEF82A8}"/>
    <cellStyle name="Normal 4 3 3 8" xfId="2531" xr:uid="{00000000-0005-0000-0000-0000A9140000}"/>
    <cellStyle name="Normal 4 3 3 8 2" xfId="6816" xr:uid="{00000000-0005-0000-0000-0000AA140000}"/>
    <cellStyle name="Normal 4 3 3 8 2 2" xfId="15245" xr:uid="{24D78B98-0C9B-4323-BA3A-54BE5C929C35}"/>
    <cellStyle name="Normal 4 3 3 8 2 3" xfId="27878" xr:uid="{35012FC8-20E6-4888-BDB3-209F700C3582}"/>
    <cellStyle name="Normal 4 3 3 8 3" xfId="11027" xr:uid="{58320FFC-2DA4-425D-B607-7EE14327E74A}"/>
    <cellStyle name="Normal 4 3 3 8 3 2" xfId="23667" xr:uid="{936E8DEB-4F3C-406C-9990-BF98CB6E18C8}"/>
    <cellStyle name="Normal 4 3 3 8 4" xfId="19456" xr:uid="{B32F8FA0-903D-435B-88F7-9CB3D016D25F}"/>
    <cellStyle name="Normal 4 3 3 9" xfId="4751" xr:uid="{00000000-0005-0000-0000-0000AB140000}"/>
    <cellStyle name="Normal 4 3 3 9 2" xfId="13180" xr:uid="{D43FDEF1-65E8-49B3-B1EA-AD5285760555}"/>
    <cellStyle name="Normal 4 3 3 9 3" xfId="25813" xr:uid="{5B2878CD-5EF7-41E0-971E-A935AA7B30D4}"/>
    <cellStyle name="Normal 4 3 4" xfId="843" xr:uid="{00000000-0005-0000-0000-0000AC140000}"/>
    <cellStyle name="Normal 4 3 4 2" xfId="3080" xr:uid="{00000000-0005-0000-0000-0000AD140000}"/>
    <cellStyle name="Normal 4 3 4 2 2" xfId="7304" xr:uid="{00000000-0005-0000-0000-0000AE140000}"/>
    <cellStyle name="Normal 4 3 4 2 2 2" xfId="15733" xr:uid="{3CB1619B-5C45-4859-9973-D7992594655F}"/>
    <cellStyle name="Normal 4 3 4 2 2 3" xfId="28366" xr:uid="{08DC40CD-7EA5-402B-9BA3-07CDCC7AF492}"/>
    <cellStyle name="Normal 4 3 4 2 3" xfId="11515" xr:uid="{476AEB9E-3C41-4E84-B80A-036317AA0E33}"/>
    <cellStyle name="Normal 4 3 4 2 3 2" xfId="24155" xr:uid="{AF6E3E88-EA96-4298-A7A8-CE33DFF2E3A7}"/>
    <cellStyle name="Normal 4 3 4 2 4" xfId="19944" xr:uid="{956C390C-69B7-4B96-97B4-C60B9A65C751}"/>
    <cellStyle name="Normal 4 3 4 3" xfId="5159" xr:uid="{00000000-0005-0000-0000-0000AF140000}"/>
    <cellStyle name="Normal 4 3 4 3 2" xfId="13588" xr:uid="{5FDD0C24-0D9B-40D2-9DC2-4F7AEF316692}"/>
    <cellStyle name="Normal 4 3 4 3 3" xfId="26221" xr:uid="{E7E4F8B0-7532-4FEA-8C41-395DA70D373E}"/>
    <cellStyle name="Normal 4 3 4 4" xfId="9370" xr:uid="{3EB6FFE1-5FD7-41F4-9262-9F0181ED4E01}"/>
    <cellStyle name="Normal 4 3 4 4 2" xfId="22010" xr:uid="{6A730608-3BDD-4EB1-B276-0B0E16CEF3C1}"/>
    <cellStyle name="Normal 4 3 4 5" xfId="17799" xr:uid="{4504854C-A3EF-487E-827E-E53A662DA41B}"/>
    <cellStyle name="Normal 4 3 5" xfId="1263" xr:uid="{00000000-0005-0000-0000-0000B0140000}"/>
    <cellStyle name="Normal 4 3 5 2" xfId="3493" xr:uid="{00000000-0005-0000-0000-0000B1140000}"/>
    <cellStyle name="Normal 4 3 5 2 2" xfId="7717" xr:uid="{00000000-0005-0000-0000-0000B2140000}"/>
    <cellStyle name="Normal 4 3 5 2 2 2" xfId="16146" xr:uid="{FAE6FC42-5F9C-43DB-973E-61B394AFDB46}"/>
    <cellStyle name="Normal 4 3 5 2 2 3" xfId="28779" xr:uid="{0D1359D2-6596-4B62-B70F-7FB33EBED8BE}"/>
    <cellStyle name="Normal 4 3 5 2 3" xfId="11928" xr:uid="{80BC2C48-6C9D-49A2-A056-5EBE5B3EE37C}"/>
    <cellStyle name="Normal 4 3 5 2 3 2" xfId="24568" xr:uid="{BE79C370-C6BD-4C33-9509-115DDAFCA450}"/>
    <cellStyle name="Normal 4 3 5 2 4" xfId="20357" xr:uid="{A7083E96-4819-4FBF-8C71-38C6DD78409A}"/>
    <cellStyle name="Normal 4 3 5 3" xfId="5572" xr:uid="{00000000-0005-0000-0000-0000B3140000}"/>
    <cellStyle name="Normal 4 3 5 3 2" xfId="14001" xr:uid="{4C3EC974-1BC9-4FEE-9AB0-502A509AB1B0}"/>
    <cellStyle name="Normal 4 3 5 3 3" xfId="26634" xr:uid="{ACDFB2D9-CF47-4F2D-A32B-22F72D39B3CB}"/>
    <cellStyle name="Normal 4 3 5 4" xfId="9783" xr:uid="{2BC53730-A4E4-498E-8988-8433781648AA}"/>
    <cellStyle name="Normal 4 3 5 4 2" xfId="22423" xr:uid="{5AC2B313-90B1-41D0-A0FB-A2D78DBD246F}"/>
    <cellStyle name="Normal 4 3 5 5" xfId="18212" xr:uid="{ACAA3008-9F92-4C5D-AF65-3FF856277C33}"/>
    <cellStyle name="Normal 4 3 6" xfId="1676" xr:uid="{00000000-0005-0000-0000-0000B4140000}"/>
    <cellStyle name="Normal 4 3 6 2" xfId="3906" xr:uid="{00000000-0005-0000-0000-0000B5140000}"/>
    <cellStyle name="Normal 4 3 6 2 2" xfId="8130" xr:uid="{00000000-0005-0000-0000-0000B6140000}"/>
    <cellStyle name="Normal 4 3 6 2 2 2" xfId="16559" xr:uid="{09F7ADBC-D7F4-4AFF-97F6-AC6E9E7881F5}"/>
    <cellStyle name="Normal 4 3 6 2 2 3" xfId="29192" xr:uid="{CDBE37BC-8CFE-425C-9469-F7828FB0C2D5}"/>
    <cellStyle name="Normal 4 3 6 2 3" xfId="12341" xr:uid="{C858FFDE-4C91-482B-9CD6-7735C7ACE0F7}"/>
    <cellStyle name="Normal 4 3 6 2 3 2" xfId="24981" xr:uid="{8FEB2199-E322-4358-9EE2-C891406328CC}"/>
    <cellStyle name="Normal 4 3 6 2 4" xfId="20770" xr:uid="{F6EC6F0E-7251-4320-8C92-2A509FB32519}"/>
    <cellStyle name="Normal 4 3 6 3" xfId="5985" xr:uid="{00000000-0005-0000-0000-0000B7140000}"/>
    <cellStyle name="Normal 4 3 6 3 2" xfId="14414" xr:uid="{38CE8794-38CC-4BEC-B425-7E1C6CD95B39}"/>
    <cellStyle name="Normal 4 3 6 3 3" xfId="27047" xr:uid="{E02A45A3-5C8C-4CE6-AF9E-3F034934D66F}"/>
    <cellStyle name="Normal 4 3 6 4" xfId="10196" xr:uid="{B4774451-DA45-4C1B-95C3-B47EAEEF8639}"/>
    <cellStyle name="Normal 4 3 6 4 2" xfId="22836" xr:uid="{4FA7481F-82A5-472E-8318-AFB3A5E11477}"/>
    <cellStyle name="Normal 4 3 6 5" xfId="18625" xr:uid="{FB0EB7A5-6B1A-4351-83DF-3C04FE234590}"/>
    <cellStyle name="Normal 4 3 7" xfId="2090" xr:uid="{00000000-0005-0000-0000-0000B8140000}"/>
    <cellStyle name="Normal 4 3 7 2" xfId="4319" xr:uid="{00000000-0005-0000-0000-0000B9140000}"/>
    <cellStyle name="Normal 4 3 7 2 2" xfId="8543" xr:uid="{00000000-0005-0000-0000-0000BA140000}"/>
    <cellStyle name="Normal 4 3 7 2 2 2" xfId="16972" xr:uid="{3F084E0C-1C03-4A72-89FD-EF5F83CDD173}"/>
    <cellStyle name="Normal 4 3 7 2 2 3" xfId="29605" xr:uid="{8151895E-52CA-4A6A-A2E0-E3B7155358B8}"/>
    <cellStyle name="Normal 4 3 7 2 3" xfId="12754" xr:uid="{299C5DB0-3947-4A91-A4DE-A320629F3157}"/>
    <cellStyle name="Normal 4 3 7 2 3 2" xfId="25394" xr:uid="{735EDF43-29AB-47F8-9BD1-2B5369E0230C}"/>
    <cellStyle name="Normal 4 3 7 2 4" xfId="21183" xr:uid="{28B50BA6-3C7E-48C2-9441-3AB0EC98EEB3}"/>
    <cellStyle name="Normal 4 3 7 3" xfId="6398" xr:uid="{00000000-0005-0000-0000-0000BB140000}"/>
    <cellStyle name="Normal 4 3 7 3 2" xfId="14827" xr:uid="{D886F5A2-356F-48F4-94CF-BCCDA548EF76}"/>
    <cellStyle name="Normal 4 3 7 3 3" xfId="27460" xr:uid="{237F940E-D9CB-40E5-A26F-BA8339309443}"/>
    <cellStyle name="Normal 4 3 7 4" xfId="10609" xr:uid="{1DA2021B-DCE8-4AB6-AC50-CE65F4DBD192}"/>
    <cellStyle name="Normal 4 3 7 4 2" xfId="23249" xr:uid="{F07D9B73-E7D7-4463-96AD-10803421CFC2}"/>
    <cellStyle name="Normal 4 3 7 5" xfId="19038" xr:uid="{196280A7-AF3E-466C-B1A9-BF0CE99ED3C6}"/>
    <cellStyle name="Normal 4 3 8" xfId="2526" xr:uid="{00000000-0005-0000-0000-0000BC140000}"/>
    <cellStyle name="Normal 4 3 8 2" xfId="6811" xr:uid="{00000000-0005-0000-0000-0000BD140000}"/>
    <cellStyle name="Normal 4 3 8 2 2" xfId="15240" xr:uid="{E684C905-BFF2-406D-B4AF-7C52DE500F68}"/>
    <cellStyle name="Normal 4 3 8 2 3" xfId="27873" xr:uid="{BFE0B31A-65FF-48AB-9A0E-538BAA707645}"/>
    <cellStyle name="Normal 4 3 8 3" xfId="11022" xr:uid="{1FC760C5-E34C-426C-A019-F676EF7D6BA8}"/>
    <cellStyle name="Normal 4 3 8 3 2" xfId="23662" xr:uid="{99A98481-6FCF-4C64-85CC-6C2DE4E8F3A4}"/>
    <cellStyle name="Normal 4 3 8 4" xfId="19451" xr:uid="{BAC8E592-7F79-4C63-93CC-6F4D3F1C9FA2}"/>
    <cellStyle name="Normal 4 3 9" xfId="4746" xr:uid="{00000000-0005-0000-0000-0000BE140000}"/>
    <cellStyle name="Normal 4 3 9 2" xfId="13175" xr:uid="{CA6B2750-1026-4E13-A1F5-249F28798A7F}"/>
    <cellStyle name="Normal 4 3 9 3" xfId="25808" xr:uid="{1AF62BF1-472A-4C92-AC98-93AD7B3D8E64}"/>
    <cellStyle name="Normal 4 4" xfId="378" xr:uid="{00000000-0005-0000-0000-0000BF140000}"/>
    <cellStyle name="Normal 4 4 10" xfId="2535" xr:uid="{00000000-0005-0000-0000-0000C0140000}"/>
    <cellStyle name="Normal 4 4 10 2" xfId="6820" xr:uid="{00000000-0005-0000-0000-0000C1140000}"/>
    <cellStyle name="Normal 4 4 10 2 2" xfId="15249" xr:uid="{372CF53F-0903-4CBE-ADAE-8E4DC007DD1C}"/>
    <cellStyle name="Normal 4 4 10 2 3" xfId="27882" xr:uid="{F6144CEB-94DD-4C05-B74A-B5B9248D055F}"/>
    <cellStyle name="Normal 4 4 10 3" xfId="11031" xr:uid="{E3570913-C610-459E-A61B-7D28107847DD}"/>
    <cellStyle name="Normal 4 4 10 3 2" xfId="23671" xr:uid="{E0696694-3D36-4EF4-AD54-DEAD1B8B6318}"/>
    <cellStyle name="Normal 4 4 10 4" xfId="19460" xr:uid="{4E3C4B89-99F6-4487-A6AF-FAE38497E19A}"/>
    <cellStyle name="Normal 4 4 11" xfId="4755" xr:uid="{00000000-0005-0000-0000-0000C2140000}"/>
    <cellStyle name="Normal 4 4 11 2" xfId="13184" xr:uid="{AAD5BCAB-602F-405F-9784-104FE36AD6E3}"/>
    <cellStyle name="Normal 4 4 11 3" xfId="25817" xr:uid="{6E4B381B-10EF-4B75-9BE7-BEF1DF9BE23E}"/>
    <cellStyle name="Normal 4 4 12" xfId="8966" xr:uid="{1E41CE62-07E9-433D-AD83-5DF1979681A0}"/>
    <cellStyle name="Normal 4 4 12 2" xfId="21606" xr:uid="{C57B6880-8C97-41E3-AF3C-E853F0E944CB}"/>
    <cellStyle name="Normal 4 4 13" xfId="17395" xr:uid="{6BE7B2DB-B6B4-48B2-A5F8-B184DAC2BFBF}"/>
    <cellStyle name="Normal 4 4 2" xfId="379" xr:uid="{00000000-0005-0000-0000-0000C3140000}"/>
    <cellStyle name="Normal 4 4 2 10" xfId="4756" xr:uid="{00000000-0005-0000-0000-0000C4140000}"/>
    <cellStyle name="Normal 4 4 2 10 2" xfId="13185" xr:uid="{2AFEA6D0-7A33-46C8-A96A-CF6C08D7091E}"/>
    <cellStyle name="Normal 4 4 2 10 3" xfId="25818" xr:uid="{B6128D2B-3D46-41D1-A3E9-CFBC503A2EC6}"/>
    <cellStyle name="Normal 4 4 2 11" xfId="8967" xr:uid="{6A08FC00-4CAB-4865-BB7E-2EC9BA3EE08B}"/>
    <cellStyle name="Normal 4 4 2 11 2" xfId="21607" xr:uid="{F9D068C6-C085-4109-B77D-DF49B85E427B}"/>
    <cellStyle name="Normal 4 4 2 12" xfId="17396" xr:uid="{9F024179-6AC9-47B5-88D3-C44F31FDE233}"/>
    <cellStyle name="Normal 4 4 2 2" xfId="380" xr:uid="{00000000-0005-0000-0000-0000C5140000}"/>
    <cellStyle name="Normal 4 4 2 2 10" xfId="8968" xr:uid="{C64F71D7-CECD-44FE-B885-A405F14A0C9A}"/>
    <cellStyle name="Normal 4 4 2 2 10 2" xfId="21608" xr:uid="{3053A040-A649-4446-8AA4-2E482DAF7856}"/>
    <cellStyle name="Normal 4 4 2 2 11" xfId="17397" xr:uid="{351EEF05-6BBA-4DC3-AA35-7FD66CF53A63}"/>
    <cellStyle name="Normal 4 4 2 2 2" xfId="381" xr:uid="{00000000-0005-0000-0000-0000C6140000}"/>
    <cellStyle name="Normal 4 4 2 2 2 10" xfId="17398" xr:uid="{FF956B38-0666-4DEB-BF8A-6994884668C6}"/>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308E38D6-3823-4C82-B875-E461D0EE9BE2}"/>
    <cellStyle name="Normal 4 4 2 2 2 2 2 2 2 3" xfId="28379" xr:uid="{DCF1ED7C-6352-49EA-8AF8-50BD254A0565}"/>
    <cellStyle name="Normal 4 4 2 2 2 2 2 2 3" xfId="11528" xr:uid="{4C14DDF4-100D-4AE1-8557-C3F1F0443180}"/>
    <cellStyle name="Normal 4 4 2 2 2 2 2 2 3 2" xfId="24168" xr:uid="{230F90D6-61B6-4482-8CCE-6596B8704299}"/>
    <cellStyle name="Normal 4 4 2 2 2 2 2 2 4" xfId="19957" xr:uid="{46C46FCE-0105-49DB-B600-BE87663DD0B8}"/>
    <cellStyle name="Normal 4 4 2 2 2 2 2 3" xfId="5172" xr:uid="{00000000-0005-0000-0000-0000CB140000}"/>
    <cellStyle name="Normal 4 4 2 2 2 2 2 3 2" xfId="13601" xr:uid="{327196B3-ED63-4FB6-8E06-4A645B3C9C83}"/>
    <cellStyle name="Normal 4 4 2 2 2 2 2 3 3" xfId="26234" xr:uid="{D7AC0E71-CC96-46C4-B69C-AD5C623B1358}"/>
    <cellStyle name="Normal 4 4 2 2 2 2 2 4" xfId="9383" xr:uid="{69AB0DA6-F3FB-417C-A0D4-ECF80C1B5E61}"/>
    <cellStyle name="Normal 4 4 2 2 2 2 2 4 2" xfId="22023" xr:uid="{8D6C4621-66E5-4169-B374-1770AF309721}"/>
    <cellStyle name="Normal 4 4 2 2 2 2 2 5" xfId="17812" xr:uid="{78CE030F-A734-488F-AD71-9CC01B661FBF}"/>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20E8A545-B917-46A7-8434-BD878E69BF8E}"/>
    <cellStyle name="Normal 4 4 2 2 2 2 3 2 2 3" xfId="28792" xr:uid="{682DAFCC-B1F4-48FB-851A-D78D4E237649}"/>
    <cellStyle name="Normal 4 4 2 2 2 2 3 2 3" xfId="11941" xr:uid="{A9522CC2-F165-466E-9E25-BE4A0A58B03E}"/>
    <cellStyle name="Normal 4 4 2 2 2 2 3 2 3 2" xfId="24581" xr:uid="{11E704E9-111C-47F2-BE67-A987E3344793}"/>
    <cellStyle name="Normal 4 4 2 2 2 2 3 2 4" xfId="20370" xr:uid="{3C65692E-EEC8-4B62-A717-568686A62CCE}"/>
    <cellStyle name="Normal 4 4 2 2 2 2 3 3" xfId="5585" xr:uid="{00000000-0005-0000-0000-0000CF140000}"/>
    <cellStyle name="Normal 4 4 2 2 2 2 3 3 2" xfId="14014" xr:uid="{A202A11C-3629-4FC8-94B7-FD17FFF11B08}"/>
    <cellStyle name="Normal 4 4 2 2 2 2 3 3 3" xfId="26647" xr:uid="{D89CC25A-F124-418C-BD41-5EBA6A983CFB}"/>
    <cellStyle name="Normal 4 4 2 2 2 2 3 4" xfId="9796" xr:uid="{F449D18A-189A-4CA7-B00D-B96ACFAA44D9}"/>
    <cellStyle name="Normal 4 4 2 2 2 2 3 4 2" xfId="22436" xr:uid="{84ACDC5C-013D-4504-89EB-15DAF4C5F755}"/>
    <cellStyle name="Normal 4 4 2 2 2 2 3 5" xfId="18225" xr:uid="{444E2B0E-1644-46E5-875F-862B3C0099FE}"/>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AAA53522-904B-4395-84B0-CDA1A57221E2}"/>
    <cellStyle name="Normal 4 4 2 2 2 2 4 2 2 3" xfId="29205" xr:uid="{A8C67290-0331-4555-9F68-B3EEA50B4444}"/>
    <cellStyle name="Normal 4 4 2 2 2 2 4 2 3" xfId="12354" xr:uid="{C8190F85-FD29-4525-85DE-B85654EED9F2}"/>
    <cellStyle name="Normal 4 4 2 2 2 2 4 2 3 2" xfId="24994" xr:uid="{A46A6312-637D-482E-884E-854347CF239F}"/>
    <cellStyle name="Normal 4 4 2 2 2 2 4 2 4" xfId="20783" xr:uid="{8FCF434C-56A7-4CA1-81CD-A606023B135F}"/>
    <cellStyle name="Normal 4 4 2 2 2 2 4 3" xfId="5998" xr:uid="{00000000-0005-0000-0000-0000D3140000}"/>
    <cellStyle name="Normal 4 4 2 2 2 2 4 3 2" xfId="14427" xr:uid="{C08C8E3D-CF76-4D17-AF00-20F0A84C6123}"/>
    <cellStyle name="Normal 4 4 2 2 2 2 4 3 3" xfId="27060" xr:uid="{298212E7-0CBC-45AA-BB7A-FF72D7DAE579}"/>
    <cellStyle name="Normal 4 4 2 2 2 2 4 4" xfId="10209" xr:uid="{98CC5E26-C3B2-433B-921D-5038877C1866}"/>
    <cellStyle name="Normal 4 4 2 2 2 2 4 4 2" xfId="22849" xr:uid="{7E4CC86B-AAD5-4D5D-B83A-09B6D2DEF05B}"/>
    <cellStyle name="Normal 4 4 2 2 2 2 4 5" xfId="18638" xr:uid="{F20597D7-1360-4741-9003-3799FD03F45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83871766-EBC8-47F7-AE5C-1B1CDFDAFBBB}"/>
    <cellStyle name="Normal 4 4 2 2 2 2 5 2 2 3" xfId="29618" xr:uid="{349697EE-C52C-4A98-8049-643840E0C96C}"/>
    <cellStyle name="Normal 4 4 2 2 2 2 5 2 3" xfId="12767" xr:uid="{8E60E4AE-3DF0-4068-A36C-FD89A88AE581}"/>
    <cellStyle name="Normal 4 4 2 2 2 2 5 2 3 2" xfId="25407" xr:uid="{21441497-5045-4DE1-B2AC-39ECECAC0D5B}"/>
    <cellStyle name="Normal 4 4 2 2 2 2 5 2 4" xfId="21196" xr:uid="{00795AD1-AC90-4010-A1AC-8D494F29DF86}"/>
    <cellStyle name="Normal 4 4 2 2 2 2 5 3" xfId="6411" xr:uid="{00000000-0005-0000-0000-0000D7140000}"/>
    <cellStyle name="Normal 4 4 2 2 2 2 5 3 2" xfId="14840" xr:uid="{A1D7FA44-62B1-4E9E-B516-5897098C68C4}"/>
    <cellStyle name="Normal 4 4 2 2 2 2 5 3 3" xfId="27473" xr:uid="{C7E6F9D1-77B6-4E5E-8C05-F3C16AC248C4}"/>
    <cellStyle name="Normal 4 4 2 2 2 2 5 4" xfId="10622" xr:uid="{896AD115-AA10-44A0-91E1-0391BEDE13EA}"/>
    <cellStyle name="Normal 4 4 2 2 2 2 5 4 2" xfId="23262" xr:uid="{64F86A10-3CEF-4278-B6C5-8461B9107310}"/>
    <cellStyle name="Normal 4 4 2 2 2 2 5 5" xfId="19051" xr:uid="{38C5F5BA-127C-4E84-A848-EA06E37436CD}"/>
    <cellStyle name="Normal 4 4 2 2 2 2 6" xfId="2539" xr:uid="{00000000-0005-0000-0000-0000D8140000}"/>
    <cellStyle name="Normal 4 4 2 2 2 2 6 2" xfId="6824" xr:uid="{00000000-0005-0000-0000-0000D9140000}"/>
    <cellStyle name="Normal 4 4 2 2 2 2 6 2 2" xfId="15253" xr:uid="{00D72736-DF64-42A7-A970-A5D13E178311}"/>
    <cellStyle name="Normal 4 4 2 2 2 2 6 2 3" xfId="27886" xr:uid="{E691C7AF-40E0-4607-A79B-95741BE0E77B}"/>
    <cellStyle name="Normal 4 4 2 2 2 2 6 3" xfId="11035" xr:uid="{AA516F77-E4A0-4695-A0DF-13211D15D7BF}"/>
    <cellStyle name="Normal 4 4 2 2 2 2 6 3 2" xfId="23675" xr:uid="{DD428851-29AB-4D28-B4C5-C72C7B2D1C1A}"/>
    <cellStyle name="Normal 4 4 2 2 2 2 6 4" xfId="19464" xr:uid="{168A4557-D81B-4251-9F16-5F0333A3F061}"/>
    <cellStyle name="Normal 4 4 2 2 2 2 7" xfId="4759" xr:uid="{00000000-0005-0000-0000-0000DA140000}"/>
    <cellStyle name="Normal 4 4 2 2 2 2 7 2" xfId="13188" xr:uid="{C8B29450-0471-48E4-A04A-89E297C8ADC8}"/>
    <cellStyle name="Normal 4 4 2 2 2 2 7 3" xfId="25821" xr:uid="{D91B0BA8-49CC-489C-8DB6-FF7EDB10C600}"/>
    <cellStyle name="Normal 4 4 2 2 2 2 8" xfId="8970" xr:uid="{BCCD5551-17A5-4AAE-ABCB-FC4066D7C7AC}"/>
    <cellStyle name="Normal 4 4 2 2 2 2 8 2" xfId="21610" xr:uid="{5AD1EEB8-7599-4460-A33D-539DE2F0F4FF}"/>
    <cellStyle name="Normal 4 4 2 2 2 2 9" xfId="17399" xr:uid="{73B68377-E0CC-4F29-8D49-D28BD7DCBBD4}"/>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A67F5749-1C87-4DF5-AAFF-06BC745E954C}"/>
    <cellStyle name="Normal 4 4 2 2 2 3 2 2 3" xfId="28378" xr:uid="{B539FF21-91B6-42FC-9B40-3DB4208EBE9D}"/>
    <cellStyle name="Normal 4 4 2 2 2 3 2 3" xfId="11527" xr:uid="{2C1C2449-3636-478C-BAFE-03466E7336B7}"/>
    <cellStyle name="Normal 4 4 2 2 2 3 2 3 2" xfId="24167" xr:uid="{81C785D2-4A83-4958-8388-D0702D30D0FD}"/>
    <cellStyle name="Normal 4 4 2 2 2 3 2 4" xfId="19956" xr:uid="{18BC44B9-42CC-40CC-AA40-C2BCE838C2C5}"/>
    <cellStyle name="Normal 4 4 2 2 2 3 3" xfId="5171" xr:uid="{00000000-0005-0000-0000-0000DE140000}"/>
    <cellStyle name="Normal 4 4 2 2 2 3 3 2" xfId="13600" xr:uid="{1004181A-E00A-45AD-AB40-08DD475FDE46}"/>
    <cellStyle name="Normal 4 4 2 2 2 3 3 3" xfId="26233" xr:uid="{6C8A01FA-0351-47B5-8790-3E3973B8E5E0}"/>
    <cellStyle name="Normal 4 4 2 2 2 3 4" xfId="9382" xr:uid="{091A9D0E-EAE5-47C1-B6B3-F2CD06A1AE1B}"/>
    <cellStyle name="Normal 4 4 2 2 2 3 4 2" xfId="22022" xr:uid="{766C0410-752C-4AE5-B671-E8CDFF30BE08}"/>
    <cellStyle name="Normal 4 4 2 2 2 3 5" xfId="17811" xr:uid="{321AE1DD-B2E9-438E-8F27-CEBF6B498D24}"/>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8382AAE8-F483-486D-A1EE-73FE6447BB1A}"/>
    <cellStyle name="Normal 4 4 2 2 2 4 2 2 3" xfId="28791" xr:uid="{F80FDBD5-43C4-4703-8F22-4EBE9D72F81B}"/>
    <cellStyle name="Normal 4 4 2 2 2 4 2 3" xfId="11940" xr:uid="{5A71C74B-EC01-4046-8A54-2ACFADD8830B}"/>
    <cellStyle name="Normal 4 4 2 2 2 4 2 3 2" xfId="24580" xr:uid="{54B387FF-E28B-4623-A1A8-77C1FF42CA57}"/>
    <cellStyle name="Normal 4 4 2 2 2 4 2 4" xfId="20369" xr:uid="{7EF2E991-E0C6-4AA7-B5D9-FF84CF0413D6}"/>
    <cellStyle name="Normal 4 4 2 2 2 4 3" xfId="5584" xr:uid="{00000000-0005-0000-0000-0000E2140000}"/>
    <cellStyle name="Normal 4 4 2 2 2 4 3 2" xfId="14013" xr:uid="{80FAB7FD-60A4-401B-809C-532ED4828A14}"/>
    <cellStyle name="Normal 4 4 2 2 2 4 3 3" xfId="26646" xr:uid="{D0A3586C-A5F8-4B7E-9B0C-DCA81107182D}"/>
    <cellStyle name="Normal 4 4 2 2 2 4 4" xfId="9795" xr:uid="{3E8D440A-C9EB-447C-B350-69F95CDF2895}"/>
    <cellStyle name="Normal 4 4 2 2 2 4 4 2" xfId="22435" xr:uid="{D2FDB80D-CFCF-4D1D-9FA5-4644756E94F9}"/>
    <cellStyle name="Normal 4 4 2 2 2 4 5" xfId="18224" xr:uid="{10FCF315-5F7C-4359-91CE-4FFCDA8D3FA2}"/>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419A6C74-C8FD-4DF2-B4CE-58F23C0B88DF}"/>
    <cellStyle name="Normal 4 4 2 2 2 5 2 2 3" xfId="29204" xr:uid="{805C34B6-67A4-478F-B661-C369BDE08DE3}"/>
    <cellStyle name="Normal 4 4 2 2 2 5 2 3" xfId="12353" xr:uid="{B8F334A3-F752-4994-9C20-2AE87390FBE9}"/>
    <cellStyle name="Normal 4 4 2 2 2 5 2 3 2" xfId="24993" xr:uid="{C81398B1-9134-4978-906B-1D4DAEA5E9AE}"/>
    <cellStyle name="Normal 4 4 2 2 2 5 2 4" xfId="20782" xr:uid="{FD558E21-82C9-4012-9E9D-8FE9C79978DD}"/>
    <cellStyle name="Normal 4 4 2 2 2 5 3" xfId="5997" xr:uid="{00000000-0005-0000-0000-0000E6140000}"/>
    <cellStyle name="Normal 4 4 2 2 2 5 3 2" xfId="14426" xr:uid="{CED9E977-D685-428F-9E70-89A577ED046F}"/>
    <cellStyle name="Normal 4 4 2 2 2 5 3 3" xfId="27059" xr:uid="{E4116952-8941-4F88-B325-DC539A3383C5}"/>
    <cellStyle name="Normal 4 4 2 2 2 5 4" xfId="10208" xr:uid="{6264F564-8893-4AF9-B67F-77873FBDE42F}"/>
    <cellStyle name="Normal 4 4 2 2 2 5 4 2" xfId="22848" xr:uid="{BC58592D-C9CA-469A-961E-AE7810A6079C}"/>
    <cellStyle name="Normal 4 4 2 2 2 5 5" xfId="18637" xr:uid="{6A39BB17-26E4-4A3F-B5CF-5BC0298F2EE5}"/>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3A66A6DC-997A-48F2-9A90-0D9B5C89EB48}"/>
    <cellStyle name="Normal 4 4 2 2 2 6 2 2 3" xfId="29617" xr:uid="{C5CCE036-BE48-4B2B-8360-32C0539546B6}"/>
    <cellStyle name="Normal 4 4 2 2 2 6 2 3" xfId="12766" xr:uid="{A6AC18AC-D24A-428B-828F-C4BF407D1A10}"/>
    <cellStyle name="Normal 4 4 2 2 2 6 2 3 2" xfId="25406" xr:uid="{11212144-645D-4871-8D34-0BA52C0079BF}"/>
    <cellStyle name="Normal 4 4 2 2 2 6 2 4" xfId="21195" xr:uid="{061DA132-A2AB-4EB8-903D-4C533B915E45}"/>
    <cellStyle name="Normal 4 4 2 2 2 6 3" xfId="6410" xr:uid="{00000000-0005-0000-0000-0000EA140000}"/>
    <cellStyle name="Normal 4 4 2 2 2 6 3 2" xfId="14839" xr:uid="{CF9539FB-A48F-4028-BAC7-4B150EFE0529}"/>
    <cellStyle name="Normal 4 4 2 2 2 6 3 3" xfId="27472" xr:uid="{F53EE2B5-F900-441A-B596-AE3ED7A9FF98}"/>
    <cellStyle name="Normal 4 4 2 2 2 6 4" xfId="10621" xr:uid="{EE456DB2-482D-4B4F-8B3D-C91D0B33B6D7}"/>
    <cellStyle name="Normal 4 4 2 2 2 6 4 2" xfId="23261" xr:uid="{C7D2E361-ACEB-4A2D-A799-6E14B7DA66E3}"/>
    <cellStyle name="Normal 4 4 2 2 2 6 5" xfId="19050" xr:uid="{7432CF05-545F-4A75-AF13-A405D183D33A}"/>
    <cellStyle name="Normal 4 4 2 2 2 7" xfId="2538" xr:uid="{00000000-0005-0000-0000-0000EB140000}"/>
    <cellStyle name="Normal 4 4 2 2 2 7 2" xfId="6823" xr:uid="{00000000-0005-0000-0000-0000EC140000}"/>
    <cellStyle name="Normal 4 4 2 2 2 7 2 2" xfId="15252" xr:uid="{5C45FB6D-565D-4400-9CBA-6116144BE574}"/>
    <cellStyle name="Normal 4 4 2 2 2 7 2 3" xfId="27885" xr:uid="{4E1620F4-7261-4DA4-80FA-B1139FD15D43}"/>
    <cellStyle name="Normal 4 4 2 2 2 7 3" xfId="11034" xr:uid="{66099B01-94C6-4673-B33A-70C5644D7030}"/>
    <cellStyle name="Normal 4 4 2 2 2 7 3 2" xfId="23674" xr:uid="{F36556E6-2F5F-4B56-977F-11F33692EFE2}"/>
    <cellStyle name="Normal 4 4 2 2 2 7 4" xfId="19463" xr:uid="{40D9B006-C709-44E2-94E5-5BA38BA74F7D}"/>
    <cellStyle name="Normal 4 4 2 2 2 8" xfId="4758" xr:uid="{00000000-0005-0000-0000-0000ED140000}"/>
    <cellStyle name="Normal 4 4 2 2 2 8 2" xfId="13187" xr:uid="{59FD56B9-9F1B-40A5-9E40-0C1DC2681A75}"/>
    <cellStyle name="Normal 4 4 2 2 2 8 3" xfId="25820" xr:uid="{853E1CAA-9130-4103-AB12-614EA56CAB1B}"/>
    <cellStyle name="Normal 4 4 2 2 2 9" xfId="8969" xr:uid="{5877960E-F698-4C7D-920A-00D25D7EEF5D}"/>
    <cellStyle name="Normal 4 4 2 2 2 9 2" xfId="21609" xr:uid="{ACBAB006-3A90-4938-9072-8569AD78B58F}"/>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94C9961C-E988-4518-B1B9-52C0002172B6}"/>
    <cellStyle name="Normal 4 4 2 2 3 2 2 2 3" xfId="28380" xr:uid="{77CE060D-8E3D-4F82-9103-C7E78C4E4035}"/>
    <cellStyle name="Normal 4 4 2 2 3 2 2 3" xfId="11529" xr:uid="{C136C318-4AB9-4ED8-8299-7C1FE0919173}"/>
    <cellStyle name="Normal 4 4 2 2 3 2 2 3 2" xfId="24169" xr:uid="{67D853BE-5246-4D6D-B0CC-05CD9FE3E2A3}"/>
    <cellStyle name="Normal 4 4 2 2 3 2 2 4" xfId="19958" xr:uid="{78D4DA19-87E1-42A2-AEBA-CB459BA48B5A}"/>
    <cellStyle name="Normal 4 4 2 2 3 2 3" xfId="5173" xr:uid="{00000000-0005-0000-0000-0000F2140000}"/>
    <cellStyle name="Normal 4 4 2 2 3 2 3 2" xfId="13602" xr:uid="{B539DDB0-5FA5-4E8D-97F6-25CE43B1B3A9}"/>
    <cellStyle name="Normal 4 4 2 2 3 2 3 3" xfId="26235" xr:uid="{959B40D4-EAC5-4646-9E87-F6114704E2F1}"/>
    <cellStyle name="Normal 4 4 2 2 3 2 4" xfId="9384" xr:uid="{5AF8075B-8AAB-4DEF-A761-4703EC5358EB}"/>
    <cellStyle name="Normal 4 4 2 2 3 2 4 2" xfId="22024" xr:uid="{1CE6C676-72FF-4676-A25D-E02262FEE6EB}"/>
    <cellStyle name="Normal 4 4 2 2 3 2 5" xfId="17813" xr:uid="{6816613C-726D-44BE-A78E-D3FB1B3E475F}"/>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C7D5DAF9-9A1E-4976-845E-CA28BAC0F90C}"/>
    <cellStyle name="Normal 4 4 2 2 3 3 2 2 3" xfId="28793" xr:uid="{1E4C9D26-3E3A-4D72-8E16-AD71219B0ECB}"/>
    <cellStyle name="Normal 4 4 2 2 3 3 2 3" xfId="11942" xr:uid="{022013BE-C2EC-4E9C-972B-5E690A1B3CD2}"/>
    <cellStyle name="Normal 4 4 2 2 3 3 2 3 2" xfId="24582" xr:uid="{DA61B7E1-3F61-4D3A-A8BE-2A177B5F49CA}"/>
    <cellStyle name="Normal 4 4 2 2 3 3 2 4" xfId="20371" xr:uid="{098B43CE-29AD-4EF9-9882-8533C3B44144}"/>
    <cellStyle name="Normal 4 4 2 2 3 3 3" xfId="5586" xr:uid="{00000000-0005-0000-0000-0000F6140000}"/>
    <cellStyle name="Normal 4 4 2 2 3 3 3 2" xfId="14015" xr:uid="{654AA050-0272-410D-BC12-54BA7FE0E830}"/>
    <cellStyle name="Normal 4 4 2 2 3 3 3 3" xfId="26648" xr:uid="{3B007A2B-13F7-4709-947A-95208D476DD2}"/>
    <cellStyle name="Normal 4 4 2 2 3 3 4" xfId="9797" xr:uid="{991F7B90-8F0C-4F02-80A8-3C1CB3912935}"/>
    <cellStyle name="Normal 4 4 2 2 3 3 4 2" xfId="22437" xr:uid="{71A77871-0743-4FD9-B0E2-7864C4D88165}"/>
    <cellStyle name="Normal 4 4 2 2 3 3 5" xfId="18226" xr:uid="{52EDFA1A-88BD-4DDF-A0A6-69DD51306EFA}"/>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415D8590-A440-4E85-BB9C-65E9DF564126}"/>
    <cellStyle name="Normal 4 4 2 2 3 4 2 2 3" xfId="29206" xr:uid="{98F2F819-2AA3-4AD1-8A4E-B33039A9E928}"/>
    <cellStyle name="Normal 4 4 2 2 3 4 2 3" xfId="12355" xr:uid="{B781BABA-E714-490C-9D9B-109536D0171C}"/>
    <cellStyle name="Normal 4 4 2 2 3 4 2 3 2" xfId="24995" xr:uid="{0A3F67B5-5AB5-4765-9230-1A96D9E8AF90}"/>
    <cellStyle name="Normal 4 4 2 2 3 4 2 4" xfId="20784" xr:uid="{EF8F06F4-D255-4703-8C93-6F5BC4D26871}"/>
    <cellStyle name="Normal 4 4 2 2 3 4 3" xfId="5999" xr:uid="{00000000-0005-0000-0000-0000FA140000}"/>
    <cellStyle name="Normal 4 4 2 2 3 4 3 2" xfId="14428" xr:uid="{8FC1B791-D3C8-496D-A2A6-7461648920F6}"/>
    <cellStyle name="Normal 4 4 2 2 3 4 3 3" xfId="27061" xr:uid="{B0124388-06B6-4050-9637-59166E1EE46A}"/>
    <cellStyle name="Normal 4 4 2 2 3 4 4" xfId="10210" xr:uid="{1CA438D4-73F4-44F4-B389-3ACC6B5BC637}"/>
    <cellStyle name="Normal 4 4 2 2 3 4 4 2" xfId="22850" xr:uid="{9BE454BF-0837-4115-AAE0-2559C421535F}"/>
    <cellStyle name="Normal 4 4 2 2 3 4 5" xfId="18639" xr:uid="{A7A7BDF1-ECEB-409C-8D15-73AC642B95A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87CA63CB-E1E1-44CB-8EAA-B884E12F6737}"/>
    <cellStyle name="Normal 4 4 2 2 3 5 2 2 3" xfId="29619" xr:uid="{94C8FB57-B637-4233-8955-DD6ABA16B720}"/>
    <cellStyle name="Normal 4 4 2 2 3 5 2 3" xfId="12768" xr:uid="{0C4F666D-F2AC-48BF-B173-943AD06B1249}"/>
    <cellStyle name="Normal 4 4 2 2 3 5 2 3 2" xfId="25408" xr:uid="{5D41EDF8-A565-4466-9D46-6D7CA2A1649F}"/>
    <cellStyle name="Normal 4 4 2 2 3 5 2 4" xfId="21197" xr:uid="{A1FF159D-023E-4744-9B1D-8CFCA4C13A72}"/>
    <cellStyle name="Normal 4 4 2 2 3 5 3" xfId="6412" xr:uid="{00000000-0005-0000-0000-0000FE140000}"/>
    <cellStyle name="Normal 4 4 2 2 3 5 3 2" xfId="14841" xr:uid="{81E543A5-C0F5-4445-8354-42B96254BA7D}"/>
    <cellStyle name="Normal 4 4 2 2 3 5 3 3" xfId="27474" xr:uid="{42782D3E-BC5E-466C-9ACF-7F3727689319}"/>
    <cellStyle name="Normal 4 4 2 2 3 5 4" xfId="10623" xr:uid="{6ED9B251-0AA2-41A4-AB2B-6517CC2FDD59}"/>
    <cellStyle name="Normal 4 4 2 2 3 5 4 2" xfId="23263" xr:uid="{6B61B5C0-D0A9-4402-8713-7AF538779C2D}"/>
    <cellStyle name="Normal 4 4 2 2 3 5 5" xfId="19052" xr:uid="{F866C6BA-330E-4546-9BB3-C4FF6BDF6E51}"/>
    <cellStyle name="Normal 4 4 2 2 3 6" xfId="2540" xr:uid="{00000000-0005-0000-0000-0000FF140000}"/>
    <cellStyle name="Normal 4 4 2 2 3 6 2" xfId="6825" xr:uid="{00000000-0005-0000-0000-000000150000}"/>
    <cellStyle name="Normal 4 4 2 2 3 6 2 2" xfId="15254" xr:uid="{78FEDE06-54B8-4AAD-84DA-ACC4E074F9A6}"/>
    <cellStyle name="Normal 4 4 2 2 3 6 2 3" xfId="27887" xr:uid="{343005D7-6B3E-4409-8318-8529411C031D}"/>
    <cellStyle name="Normal 4 4 2 2 3 6 3" xfId="11036" xr:uid="{F715540D-F76B-4A33-8238-52048A094ACE}"/>
    <cellStyle name="Normal 4 4 2 2 3 6 3 2" xfId="23676" xr:uid="{E44F65CE-5E1E-43A6-8AE6-15D7E2A826D3}"/>
    <cellStyle name="Normal 4 4 2 2 3 6 4" xfId="19465" xr:uid="{87013E61-0067-4D24-B8DA-1EB7FB821CD9}"/>
    <cellStyle name="Normal 4 4 2 2 3 7" xfId="4760" xr:uid="{00000000-0005-0000-0000-000001150000}"/>
    <cellStyle name="Normal 4 4 2 2 3 7 2" xfId="13189" xr:uid="{1FC446B7-0147-4829-8868-644BCDE0B39B}"/>
    <cellStyle name="Normal 4 4 2 2 3 7 3" xfId="25822" xr:uid="{139564E7-A4C5-4501-BFD1-C95F5BBC05F7}"/>
    <cellStyle name="Normal 4 4 2 2 3 8" xfId="8971" xr:uid="{13F6DBA2-CE12-4D58-AA12-7F1B3291CF07}"/>
    <cellStyle name="Normal 4 4 2 2 3 8 2" xfId="21611" xr:uid="{2B01BAD6-D9D6-4632-9969-C034A27704CD}"/>
    <cellStyle name="Normal 4 4 2 2 3 9" xfId="17400" xr:uid="{D6426765-C63F-4426-BF8A-DD4128782A74}"/>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F33E4CBD-D9F6-47C4-B418-B51652523038}"/>
    <cellStyle name="Normal 4 4 2 2 4 2 2 3" xfId="28377" xr:uid="{C6D210F1-A298-4E6A-AB89-A0BE6CA192FE}"/>
    <cellStyle name="Normal 4 4 2 2 4 2 3" xfId="11526" xr:uid="{56F6849F-68A4-4DCC-AFE2-DB1EE180290A}"/>
    <cellStyle name="Normal 4 4 2 2 4 2 3 2" xfId="24166" xr:uid="{3DEC4F86-2E16-42A0-800B-F4B3D1A2A867}"/>
    <cellStyle name="Normal 4 4 2 2 4 2 4" xfId="19955" xr:uid="{38B5BC3F-5059-40D9-A2D6-50F2FB798E5E}"/>
    <cellStyle name="Normal 4 4 2 2 4 3" xfId="5170" xr:uid="{00000000-0005-0000-0000-000005150000}"/>
    <cellStyle name="Normal 4 4 2 2 4 3 2" xfId="13599" xr:uid="{783425E6-B54F-4334-B25D-8615DD2BB1B6}"/>
    <cellStyle name="Normal 4 4 2 2 4 3 3" xfId="26232" xr:uid="{FEB0EC6F-857E-4FF7-BDE3-2A0F3A583797}"/>
    <cellStyle name="Normal 4 4 2 2 4 4" xfId="9381" xr:uid="{A59BF7A4-652A-45C1-8232-1F56ED806A07}"/>
    <cellStyle name="Normal 4 4 2 2 4 4 2" xfId="22021" xr:uid="{BC778ECF-70DA-446F-BF0B-8677A61FE257}"/>
    <cellStyle name="Normal 4 4 2 2 4 5" xfId="17810" xr:uid="{34C25F68-D06C-41A2-88B2-2A81C1D2979C}"/>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C9F392FB-8806-47B3-BA48-91BF4FE92C90}"/>
    <cellStyle name="Normal 4 4 2 2 5 2 2 3" xfId="28790" xr:uid="{B50C6436-BCDB-4024-96BE-6B2AFD55A345}"/>
    <cellStyle name="Normal 4 4 2 2 5 2 3" xfId="11939" xr:uid="{680E2746-54FB-47ED-8C96-0E9B26ACAE92}"/>
    <cellStyle name="Normal 4 4 2 2 5 2 3 2" xfId="24579" xr:uid="{8CC68406-DC7A-4BF7-8982-B5339017D745}"/>
    <cellStyle name="Normal 4 4 2 2 5 2 4" xfId="20368" xr:uid="{818AC569-4355-43D6-B03E-84A5FC427C55}"/>
    <cellStyle name="Normal 4 4 2 2 5 3" xfId="5583" xr:uid="{00000000-0005-0000-0000-000009150000}"/>
    <cellStyle name="Normal 4 4 2 2 5 3 2" xfId="14012" xr:uid="{AFC3459B-4FBB-49CF-A684-C14F65F1F81B}"/>
    <cellStyle name="Normal 4 4 2 2 5 3 3" xfId="26645" xr:uid="{08625AA4-87CF-4C58-81C0-BF1D58AC52FE}"/>
    <cellStyle name="Normal 4 4 2 2 5 4" xfId="9794" xr:uid="{50C4791A-E583-4088-9DF8-359A4C09C559}"/>
    <cellStyle name="Normal 4 4 2 2 5 4 2" xfId="22434" xr:uid="{EF57E3EE-404C-42BB-B4AB-256B43D73032}"/>
    <cellStyle name="Normal 4 4 2 2 5 5" xfId="18223" xr:uid="{E48F713D-3BBE-4B17-9CF8-082CD7234624}"/>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D2EC389F-6E38-4AA1-8C4E-7C8E8EFB5E5F}"/>
    <cellStyle name="Normal 4 4 2 2 6 2 2 3" xfId="29203" xr:uid="{E4C6C682-65DA-48E8-BDCB-6B794659C209}"/>
    <cellStyle name="Normal 4 4 2 2 6 2 3" xfId="12352" xr:uid="{69B61324-D43A-41DF-95CD-E43AE61F3689}"/>
    <cellStyle name="Normal 4 4 2 2 6 2 3 2" xfId="24992" xr:uid="{31E7DDA8-2E61-4337-AA5F-8CAC55E7CA00}"/>
    <cellStyle name="Normal 4 4 2 2 6 2 4" xfId="20781" xr:uid="{DA4C65BF-9DB2-4B70-AE6A-EDD6FC4CA90D}"/>
    <cellStyle name="Normal 4 4 2 2 6 3" xfId="5996" xr:uid="{00000000-0005-0000-0000-00000D150000}"/>
    <cellStyle name="Normal 4 4 2 2 6 3 2" xfId="14425" xr:uid="{7EDBCF25-E835-49C7-A160-F85EE39DC683}"/>
    <cellStyle name="Normal 4 4 2 2 6 3 3" xfId="27058" xr:uid="{E4C3A313-3325-4C3A-9D10-EC8CD6D88131}"/>
    <cellStyle name="Normal 4 4 2 2 6 4" xfId="10207" xr:uid="{6CDDA8B8-F2AE-40FB-AB0B-0B1B0703EE34}"/>
    <cellStyle name="Normal 4 4 2 2 6 4 2" xfId="22847" xr:uid="{6CC86681-9390-4090-9169-ACB611C1B0B1}"/>
    <cellStyle name="Normal 4 4 2 2 6 5" xfId="18636" xr:uid="{E462AFCC-BA6E-4406-B468-D19D5056910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23D0219A-BB76-4DB8-A828-F949C0A19438}"/>
    <cellStyle name="Normal 4 4 2 2 7 2 2 3" xfId="29616" xr:uid="{21E92B01-F66E-4397-A7FA-27A04ECA0543}"/>
    <cellStyle name="Normal 4 4 2 2 7 2 3" xfId="12765" xr:uid="{83E25695-A334-48C6-A8DB-60FDB24F862F}"/>
    <cellStyle name="Normal 4 4 2 2 7 2 3 2" xfId="25405" xr:uid="{D6B23C4C-0D14-4461-BBA1-DA3EEBF05984}"/>
    <cellStyle name="Normal 4 4 2 2 7 2 4" xfId="21194" xr:uid="{91532B90-9DD8-49DF-B667-1895604C8D44}"/>
    <cellStyle name="Normal 4 4 2 2 7 3" xfId="6409" xr:uid="{00000000-0005-0000-0000-000011150000}"/>
    <cellStyle name="Normal 4 4 2 2 7 3 2" xfId="14838" xr:uid="{DD98E01B-6DDC-4257-BE7E-47C15F95D42D}"/>
    <cellStyle name="Normal 4 4 2 2 7 3 3" xfId="27471" xr:uid="{BEBF3BD7-E329-4220-81E8-64E167E27B15}"/>
    <cellStyle name="Normal 4 4 2 2 7 4" xfId="10620" xr:uid="{2E0FD9F3-5C01-485B-BBF8-585811DAD441}"/>
    <cellStyle name="Normal 4 4 2 2 7 4 2" xfId="23260" xr:uid="{833BE0A0-AD87-48F6-A011-029C1C939496}"/>
    <cellStyle name="Normal 4 4 2 2 7 5" xfId="19049" xr:uid="{06B715D4-3AC3-4B0C-BE8D-A5D5BC09471D}"/>
    <cellStyle name="Normal 4 4 2 2 8" xfId="2537" xr:uid="{00000000-0005-0000-0000-000012150000}"/>
    <cellStyle name="Normal 4 4 2 2 8 2" xfId="6822" xr:uid="{00000000-0005-0000-0000-000013150000}"/>
    <cellStyle name="Normal 4 4 2 2 8 2 2" xfId="15251" xr:uid="{CDBAF77C-E418-4902-9E1A-3363ABAF0C0F}"/>
    <cellStyle name="Normal 4 4 2 2 8 2 3" xfId="27884" xr:uid="{A9D00ED9-4BF9-459B-98D2-2738F2D1CF5C}"/>
    <cellStyle name="Normal 4 4 2 2 8 3" xfId="11033" xr:uid="{F09F28F4-D009-4AE6-BBF2-3CBA8E41E8D6}"/>
    <cellStyle name="Normal 4 4 2 2 8 3 2" xfId="23673" xr:uid="{B3E8499A-A653-4B0B-89C7-8BAFF34EAB93}"/>
    <cellStyle name="Normal 4 4 2 2 8 4" xfId="19462" xr:uid="{060D353D-8700-4451-93EC-2CD3A0A72310}"/>
    <cellStyle name="Normal 4 4 2 2 9" xfId="4757" xr:uid="{00000000-0005-0000-0000-000014150000}"/>
    <cellStyle name="Normal 4 4 2 2 9 2" xfId="13186" xr:uid="{C2DE6245-FDE1-4B18-98C5-6C52BDD6F014}"/>
    <cellStyle name="Normal 4 4 2 2 9 3" xfId="25819" xr:uid="{E8E44BD7-164F-4BB8-AF34-02C47967C352}"/>
    <cellStyle name="Normal 4 4 2 3" xfId="384" xr:uid="{00000000-0005-0000-0000-000015150000}"/>
    <cellStyle name="Normal 4 4 2 3 10" xfId="17401" xr:uid="{D960F095-8FDB-43E4-8997-6500430B21DA}"/>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30A2F81C-6C83-42BC-8BC0-8928540B6655}"/>
    <cellStyle name="Normal 4 4 2 3 2 2 2 2 3" xfId="28382" xr:uid="{DED216E6-1E87-4FB8-900E-D9FD54D87F47}"/>
    <cellStyle name="Normal 4 4 2 3 2 2 2 3" xfId="11531" xr:uid="{C5FEA257-44B3-40D3-9959-ECC5A8FC0C19}"/>
    <cellStyle name="Normal 4 4 2 3 2 2 2 3 2" xfId="24171" xr:uid="{5F654DB4-7B28-4565-BB1C-F6128C490A2D}"/>
    <cellStyle name="Normal 4 4 2 3 2 2 2 4" xfId="19960" xr:uid="{A8E85DFE-3CBB-4D87-8350-1D4370EBEBFD}"/>
    <cellStyle name="Normal 4 4 2 3 2 2 3" xfId="5175" xr:uid="{00000000-0005-0000-0000-00001A150000}"/>
    <cellStyle name="Normal 4 4 2 3 2 2 3 2" xfId="13604" xr:uid="{99D2AE15-4716-4733-9803-40E02F291FA4}"/>
    <cellStyle name="Normal 4 4 2 3 2 2 3 3" xfId="26237" xr:uid="{CDAB4CD5-5F67-4BAF-AB80-D85933310839}"/>
    <cellStyle name="Normal 4 4 2 3 2 2 4" xfId="9386" xr:uid="{DF03A337-7264-43E5-BB6F-685ED29548E3}"/>
    <cellStyle name="Normal 4 4 2 3 2 2 4 2" xfId="22026" xr:uid="{CB663615-6331-40CE-B863-B37EF225BCB3}"/>
    <cellStyle name="Normal 4 4 2 3 2 2 5" xfId="17815" xr:uid="{F75CAD13-DEC3-4F62-903D-574A862C41E7}"/>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1E141428-46D2-4843-8193-5C88BA5CFCFA}"/>
    <cellStyle name="Normal 4 4 2 3 2 3 2 2 3" xfId="28795" xr:uid="{0224FD05-0BFC-443B-A686-C89879A98AEB}"/>
    <cellStyle name="Normal 4 4 2 3 2 3 2 3" xfId="11944" xr:uid="{40B54D8A-4055-40B5-B6B4-6FDEA158A19A}"/>
    <cellStyle name="Normal 4 4 2 3 2 3 2 3 2" xfId="24584" xr:uid="{0CC27937-07DC-4359-B0DD-E9FDAAA038CC}"/>
    <cellStyle name="Normal 4 4 2 3 2 3 2 4" xfId="20373" xr:uid="{A7D73A3D-016C-40A1-BAC8-2236A6C10DB9}"/>
    <cellStyle name="Normal 4 4 2 3 2 3 3" xfId="5588" xr:uid="{00000000-0005-0000-0000-00001E150000}"/>
    <cellStyle name="Normal 4 4 2 3 2 3 3 2" xfId="14017" xr:uid="{09FFFA6D-9099-48F5-94DC-B240135677C7}"/>
    <cellStyle name="Normal 4 4 2 3 2 3 3 3" xfId="26650" xr:uid="{1B434A60-E197-47C9-9727-A9A8C8F2EA5A}"/>
    <cellStyle name="Normal 4 4 2 3 2 3 4" xfId="9799" xr:uid="{3228B4C0-9053-4E3B-B0D3-CE9CD3BB4474}"/>
    <cellStyle name="Normal 4 4 2 3 2 3 4 2" xfId="22439" xr:uid="{3301E036-8CD6-4293-8684-34C03382A73F}"/>
    <cellStyle name="Normal 4 4 2 3 2 3 5" xfId="18228" xr:uid="{B08DDF90-4E52-4E95-9463-76F992B19067}"/>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23792922-88CE-43C3-8C2B-95A3BDAD59D2}"/>
    <cellStyle name="Normal 4 4 2 3 2 4 2 2 3" xfId="29208" xr:uid="{A4EB7E5A-F72F-4BE6-8422-A1DF0C0282D6}"/>
    <cellStyle name="Normal 4 4 2 3 2 4 2 3" xfId="12357" xr:uid="{1EC15356-6202-461E-8E9B-CAF4929931F7}"/>
    <cellStyle name="Normal 4 4 2 3 2 4 2 3 2" xfId="24997" xr:uid="{52E42242-9B5D-46C8-BE92-76533DFAFC1D}"/>
    <cellStyle name="Normal 4 4 2 3 2 4 2 4" xfId="20786" xr:uid="{A5C42E2C-C0F0-4933-9040-7BF863089675}"/>
    <cellStyle name="Normal 4 4 2 3 2 4 3" xfId="6001" xr:uid="{00000000-0005-0000-0000-000022150000}"/>
    <cellStyle name="Normal 4 4 2 3 2 4 3 2" xfId="14430" xr:uid="{66D92DA6-301B-4AF1-B5B3-375CF38AE3D3}"/>
    <cellStyle name="Normal 4 4 2 3 2 4 3 3" xfId="27063" xr:uid="{EF095C34-F521-4961-B51C-29353C6B0D87}"/>
    <cellStyle name="Normal 4 4 2 3 2 4 4" xfId="10212" xr:uid="{D7DE0347-65E0-4AB0-83CC-928C13CC524A}"/>
    <cellStyle name="Normal 4 4 2 3 2 4 4 2" xfId="22852" xr:uid="{D2C16746-00B4-4E90-A9D8-75FFA85D9996}"/>
    <cellStyle name="Normal 4 4 2 3 2 4 5" xfId="18641" xr:uid="{1E64FC78-5ED3-4A8C-8A8B-6A4F46D2F3AC}"/>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41FBACC9-EFED-4035-903B-925DC0C90C52}"/>
    <cellStyle name="Normal 4 4 2 3 2 5 2 2 3" xfId="29621" xr:uid="{22281FB2-FB84-4117-81CB-683B3A7544CB}"/>
    <cellStyle name="Normal 4 4 2 3 2 5 2 3" xfId="12770" xr:uid="{F0CBA465-754A-4F58-9B44-D8FAF0847F7F}"/>
    <cellStyle name="Normal 4 4 2 3 2 5 2 3 2" xfId="25410" xr:uid="{645FB7F1-9C9B-4CBD-A4A1-A7497B45E1A2}"/>
    <cellStyle name="Normal 4 4 2 3 2 5 2 4" xfId="21199" xr:uid="{CBCC1B3D-CAD1-4A71-B7D5-D3EADBE70CF8}"/>
    <cellStyle name="Normal 4 4 2 3 2 5 3" xfId="6414" xr:uid="{00000000-0005-0000-0000-000026150000}"/>
    <cellStyle name="Normal 4 4 2 3 2 5 3 2" xfId="14843" xr:uid="{8989F042-BA72-4961-BC43-BBB1906AFD63}"/>
    <cellStyle name="Normal 4 4 2 3 2 5 3 3" xfId="27476" xr:uid="{CC226A5C-9B1C-4A62-8D31-E84E00D9142E}"/>
    <cellStyle name="Normal 4 4 2 3 2 5 4" xfId="10625" xr:uid="{2E20B03B-B1F6-4180-BB2C-57EC0AD3CCF2}"/>
    <cellStyle name="Normal 4 4 2 3 2 5 4 2" xfId="23265" xr:uid="{7EA82EEE-CEE4-484E-81F1-8A3FC753E799}"/>
    <cellStyle name="Normal 4 4 2 3 2 5 5" xfId="19054" xr:uid="{D5EE812C-5016-400F-959A-DBA8D48AD5D5}"/>
    <cellStyle name="Normal 4 4 2 3 2 6" xfId="2542" xr:uid="{00000000-0005-0000-0000-000027150000}"/>
    <cellStyle name="Normal 4 4 2 3 2 6 2" xfId="6827" xr:uid="{00000000-0005-0000-0000-000028150000}"/>
    <cellStyle name="Normal 4 4 2 3 2 6 2 2" xfId="15256" xr:uid="{217B0596-077B-4CCA-A9E4-AF118F4084AE}"/>
    <cellStyle name="Normal 4 4 2 3 2 6 2 3" xfId="27889" xr:uid="{74A6973C-2F86-4E3E-9865-FD1E9BF1235D}"/>
    <cellStyle name="Normal 4 4 2 3 2 6 3" xfId="11038" xr:uid="{21695B09-9317-493F-AAEC-AA3C1C756780}"/>
    <cellStyle name="Normal 4 4 2 3 2 6 3 2" xfId="23678" xr:uid="{4632DAAD-9399-4784-A698-EBC34BA038A4}"/>
    <cellStyle name="Normal 4 4 2 3 2 6 4" xfId="19467" xr:uid="{B9D24C8E-E706-41A8-BE7E-B687D784FCB8}"/>
    <cellStyle name="Normal 4 4 2 3 2 7" xfId="4762" xr:uid="{00000000-0005-0000-0000-000029150000}"/>
    <cellStyle name="Normal 4 4 2 3 2 7 2" xfId="13191" xr:uid="{CBC6CE06-3B23-4459-B54C-6A92FE38562C}"/>
    <cellStyle name="Normal 4 4 2 3 2 7 3" xfId="25824" xr:uid="{AC5728B8-9411-4134-BDAF-359C67CE2AA6}"/>
    <cellStyle name="Normal 4 4 2 3 2 8" xfId="8973" xr:uid="{F7EEF07A-CC91-4F37-92BC-4864C87FD14D}"/>
    <cellStyle name="Normal 4 4 2 3 2 8 2" xfId="21613" xr:uid="{33522036-F644-482B-8A8E-A5AF180881E4}"/>
    <cellStyle name="Normal 4 4 2 3 2 9" xfId="17402" xr:uid="{E3016341-6E2A-400E-87CE-30C9D0158114}"/>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06CD5E12-FC32-4068-A152-BCB37F7162E5}"/>
    <cellStyle name="Normal 4 4 2 3 3 2 2 3" xfId="28381" xr:uid="{59EE6BC3-1815-4308-86B8-079F29F5D02E}"/>
    <cellStyle name="Normal 4 4 2 3 3 2 3" xfId="11530" xr:uid="{3D83E833-7846-4AE0-8AC6-2EFC3606DCA4}"/>
    <cellStyle name="Normal 4 4 2 3 3 2 3 2" xfId="24170" xr:uid="{9EA07700-733C-4557-A537-D3A602F13B0C}"/>
    <cellStyle name="Normal 4 4 2 3 3 2 4" xfId="19959" xr:uid="{CE62CE02-E0D5-4650-8B23-CF347AD0469C}"/>
    <cellStyle name="Normal 4 4 2 3 3 3" xfId="5174" xr:uid="{00000000-0005-0000-0000-00002D150000}"/>
    <cellStyle name="Normal 4 4 2 3 3 3 2" xfId="13603" xr:uid="{A74910B8-DC57-42BC-9872-BFD75DC1DD70}"/>
    <cellStyle name="Normal 4 4 2 3 3 3 3" xfId="26236" xr:uid="{45DC9679-A54D-464A-927C-F92FAAF181DC}"/>
    <cellStyle name="Normal 4 4 2 3 3 4" xfId="9385" xr:uid="{EB94C216-0CF0-4B5F-B3AE-A49EC914CA86}"/>
    <cellStyle name="Normal 4 4 2 3 3 4 2" xfId="22025" xr:uid="{BB6EEBA2-1F99-4854-AED1-980DB137318D}"/>
    <cellStyle name="Normal 4 4 2 3 3 5" xfId="17814" xr:uid="{984FB34B-DA1B-447F-A2E3-B218C0F5D21D}"/>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9A57734C-B38D-4AEB-A0D0-5FDB99A02E99}"/>
    <cellStyle name="Normal 4 4 2 3 4 2 2 3" xfId="28794" xr:uid="{8B6B11FD-F6CA-448F-A877-084BC91ADFD2}"/>
    <cellStyle name="Normal 4 4 2 3 4 2 3" xfId="11943" xr:uid="{D4930FAB-510C-4F85-B782-7CD24BDA2915}"/>
    <cellStyle name="Normal 4 4 2 3 4 2 3 2" xfId="24583" xr:uid="{CD7FD636-B56C-4E8A-995C-5CB6432EE928}"/>
    <cellStyle name="Normal 4 4 2 3 4 2 4" xfId="20372" xr:uid="{7847A47C-4DD4-4910-86DB-B7B24CF87F0D}"/>
    <cellStyle name="Normal 4 4 2 3 4 3" xfId="5587" xr:uid="{00000000-0005-0000-0000-000031150000}"/>
    <cellStyle name="Normal 4 4 2 3 4 3 2" xfId="14016" xr:uid="{52479342-5FA0-4291-AE98-83F1D670129B}"/>
    <cellStyle name="Normal 4 4 2 3 4 3 3" xfId="26649" xr:uid="{C5BFE0BC-946B-4271-85BE-36F92BE98899}"/>
    <cellStyle name="Normal 4 4 2 3 4 4" xfId="9798" xr:uid="{EA3EDB92-1755-4E63-BFEC-7B86774CA184}"/>
    <cellStyle name="Normal 4 4 2 3 4 4 2" xfId="22438" xr:uid="{C3177E61-96AC-4423-AD62-1671061A8912}"/>
    <cellStyle name="Normal 4 4 2 3 4 5" xfId="18227" xr:uid="{3EF4DC20-8918-4B39-BB95-52B59F2D37B5}"/>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3E09AE6D-23CD-4E36-B01A-68CC7CF96632}"/>
    <cellStyle name="Normal 4 4 2 3 5 2 2 3" xfId="29207" xr:uid="{9AEB2ED5-CBC3-436F-A232-B959FAA9D8CF}"/>
    <cellStyle name="Normal 4 4 2 3 5 2 3" xfId="12356" xr:uid="{98DA0AA9-F3F8-4A57-A05B-AC424FAD0846}"/>
    <cellStyle name="Normal 4 4 2 3 5 2 3 2" xfId="24996" xr:uid="{4AFE9AFB-4A68-4431-81C0-0E73339411C2}"/>
    <cellStyle name="Normal 4 4 2 3 5 2 4" xfId="20785" xr:uid="{210D096E-AAAB-47C9-8909-1C02341B2AB3}"/>
    <cellStyle name="Normal 4 4 2 3 5 3" xfId="6000" xr:uid="{00000000-0005-0000-0000-000035150000}"/>
    <cellStyle name="Normal 4 4 2 3 5 3 2" xfId="14429" xr:uid="{5E0ECEF1-EE00-4885-9A1D-EA27FB892C53}"/>
    <cellStyle name="Normal 4 4 2 3 5 3 3" xfId="27062" xr:uid="{C65A2804-1788-4A70-8ED8-00BC35E53257}"/>
    <cellStyle name="Normal 4 4 2 3 5 4" xfId="10211" xr:uid="{4CFD0C29-4208-41C0-9B6A-54595D5AC9D6}"/>
    <cellStyle name="Normal 4 4 2 3 5 4 2" xfId="22851" xr:uid="{F7FCB4AD-8AAF-487B-8B88-CBC46395D961}"/>
    <cellStyle name="Normal 4 4 2 3 5 5" xfId="18640" xr:uid="{7ED16D53-FB08-4C47-BFC6-BDE96185F2D9}"/>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1294205A-A147-41F9-B75D-71BA5606D4D7}"/>
    <cellStyle name="Normal 4 4 2 3 6 2 2 3" xfId="29620" xr:uid="{1ACE2880-808B-45F5-BDFE-7CFF116E42A2}"/>
    <cellStyle name="Normal 4 4 2 3 6 2 3" xfId="12769" xr:uid="{EBD12D21-6301-4A2B-8E8F-D8009A0C5C0B}"/>
    <cellStyle name="Normal 4 4 2 3 6 2 3 2" xfId="25409" xr:uid="{EBB03BAC-E6ED-4E91-BE30-0C94B25B1E55}"/>
    <cellStyle name="Normal 4 4 2 3 6 2 4" xfId="21198" xr:uid="{34EBADB3-D63B-4ED5-8998-0744AB09C000}"/>
    <cellStyle name="Normal 4 4 2 3 6 3" xfId="6413" xr:uid="{00000000-0005-0000-0000-000039150000}"/>
    <cellStyle name="Normal 4 4 2 3 6 3 2" xfId="14842" xr:uid="{D76A5DC1-BFF3-4277-B21C-6FECFC2DAC18}"/>
    <cellStyle name="Normal 4 4 2 3 6 3 3" xfId="27475" xr:uid="{0E477921-97C7-49FE-932C-A725D7F6098F}"/>
    <cellStyle name="Normal 4 4 2 3 6 4" xfId="10624" xr:uid="{2A331F16-A286-4D4E-B6B1-CE3E7E823755}"/>
    <cellStyle name="Normal 4 4 2 3 6 4 2" xfId="23264" xr:uid="{752E4D2C-147B-44EE-B743-2188E9F7A075}"/>
    <cellStyle name="Normal 4 4 2 3 6 5" xfId="19053" xr:uid="{558C0142-9E57-499A-BFED-0CE83734D8F6}"/>
    <cellStyle name="Normal 4 4 2 3 7" xfId="2541" xr:uid="{00000000-0005-0000-0000-00003A150000}"/>
    <cellStyle name="Normal 4 4 2 3 7 2" xfId="6826" xr:uid="{00000000-0005-0000-0000-00003B150000}"/>
    <cellStyle name="Normal 4 4 2 3 7 2 2" xfId="15255" xr:uid="{61A5B3F0-680E-4DCA-8DFF-E124004B1325}"/>
    <cellStyle name="Normal 4 4 2 3 7 2 3" xfId="27888" xr:uid="{5859CC7F-AD39-4BD6-89AE-F5D954D15D69}"/>
    <cellStyle name="Normal 4 4 2 3 7 3" xfId="11037" xr:uid="{726FF292-2EAC-487D-A2E6-E7E3287D4BC9}"/>
    <cellStyle name="Normal 4 4 2 3 7 3 2" xfId="23677" xr:uid="{2BE10DA1-5993-4583-B4A4-A7CC51A293C1}"/>
    <cellStyle name="Normal 4 4 2 3 7 4" xfId="19466" xr:uid="{5BEDAD6C-6D65-419F-8929-50A82471EEE6}"/>
    <cellStyle name="Normal 4 4 2 3 8" xfId="4761" xr:uid="{00000000-0005-0000-0000-00003C150000}"/>
    <cellStyle name="Normal 4 4 2 3 8 2" xfId="13190" xr:uid="{3AA0245D-28E1-4356-ABA5-8BA85549829C}"/>
    <cellStyle name="Normal 4 4 2 3 8 3" xfId="25823" xr:uid="{701603EA-5FA5-4E87-BD5E-E9D51EC27C26}"/>
    <cellStyle name="Normal 4 4 2 3 9" xfId="8972" xr:uid="{4B40A506-E3E7-4ABE-B3EE-67993349EDB8}"/>
    <cellStyle name="Normal 4 4 2 3 9 2" xfId="21612" xr:uid="{62FC2E53-B542-416C-AD48-D7338B8252A5}"/>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06910F56-5A70-445C-972C-70CE2CC2DABF}"/>
    <cellStyle name="Normal 4 4 2 4 2 2 2 3" xfId="28383" xr:uid="{DD8F1F20-AD02-4470-85E2-1D5733CC6825}"/>
    <cellStyle name="Normal 4 4 2 4 2 2 3" xfId="11532" xr:uid="{B153EC22-B233-4DD9-BA5F-BB48EB25A8DB}"/>
    <cellStyle name="Normal 4 4 2 4 2 2 3 2" xfId="24172" xr:uid="{7A9DD605-BC4A-4D1B-AF7A-DB52F2556C2A}"/>
    <cellStyle name="Normal 4 4 2 4 2 2 4" xfId="19961" xr:uid="{793CCEA7-A7E3-448F-B4F1-67544E7ACEE5}"/>
    <cellStyle name="Normal 4 4 2 4 2 3" xfId="5176" xr:uid="{00000000-0005-0000-0000-000041150000}"/>
    <cellStyle name="Normal 4 4 2 4 2 3 2" xfId="13605" xr:uid="{63408C7B-1F25-4E46-A35E-C3C3BA0D2FD2}"/>
    <cellStyle name="Normal 4 4 2 4 2 3 3" xfId="26238" xr:uid="{2987381C-1C95-4011-BF3A-8F8130720F16}"/>
    <cellStyle name="Normal 4 4 2 4 2 4" xfId="9387" xr:uid="{1F19FB40-DAB6-4CFD-9C18-BAC816BB7432}"/>
    <cellStyle name="Normal 4 4 2 4 2 4 2" xfId="22027" xr:uid="{6FA5A3DA-AB5F-4072-B79F-C839DCBF15C4}"/>
    <cellStyle name="Normal 4 4 2 4 2 5" xfId="17816" xr:uid="{17F782FE-E549-4825-9C75-6B8095C38F7B}"/>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6381F1D3-9D5C-4E58-A081-7B6AA2C807FD}"/>
    <cellStyle name="Normal 4 4 2 4 3 2 2 3" xfId="28796" xr:uid="{A34C2991-4641-4CCC-A77C-C36A7C1849BC}"/>
    <cellStyle name="Normal 4 4 2 4 3 2 3" xfId="11945" xr:uid="{2C7EAECD-429A-4030-BB86-B477DE3C371E}"/>
    <cellStyle name="Normal 4 4 2 4 3 2 3 2" xfId="24585" xr:uid="{F31ED107-7202-4D78-8743-2A8A0962BA91}"/>
    <cellStyle name="Normal 4 4 2 4 3 2 4" xfId="20374" xr:uid="{18FDCA2C-5726-42D1-A2A1-019B6DDFF791}"/>
    <cellStyle name="Normal 4 4 2 4 3 3" xfId="5589" xr:uid="{00000000-0005-0000-0000-000045150000}"/>
    <cellStyle name="Normal 4 4 2 4 3 3 2" xfId="14018" xr:uid="{A08405CE-78A6-47E7-89E0-2E66B307F18D}"/>
    <cellStyle name="Normal 4 4 2 4 3 3 3" xfId="26651" xr:uid="{5ED4B884-7820-4C61-A955-E3FC7C75AF7E}"/>
    <cellStyle name="Normal 4 4 2 4 3 4" xfId="9800" xr:uid="{7ED9E171-8857-4654-BB9D-FB917E862813}"/>
    <cellStyle name="Normal 4 4 2 4 3 4 2" xfId="22440" xr:uid="{D6D28023-D597-495A-BA6E-EC7B6E437394}"/>
    <cellStyle name="Normal 4 4 2 4 3 5" xfId="18229" xr:uid="{CE6DA68E-6D70-4604-A2E9-9DA30CE9852F}"/>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EE3AA724-B92E-4D23-8135-6EEE8ADBB730}"/>
    <cellStyle name="Normal 4 4 2 4 4 2 2 3" xfId="29209" xr:uid="{4E9C8896-BE91-4DFF-B7A0-F45006C1F7D5}"/>
    <cellStyle name="Normal 4 4 2 4 4 2 3" xfId="12358" xr:uid="{9D79F214-0953-472A-AE6F-467E8D5011E6}"/>
    <cellStyle name="Normal 4 4 2 4 4 2 3 2" xfId="24998" xr:uid="{FE194612-51C5-4AA9-8591-CE2EAF6BFCF5}"/>
    <cellStyle name="Normal 4 4 2 4 4 2 4" xfId="20787" xr:uid="{4DBB3131-F378-4A40-AD10-5E681CC00C9C}"/>
    <cellStyle name="Normal 4 4 2 4 4 3" xfId="6002" xr:uid="{00000000-0005-0000-0000-000049150000}"/>
    <cellStyle name="Normal 4 4 2 4 4 3 2" xfId="14431" xr:uid="{0C5914F7-EE29-474B-BA6C-EE3F3779CAD6}"/>
    <cellStyle name="Normal 4 4 2 4 4 3 3" xfId="27064" xr:uid="{5D9E9095-32CC-4958-AA6C-97C279563B24}"/>
    <cellStyle name="Normal 4 4 2 4 4 4" xfId="10213" xr:uid="{3D958B31-5A95-449C-80F5-DAE41080426E}"/>
    <cellStyle name="Normal 4 4 2 4 4 4 2" xfId="22853" xr:uid="{C0C3557C-EDD7-4D9F-84FA-B5AF661A58B3}"/>
    <cellStyle name="Normal 4 4 2 4 4 5" xfId="18642" xr:uid="{5CD17BA7-3ABC-4E27-9541-42A7A6D74FAC}"/>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0772060D-8231-4B0E-B3B7-C574B6DA8CAB}"/>
    <cellStyle name="Normal 4 4 2 4 5 2 2 3" xfId="29622" xr:uid="{19E06599-85E8-47B4-A264-586E9529AB83}"/>
    <cellStyle name="Normal 4 4 2 4 5 2 3" xfId="12771" xr:uid="{5F057D81-BC9B-4B85-B28B-6FB691A97508}"/>
    <cellStyle name="Normal 4 4 2 4 5 2 3 2" xfId="25411" xr:uid="{FE7EF6A3-96F5-4ECA-8DF0-CF8CC7E14759}"/>
    <cellStyle name="Normal 4 4 2 4 5 2 4" xfId="21200" xr:uid="{771BCC32-F023-406A-B210-4BDE2B5D1FB9}"/>
    <cellStyle name="Normal 4 4 2 4 5 3" xfId="6415" xr:uid="{00000000-0005-0000-0000-00004D150000}"/>
    <cellStyle name="Normal 4 4 2 4 5 3 2" xfId="14844" xr:uid="{4537EB70-34DB-4F71-9246-6214DF1F0071}"/>
    <cellStyle name="Normal 4 4 2 4 5 3 3" xfId="27477" xr:uid="{539137EF-A6B4-4194-8685-379EF59B95EA}"/>
    <cellStyle name="Normal 4 4 2 4 5 4" xfId="10626" xr:uid="{713C2693-2623-403D-AAFD-F5FF781301AD}"/>
    <cellStyle name="Normal 4 4 2 4 5 4 2" xfId="23266" xr:uid="{264F249F-97C8-44E2-9C2C-A04DE14BB9A8}"/>
    <cellStyle name="Normal 4 4 2 4 5 5" xfId="19055" xr:uid="{431BA62B-BA50-4189-9CEF-08A27ECBAC2B}"/>
    <cellStyle name="Normal 4 4 2 4 6" xfId="2543" xr:uid="{00000000-0005-0000-0000-00004E150000}"/>
    <cellStyle name="Normal 4 4 2 4 6 2" xfId="6828" xr:uid="{00000000-0005-0000-0000-00004F150000}"/>
    <cellStyle name="Normal 4 4 2 4 6 2 2" xfId="15257" xr:uid="{F7CE43A6-60D2-4D97-9A43-4439881C4DA3}"/>
    <cellStyle name="Normal 4 4 2 4 6 2 3" xfId="27890" xr:uid="{98AF3E41-DA16-45DD-BE4D-6EB7C6B50615}"/>
    <cellStyle name="Normal 4 4 2 4 6 3" xfId="11039" xr:uid="{124378FF-446C-430A-B6F9-9C3135B671C0}"/>
    <cellStyle name="Normal 4 4 2 4 6 3 2" xfId="23679" xr:uid="{43D9F33C-9A92-410A-A3E2-8609AA61BDBD}"/>
    <cellStyle name="Normal 4 4 2 4 6 4" xfId="19468" xr:uid="{FFF8EBFE-8756-4124-B244-4E39774FE4B0}"/>
    <cellStyle name="Normal 4 4 2 4 7" xfId="4763" xr:uid="{00000000-0005-0000-0000-000050150000}"/>
    <cellStyle name="Normal 4 4 2 4 7 2" xfId="13192" xr:uid="{8157E51E-6BF6-48A8-8519-4979BFF6D166}"/>
    <cellStyle name="Normal 4 4 2 4 7 3" xfId="25825" xr:uid="{69A2B508-4792-4A70-A490-7478ACB0C52F}"/>
    <cellStyle name="Normal 4 4 2 4 8" xfId="8974" xr:uid="{D0519792-2802-4E11-93C6-E3C2C3D3B03D}"/>
    <cellStyle name="Normal 4 4 2 4 8 2" xfId="21614" xr:uid="{4BACC9E7-EA6E-4A56-9988-D749205CDB2B}"/>
    <cellStyle name="Normal 4 4 2 4 9" xfId="17403" xr:uid="{039B061E-F78D-4738-9B1E-D3492328582B}"/>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3E19F045-5607-4202-BC3F-2BD42BD88A79}"/>
    <cellStyle name="Normal 4 4 2 5 2 2 3" xfId="28376" xr:uid="{80C5AD35-1683-4513-A468-EF5D2E6CC138}"/>
    <cellStyle name="Normal 4 4 2 5 2 3" xfId="11525" xr:uid="{63318F7A-2BB5-48BB-9004-11FCF8AA5398}"/>
    <cellStyle name="Normal 4 4 2 5 2 3 2" xfId="24165" xr:uid="{33A4BC22-CA74-4DB1-AC54-CD3B6D4E2222}"/>
    <cellStyle name="Normal 4 4 2 5 2 4" xfId="19954" xr:uid="{0E048FAB-F0F9-449B-9FD9-04FAADEB978F}"/>
    <cellStyle name="Normal 4 4 2 5 3" xfId="5169" xr:uid="{00000000-0005-0000-0000-000054150000}"/>
    <cellStyle name="Normal 4 4 2 5 3 2" xfId="13598" xr:uid="{02FCBE6E-045A-4E42-993A-99AAD6FD6B88}"/>
    <cellStyle name="Normal 4 4 2 5 3 3" xfId="26231" xr:uid="{D416A1D5-4971-4C69-8513-FEC6D8886B7C}"/>
    <cellStyle name="Normal 4 4 2 5 4" xfId="9380" xr:uid="{6B1DBC3B-7D6D-4AD8-A43E-8655154E5EAA}"/>
    <cellStyle name="Normal 4 4 2 5 4 2" xfId="22020" xr:uid="{25069951-C14A-4C3C-B9A2-1FD1259F3799}"/>
    <cellStyle name="Normal 4 4 2 5 5" xfId="17809" xr:uid="{7FEBDABF-B712-4FA6-A30B-DB074C9850A8}"/>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1E2EFEEA-52C4-42A8-A4A4-057D4EA383FC}"/>
    <cellStyle name="Normal 4 4 2 6 2 2 3" xfId="28789" xr:uid="{7AE00032-E559-4BDA-B6D8-F3006FC6321A}"/>
    <cellStyle name="Normal 4 4 2 6 2 3" xfId="11938" xr:uid="{3867727A-DD39-4F17-A9D5-E82BE6336860}"/>
    <cellStyle name="Normal 4 4 2 6 2 3 2" xfId="24578" xr:uid="{B3CD2FF3-C6E2-4314-8065-9714D15DE1A4}"/>
    <cellStyle name="Normal 4 4 2 6 2 4" xfId="20367" xr:uid="{7AA9D34C-CEFB-40EC-BEA0-C8666E44B8F1}"/>
    <cellStyle name="Normal 4 4 2 6 3" xfId="5582" xr:uid="{00000000-0005-0000-0000-000058150000}"/>
    <cellStyle name="Normal 4 4 2 6 3 2" xfId="14011" xr:uid="{DB41FBAD-B6AA-4383-B855-4C5FA6D7C861}"/>
    <cellStyle name="Normal 4 4 2 6 3 3" xfId="26644" xr:uid="{663B7F58-546A-47C8-92F4-EBE796204C43}"/>
    <cellStyle name="Normal 4 4 2 6 4" xfId="9793" xr:uid="{EBCF50D0-5BAC-4B51-B282-316B7F36F4A5}"/>
    <cellStyle name="Normal 4 4 2 6 4 2" xfId="22433" xr:uid="{69712B67-BA41-4173-9C78-7E2075A848E4}"/>
    <cellStyle name="Normal 4 4 2 6 5" xfId="18222" xr:uid="{D4A60CAB-8CF6-4FF1-92F6-492ADB4CA242}"/>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124851AF-C777-4DF5-B126-B19756F91D27}"/>
    <cellStyle name="Normal 4 4 2 7 2 2 3" xfId="29202" xr:uid="{D670845F-BDC9-4DC6-BFA5-6391C25B1C6C}"/>
    <cellStyle name="Normal 4 4 2 7 2 3" xfId="12351" xr:uid="{B98307DB-B059-4A24-AF0F-42BD5E6298EF}"/>
    <cellStyle name="Normal 4 4 2 7 2 3 2" xfId="24991" xr:uid="{FDDA5359-29D6-414F-B407-4821AAB9FF1F}"/>
    <cellStyle name="Normal 4 4 2 7 2 4" xfId="20780" xr:uid="{BA49CCC7-EB56-4803-B883-4FBDF3AACBB1}"/>
    <cellStyle name="Normal 4 4 2 7 3" xfId="5995" xr:uid="{00000000-0005-0000-0000-00005C150000}"/>
    <cellStyle name="Normal 4 4 2 7 3 2" xfId="14424" xr:uid="{B45C64A3-A592-492B-B752-E02000B5CAB4}"/>
    <cellStyle name="Normal 4 4 2 7 3 3" xfId="27057" xr:uid="{08D9F930-488C-412B-AAC1-1132B41ED118}"/>
    <cellStyle name="Normal 4 4 2 7 4" xfId="10206" xr:uid="{7CF77B69-5193-4980-8C28-8DC309667701}"/>
    <cellStyle name="Normal 4 4 2 7 4 2" xfId="22846" xr:uid="{BCBB1B29-C6E9-41EE-8779-C021F596243B}"/>
    <cellStyle name="Normal 4 4 2 7 5" xfId="18635" xr:uid="{D7C4AACE-7444-4BBD-89AF-FB9C5DFEEF48}"/>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6589C07A-1A02-4BC3-8396-97D771A1305C}"/>
    <cellStyle name="Normal 4 4 2 8 2 2 3" xfId="29615" xr:uid="{8D7638F5-4A9F-4FE8-9505-86A726382A6C}"/>
    <cellStyle name="Normal 4 4 2 8 2 3" xfId="12764" xr:uid="{B5147522-4B45-499A-B417-24C47184331B}"/>
    <cellStyle name="Normal 4 4 2 8 2 3 2" xfId="25404" xr:uid="{5C7E4B08-D4F9-4BAD-BBC0-62F71D0B5840}"/>
    <cellStyle name="Normal 4 4 2 8 2 4" xfId="21193" xr:uid="{ECF39F8D-9763-4A37-9066-15F3B853985C}"/>
    <cellStyle name="Normal 4 4 2 8 3" xfId="6408" xr:uid="{00000000-0005-0000-0000-000060150000}"/>
    <cellStyle name="Normal 4 4 2 8 3 2" xfId="14837" xr:uid="{F2175B2D-C879-4354-A49A-21ECA5F02924}"/>
    <cellStyle name="Normal 4 4 2 8 3 3" xfId="27470" xr:uid="{5D863B2B-41B3-46DA-92F4-E904F564703A}"/>
    <cellStyle name="Normal 4 4 2 8 4" xfId="10619" xr:uid="{222593D9-0722-40D4-AB3E-28D1D8205B44}"/>
    <cellStyle name="Normal 4 4 2 8 4 2" xfId="23259" xr:uid="{C1E0F0E9-4DCE-429A-958B-D798620D9565}"/>
    <cellStyle name="Normal 4 4 2 8 5" xfId="19048" xr:uid="{06E431DE-F724-4D15-A7A2-AA0F026A78D3}"/>
    <cellStyle name="Normal 4 4 2 9" xfId="2536" xr:uid="{00000000-0005-0000-0000-000061150000}"/>
    <cellStyle name="Normal 4 4 2 9 2" xfId="6821" xr:uid="{00000000-0005-0000-0000-000062150000}"/>
    <cellStyle name="Normal 4 4 2 9 2 2" xfId="15250" xr:uid="{EAA3DED8-4193-4015-933A-220CD5DF8C3D}"/>
    <cellStyle name="Normal 4 4 2 9 2 3" xfId="27883" xr:uid="{DBE1EB90-7CFA-421C-B58E-206DEEAC6839}"/>
    <cellStyle name="Normal 4 4 2 9 3" xfId="11032" xr:uid="{622DFC41-C94C-4120-8A30-42212952171A}"/>
    <cellStyle name="Normal 4 4 2 9 3 2" xfId="23672" xr:uid="{7CB6EFE8-1DAA-4624-BEE0-CC2CBC870BE1}"/>
    <cellStyle name="Normal 4 4 2 9 4" xfId="19461" xr:uid="{BF703716-5121-4CCA-8AD9-0598C82061BF}"/>
    <cellStyle name="Normal 4 4 3" xfId="387" xr:uid="{00000000-0005-0000-0000-000063150000}"/>
    <cellStyle name="Normal 4 4 3 10" xfId="8975" xr:uid="{479F5E44-DE9A-4D02-96AA-6F9BD8A21E0B}"/>
    <cellStyle name="Normal 4 4 3 10 2" xfId="21615" xr:uid="{CB16DB01-8FC0-455E-9354-FC756AE6FF29}"/>
    <cellStyle name="Normal 4 4 3 11" xfId="17404" xr:uid="{E1DCAD6B-E3E3-4140-937B-1B32CDF60E3B}"/>
    <cellStyle name="Normal 4 4 3 2" xfId="388" xr:uid="{00000000-0005-0000-0000-000064150000}"/>
    <cellStyle name="Normal 4 4 3 2 10" xfId="17405" xr:uid="{4E24D4E2-1242-4093-B448-A61D516F4644}"/>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836DC0E6-44A8-4A62-8B53-AC8B18FE37D7}"/>
    <cellStyle name="Normal 4 4 3 2 2 2 2 2 3" xfId="28386" xr:uid="{3B4302CE-F3C3-436D-AB06-95AE65F4165E}"/>
    <cellStyle name="Normal 4 4 3 2 2 2 2 3" xfId="11535" xr:uid="{F37BED68-9A04-4E14-8426-9EF09901FCC7}"/>
    <cellStyle name="Normal 4 4 3 2 2 2 2 3 2" xfId="24175" xr:uid="{89EF7B72-7BB1-4DA2-9505-1E899C1CB377}"/>
    <cellStyle name="Normal 4 4 3 2 2 2 2 4" xfId="19964" xr:uid="{8A2A96C4-1738-4DB7-8689-D7A7A0EC28E0}"/>
    <cellStyle name="Normal 4 4 3 2 2 2 3" xfId="5179" xr:uid="{00000000-0005-0000-0000-000069150000}"/>
    <cellStyle name="Normal 4 4 3 2 2 2 3 2" xfId="13608" xr:uid="{D1222244-488B-42CB-8E11-9FD786BF4112}"/>
    <cellStyle name="Normal 4 4 3 2 2 2 3 3" xfId="26241" xr:uid="{1339DF87-D666-4ABB-9A57-EE861E8334AE}"/>
    <cellStyle name="Normal 4 4 3 2 2 2 4" xfId="9390" xr:uid="{2C026DEA-51A4-4B13-B0F0-5CB5C221FC0A}"/>
    <cellStyle name="Normal 4 4 3 2 2 2 4 2" xfId="22030" xr:uid="{13617882-D952-4F84-AC63-86E7D732B1B8}"/>
    <cellStyle name="Normal 4 4 3 2 2 2 5" xfId="17819" xr:uid="{26E99127-1C6B-4A54-A1CB-16D52A4145D2}"/>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32FF30FB-5DFB-4B97-86B7-0705C7183846}"/>
    <cellStyle name="Normal 4 4 3 2 2 3 2 2 3" xfId="28799" xr:uid="{875184AB-0A8B-41AB-915D-814124195913}"/>
    <cellStyle name="Normal 4 4 3 2 2 3 2 3" xfId="11948" xr:uid="{50EF7D97-6562-4E21-892A-98BEF7BF4BA8}"/>
    <cellStyle name="Normal 4 4 3 2 2 3 2 3 2" xfId="24588" xr:uid="{7268D7D2-B416-4EB4-B70A-23662D44D8CA}"/>
    <cellStyle name="Normal 4 4 3 2 2 3 2 4" xfId="20377" xr:uid="{8295EE6A-32AB-4E55-8D51-852C72BDF952}"/>
    <cellStyle name="Normal 4 4 3 2 2 3 3" xfId="5592" xr:uid="{00000000-0005-0000-0000-00006D150000}"/>
    <cellStyle name="Normal 4 4 3 2 2 3 3 2" xfId="14021" xr:uid="{54C12DE0-CED1-4850-B0A0-BB4C51D654C8}"/>
    <cellStyle name="Normal 4 4 3 2 2 3 3 3" xfId="26654" xr:uid="{F4BC3723-9F96-4482-A8EE-2127B0089F88}"/>
    <cellStyle name="Normal 4 4 3 2 2 3 4" xfId="9803" xr:uid="{EB24F878-6AD7-418D-8273-13D79173FF96}"/>
    <cellStyle name="Normal 4 4 3 2 2 3 4 2" xfId="22443" xr:uid="{2EC6F7DF-1739-46E3-B688-D51CE0ECAA51}"/>
    <cellStyle name="Normal 4 4 3 2 2 3 5" xfId="18232" xr:uid="{62A60454-FF0D-4CA2-A032-D9A9D1D73847}"/>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481F9C30-F4FB-4043-AE76-468F802009C6}"/>
    <cellStyle name="Normal 4 4 3 2 2 4 2 2 3" xfId="29212" xr:uid="{B9FD4E8F-A689-4B8C-A53D-86080C0D9877}"/>
    <cellStyle name="Normal 4 4 3 2 2 4 2 3" xfId="12361" xr:uid="{0E207758-2DF4-4A68-BC01-692054AC67E5}"/>
    <cellStyle name="Normal 4 4 3 2 2 4 2 3 2" xfId="25001" xr:uid="{C1CB045D-8500-4706-B712-DB24CE9D4053}"/>
    <cellStyle name="Normal 4 4 3 2 2 4 2 4" xfId="20790" xr:uid="{EA0360D9-7C0B-4742-B775-2404B6A15572}"/>
    <cellStyle name="Normal 4 4 3 2 2 4 3" xfId="6005" xr:uid="{00000000-0005-0000-0000-000071150000}"/>
    <cellStyle name="Normal 4 4 3 2 2 4 3 2" xfId="14434" xr:uid="{431B9075-CF67-41DE-819F-E2F3B5B8D13C}"/>
    <cellStyle name="Normal 4 4 3 2 2 4 3 3" xfId="27067" xr:uid="{23275BF6-E623-476E-ADC5-CCD43D2F6A66}"/>
    <cellStyle name="Normal 4 4 3 2 2 4 4" xfId="10216" xr:uid="{4C680811-C667-4555-A4B2-56A7BDE8C985}"/>
    <cellStyle name="Normal 4 4 3 2 2 4 4 2" xfId="22856" xr:uid="{3569EC7A-7D0B-4917-8854-08FDB6C4D419}"/>
    <cellStyle name="Normal 4 4 3 2 2 4 5" xfId="18645" xr:uid="{846D912E-7CF1-4E24-80B3-603291B89183}"/>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C203D188-48CC-4FA7-A22A-2952DB0A3AC7}"/>
    <cellStyle name="Normal 4 4 3 2 2 5 2 2 3" xfId="29625" xr:uid="{B24832CD-E2C8-4873-9E22-39B1259D1BD0}"/>
    <cellStyle name="Normal 4 4 3 2 2 5 2 3" xfId="12774" xr:uid="{3D18AF3A-2B9D-4B29-A2C6-4271816FA2EA}"/>
    <cellStyle name="Normal 4 4 3 2 2 5 2 3 2" xfId="25414" xr:uid="{FC0C2407-DE92-4F85-BA1D-8309B4A50D29}"/>
    <cellStyle name="Normal 4 4 3 2 2 5 2 4" xfId="21203" xr:uid="{6A3A90C6-4CF4-40C4-99D4-BB4EBA2C1E34}"/>
    <cellStyle name="Normal 4 4 3 2 2 5 3" xfId="6418" xr:uid="{00000000-0005-0000-0000-000075150000}"/>
    <cellStyle name="Normal 4 4 3 2 2 5 3 2" xfId="14847" xr:uid="{A06F4F68-34FF-4301-B648-49B282C8BAC2}"/>
    <cellStyle name="Normal 4 4 3 2 2 5 3 3" xfId="27480" xr:uid="{AE57639D-6729-4B3D-82B9-BC78E47A2E42}"/>
    <cellStyle name="Normal 4 4 3 2 2 5 4" xfId="10629" xr:uid="{DCA6E01D-DDDC-4460-B1A8-35DF9246B992}"/>
    <cellStyle name="Normal 4 4 3 2 2 5 4 2" xfId="23269" xr:uid="{2F8F248C-9180-4C26-8D3F-EA4D2455E521}"/>
    <cellStyle name="Normal 4 4 3 2 2 5 5" xfId="19058" xr:uid="{053F7510-6601-4FF2-976F-9D0404EDFFE3}"/>
    <cellStyle name="Normal 4 4 3 2 2 6" xfId="2546" xr:uid="{00000000-0005-0000-0000-000076150000}"/>
    <cellStyle name="Normal 4 4 3 2 2 6 2" xfId="6831" xr:uid="{00000000-0005-0000-0000-000077150000}"/>
    <cellStyle name="Normal 4 4 3 2 2 6 2 2" xfId="15260" xr:uid="{4AFA8977-988B-491C-99CC-C1E3A694DC6C}"/>
    <cellStyle name="Normal 4 4 3 2 2 6 2 3" xfId="27893" xr:uid="{60604F5C-5608-4ECF-91B7-EB5E8D0FFF11}"/>
    <cellStyle name="Normal 4 4 3 2 2 6 3" xfId="11042" xr:uid="{9BE55C1F-57DA-4DFC-8396-567014C935A2}"/>
    <cellStyle name="Normal 4 4 3 2 2 6 3 2" xfId="23682" xr:uid="{01EA2076-57FF-475C-AC27-6ED36F459989}"/>
    <cellStyle name="Normal 4 4 3 2 2 6 4" xfId="19471" xr:uid="{4964E8A4-49B1-437A-A2D0-F9E884C1B2A2}"/>
    <cellStyle name="Normal 4 4 3 2 2 7" xfId="4766" xr:uid="{00000000-0005-0000-0000-000078150000}"/>
    <cellStyle name="Normal 4 4 3 2 2 7 2" xfId="13195" xr:uid="{C4658F25-ADFB-43B9-8BE3-FA452D729FD9}"/>
    <cellStyle name="Normal 4 4 3 2 2 7 3" xfId="25828" xr:uid="{88948466-2446-41B6-AB65-E73ED6830666}"/>
    <cellStyle name="Normal 4 4 3 2 2 8" xfId="8977" xr:uid="{9CDCF8E3-0101-4861-9370-F16C74F8CC36}"/>
    <cellStyle name="Normal 4 4 3 2 2 8 2" xfId="21617" xr:uid="{DBE4F01F-771C-49CD-9903-896613F6281A}"/>
    <cellStyle name="Normal 4 4 3 2 2 9" xfId="17406" xr:uid="{EA99F15B-A6F7-440A-BCB0-84BAED4B11E3}"/>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CC981877-E9F3-4652-AE1B-54463B2A73B6}"/>
    <cellStyle name="Normal 4 4 3 2 3 2 2 3" xfId="28385" xr:uid="{973D185A-C1A7-493E-B69E-CCB97E8AE9DE}"/>
    <cellStyle name="Normal 4 4 3 2 3 2 3" xfId="11534" xr:uid="{1E95EB27-365E-4F84-BE2D-EFB98D1DEBAA}"/>
    <cellStyle name="Normal 4 4 3 2 3 2 3 2" xfId="24174" xr:uid="{25E202B1-EA35-445A-B50B-7B64805435DD}"/>
    <cellStyle name="Normal 4 4 3 2 3 2 4" xfId="19963" xr:uid="{AF773E86-0C44-4C5F-8169-F0CE9E1E3F93}"/>
    <cellStyle name="Normal 4 4 3 2 3 3" xfId="5178" xr:uid="{00000000-0005-0000-0000-00007C150000}"/>
    <cellStyle name="Normal 4 4 3 2 3 3 2" xfId="13607" xr:uid="{D4582C9E-A1D7-4FC4-80E0-1454DBC71F29}"/>
    <cellStyle name="Normal 4 4 3 2 3 3 3" xfId="26240" xr:uid="{AF65229E-5897-4ABC-BDD8-CE6C60CC9EB8}"/>
    <cellStyle name="Normal 4 4 3 2 3 4" xfId="9389" xr:uid="{18955406-8FA4-4082-A7D4-40BF87669DC7}"/>
    <cellStyle name="Normal 4 4 3 2 3 4 2" xfId="22029" xr:uid="{CDB73556-36E4-4267-BBAE-73897F75F030}"/>
    <cellStyle name="Normal 4 4 3 2 3 5" xfId="17818" xr:uid="{AFF6AE8D-DA5C-451B-8FC8-5928D288BBDE}"/>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094F06FA-1ACA-4E06-A7FC-784954E3A6F1}"/>
    <cellStyle name="Normal 4 4 3 2 4 2 2 3" xfId="28798" xr:uid="{36D7C515-AE5E-42B8-B567-A13DF70A4899}"/>
    <cellStyle name="Normal 4 4 3 2 4 2 3" xfId="11947" xr:uid="{7801E764-1E09-47FD-8C8C-D438B1892AF7}"/>
    <cellStyle name="Normal 4 4 3 2 4 2 3 2" xfId="24587" xr:uid="{BAC2E89E-1D38-4DEF-9762-C51CD63E7B23}"/>
    <cellStyle name="Normal 4 4 3 2 4 2 4" xfId="20376" xr:uid="{AC565BAE-3605-4D92-B373-364531FA3472}"/>
    <cellStyle name="Normal 4 4 3 2 4 3" xfId="5591" xr:uid="{00000000-0005-0000-0000-000080150000}"/>
    <cellStyle name="Normal 4 4 3 2 4 3 2" xfId="14020" xr:uid="{93018EFC-6057-4ABD-8DEA-B2D450F07B21}"/>
    <cellStyle name="Normal 4 4 3 2 4 3 3" xfId="26653" xr:uid="{93028A7E-2F3E-4B00-86E5-FE048C649A29}"/>
    <cellStyle name="Normal 4 4 3 2 4 4" xfId="9802" xr:uid="{C815E7BE-C927-481A-BC3E-E8BB1A082DD2}"/>
    <cellStyle name="Normal 4 4 3 2 4 4 2" xfId="22442" xr:uid="{F970B206-8168-40AB-A043-3E17B2745356}"/>
    <cellStyle name="Normal 4 4 3 2 4 5" xfId="18231" xr:uid="{4EF0654D-335F-417C-A949-E0530E8250F8}"/>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A689D4C4-7E9A-4FD9-AB2E-7C089CC2945F}"/>
    <cellStyle name="Normal 4 4 3 2 5 2 2 3" xfId="29211" xr:uid="{EEE16E75-450D-4E90-BCB6-4A7594F161E3}"/>
    <cellStyle name="Normal 4 4 3 2 5 2 3" xfId="12360" xr:uid="{4B536AC2-604C-4784-8BF9-1882D553E79E}"/>
    <cellStyle name="Normal 4 4 3 2 5 2 3 2" xfId="25000" xr:uid="{34F533B2-BC53-4CDD-B0C2-D3461F0A7BCF}"/>
    <cellStyle name="Normal 4 4 3 2 5 2 4" xfId="20789" xr:uid="{144E8D2B-8364-4288-BCEE-21B8D16948AD}"/>
    <cellStyle name="Normal 4 4 3 2 5 3" xfId="6004" xr:uid="{00000000-0005-0000-0000-000084150000}"/>
    <cellStyle name="Normal 4 4 3 2 5 3 2" xfId="14433" xr:uid="{BE6A5D50-2D2A-4342-A215-CA3D12E10C2E}"/>
    <cellStyle name="Normal 4 4 3 2 5 3 3" xfId="27066" xr:uid="{B767CACA-2ABB-48A7-A378-57BE5C58774E}"/>
    <cellStyle name="Normal 4 4 3 2 5 4" xfId="10215" xr:uid="{8755C4A2-98E4-4696-91BF-2C0887232395}"/>
    <cellStyle name="Normal 4 4 3 2 5 4 2" xfId="22855" xr:uid="{1164EAE9-613C-4EE8-9C8E-1F99CB49B263}"/>
    <cellStyle name="Normal 4 4 3 2 5 5" xfId="18644" xr:uid="{BAAABCB2-FD84-44C3-9B09-5CF7D78C044B}"/>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636C50C8-9321-4EFD-8564-3A18B85C1A06}"/>
    <cellStyle name="Normal 4 4 3 2 6 2 2 3" xfId="29624" xr:uid="{42AEC867-4FD2-4A1D-B6A4-77AE26DB5DED}"/>
    <cellStyle name="Normal 4 4 3 2 6 2 3" xfId="12773" xr:uid="{2914E205-0770-4863-99DE-77AA452DE9A3}"/>
    <cellStyle name="Normal 4 4 3 2 6 2 3 2" xfId="25413" xr:uid="{E1D444F2-BE5F-4A74-A4A5-8AF81ECC2094}"/>
    <cellStyle name="Normal 4 4 3 2 6 2 4" xfId="21202" xr:uid="{DB62BE02-8E68-42BB-B151-CFB153322D95}"/>
    <cellStyle name="Normal 4 4 3 2 6 3" xfId="6417" xr:uid="{00000000-0005-0000-0000-000088150000}"/>
    <cellStyle name="Normal 4 4 3 2 6 3 2" xfId="14846" xr:uid="{CD394E02-F036-4324-A8E9-0DC2BCE6D8F2}"/>
    <cellStyle name="Normal 4 4 3 2 6 3 3" xfId="27479" xr:uid="{72F384D3-B5AA-4CCE-BB73-E4739D741E06}"/>
    <cellStyle name="Normal 4 4 3 2 6 4" xfId="10628" xr:uid="{B5794612-38AA-402D-9EFA-1942A8A286D6}"/>
    <cellStyle name="Normal 4 4 3 2 6 4 2" xfId="23268" xr:uid="{201504CD-8D24-495E-AB2B-51F9BAD7D31B}"/>
    <cellStyle name="Normal 4 4 3 2 6 5" xfId="19057" xr:uid="{39B12496-120E-4E37-8124-8BACFDB1716F}"/>
    <cellStyle name="Normal 4 4 3 2 7" xfId="2545" xr:uid="{00000000-0005-0000-0000-000089150000}"/>
    <cellStyle name="Normal 4 4 3 2 7 2" xfId="6830" xr:uid="{00000000-0005-0000-0000-00008A150000}"/>
    <cellStyle name="Normal 4 4 3 2 7 2 2" xfId="15259" xr:uid="{B994DD01-677F-4AEA-8A79-AA5A29A5F708}"/>
    <cellStyle name="Normal 4 4 3 2 7 2 3" xfId="27892" xr:uid="{25FD1B6D-5428-49E2-8089-EAED7CC924B2}"/>
    <cellStyle name="Normal 4 4 3 2 7 3" xfId="11041" xr:uid="{5067FC3E-30F3-4C24-8EF2-01A473022E14}"/>
    <cellStyle name="Normal 4 4 3 2 7 3 2" xfId="23681" xr:uid="{B7D8DF59-D2F2-482C-A856-88D3B0B4DB70}"/>
    <cellStyle name="Normal 4 4 3 2 7 4" xfId="19470" xr:uid="{E40A9198-EEBE-4B5E-B749-54986D0A11A0}"/>
    <cellStyle name="Normal 4 4 3 2 8" xfId="4765" xr:uid="{00000000-0005-0000-0000-00008B150000}"/>
    <cellStyle name="Normal 4 4 3 2 8 2" xfId="13194" xr:uid="{220DAE57-F43C-4B61-BFE6-227DB59B13E9}"/>
    <cellStyle name="Normal 4 4 3 2 8 3" xfId="25827" xr:uid="{0F0FCF90-A52A-4E8B-BEAC-FBCF634D359F}"/>
    <cellStyle name="Normal 4 4 3 2 9" xfId="8976" xr:uid="{5AA45195-3DBC-4522-9215-8AA805B2FC31}"/>
    <cellStyle name="Normal 4 4 3 2 9 2" xfId="21616" xr:uid="{80A8DB0F-EC50-4AC6-94BF-4B70210E86CB}"/>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481EB4AA-F29F-4137-9E83-E02C99014687}"/>
    <cellStyle name="Normal 4 4 3 3 2 2 2 3" xfId="28387" xr:uid="{B891EA7A-423E-4902-A6F3-1E0B57C74FEC}"/>
    <cellStyle name="Normal 4 4 3 3 2 2 3" xfId="11536" xr:uid="{C2C53E54-1ED4-4F1E-B7F2-F6C207CADB7E}"/>
    <cellStyle name="Normal 4 4 3 3 2 2 3 2" xfId="24176" xr:uid="{B6C6EB0F-FF58-4254-816E-DE7ED8D12935}"/>
    <cellStyle name="Normal 4 4 3 3 2 2 4" xfId="19965" xr:uid="{8A7AF1AE-D1D0-40B6-9457-6947CD78E1EE}"/>
    <cellStyle name="Normal 4 4 3 3 2 3" xfId="5180" xr:uid="{00000000-0005-0000-0000-000090150000}"/>
    <cellStyle name="Normal 4 4 3 3 2 3 2" xfId="13609" xr:uid="{B062A74D-7D2F-4C68-8E85-6651144425D5}"/>
    <cellStyle name="Normal 4 4 3 3 2 3 3" xfId="26242" xr:uid="{4FAE2081-24DF-420D-9A15-0DA4FF2F99F6}"/>
    <cellStyle name="Normal 4 4 3 3 2 4" xfId="9391" xr:uid="{5458E28E-A9E4-436C-A45C-E56005A9DAA0}"/>
    <cellStyle name="Normal 4 4 3 3 2 4 2" xfId="22031" xr:uid="{6CCB6985-C317-4E21-911D-B2B2E9BA3ED5}"/>
    <cellStyle name="Normal 4 4 3 3 2 5" xfId="17820" xr:uid="{9768E5F0-AD44-4A89-9D63-590F78FA27E6}"/>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F6E8A225-144B-419E-9636-4BD3D1E116E3}"/>
    <cellStyle name="Normal 4 4 3 3 3 2 2 3" xfId="28800" xr:uid="{0D8B79B7-76BA-4069-91DD-0EC42A9E6A36}"/>
    <cellStyle name="Normal 4 4 3 3 3 2 3" xfId="11949" xr:uid="{F93E6AF0-1F61-4451-8858-46C4F40A98A0}"/>
    <cellStyle name="Normal 4 4 3 3 3 2 3 2" xfId="24589" xr:uid="{53E3C80F-A759-482D-8917-02E6E1A04A00}"/>
    <cellStyle name="Normal 4 4 3 3 3 2 4" xfId="20378" xr:uid="{FDB2DB33-C2EB-4B39-A33B-0AC43657FBCB}"/>
    <cellStyle name="Normal 4 4 3 3 3 3" xfId="5593" xr:uid="{00000000-0005-0000-0000-000094150000}"/>
    <cellStyle name="Normal 4 4 3 3 3 3 2" xfId="14022" xr:uid="{AB073556-F807-4BC2-BCD8-48145D5E97CA}"/>
    <cellStyle name="Normal 4 4 3 3 3 3 3" xfId="26655" xr:uid="{B4771E15-B15D-40FE-B039-A35F1636AE65}"/>
    <cellStyle name="Normal 4 4 3 3 3 4" xfId="9804" xr:uid="{1046ECF9-7B13-41A2-968C-7FF8BFC4F0BB}"/>
    <cellStyle name="Normal 4 4 3 3 3 4 2" xfId="22444" xr:uid="{F3AF2C33-895F-4F32-8288-5F8CCDB93559}"/>
    <cellStyle name="Normal 4 4 3 3 3 5" xfId="18233" xr:uid="{B9950630-5AE8-4537-932E-A680E4C315B6}"/>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AA7DB5B2-9E35-4B85-BF81-E11A168C8AB8}"/>
    <cellStyle name="Normal 4 4 3 3 4 2 2 3" xfId="29213" xr:uid="{D45BEA2B-FCCE-4889-BBFE-ED137E2D7C47}"/>
    <cellStyle name="Normal 4 4 3 3 4 2 3" xfId="12362" xr:uid="{74039605-6770-4C4B-A9DE-4836D5FADCA5}"/>
    <cellStyle name="Normal 4 4 3 3 4 2 3 2" xfId="25002" xr:uid="{AAADA847-1A69-4169-85A6-235A8FF9C6B8}"/>
    <cellStyle name="Normal 4 4 3 3 4 2 4" xfId="20791" xr:uid="{C1891E6B-A5EE-4BDA-8F1E-0B7A8FA0A5A2}"/>
    <cellStyle name="Normal 4 4 3 3 4 3" xfId="6006" xr:uid="{00000000-0005-0000-0000-000098150000}"/>
    <cellStyle name="Normal 4 4 3 3 4 3 2" xfId="14435" xr:uid="{E0DF2A7A-BF9B-42D3-9D56-8A0B336A58E7}"/>
    <cellStyle name="Normal 4 4 3 3 4 3 3" xfId="27068" xr:uid="{3F335408-36EE-4444-AC0B-8430330CE0F5}"/>
    <cellStyle name="Normal 4 4 3 3 4 4" xfId="10217" xr:uid="{A36231D6-8C9B-43B5-BAF4-D04A4EBC5C20}"/>
    <cellStyle name="Normal 4 4 3 3 4 4 2" xfId="22857" xr:uid="{C8E907B1-7B45-4BF3-8F99-6AEBFFC1FD9C}"/>
    <cellStyle name="Normal 4 4 3 3 4 5" xfId="18646" xr:uid="{0C24BD04-9436-44FF-9F93-8D8A3D0B24AD}"/>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9EE03762-8FD4-4B5C-951D-670D94F0AD58}"/>
    <cellStyle name="Normal 4 4 3 3 5 2 2 3" xfId="29626" xr:uid="{4301DDA2-6D22-42AD-ABBA-1898B2C99E3B}"/>
    <cellStyle name="Normal 4 4 3 3 5 2 3" xfId="12775" xr:uid="{149B599D-3DF2-40E6-92E4-D7F508895ED5}"/>
    <cellStyle name="Normal 4 4 3 3 5 2 3 2" xfId="25415" xr:uid="{35DE5512-C64E-4CBE-9926-B90CDCD43E73}"/>
    <cellStyle name="Normal 4 4 3 3 5 2 4" xfId="21204" xr:uid="{375E20B3-16C7-48DA-8F1C-393A1C04A7D6}"/>
    <cellStyle name="Normal 4 4 3 3 5 3" xfId="6419" xr:uid="{00000000-0005-0000-0000-00009C150000}"/>
    <cellStyle name="Normal 4 4 3 3 5 3 2" xfId="14848" xr:uid="{22902A6C-6410-4705-A2AB-D6D5CFC47480}"/>
    <cellStyle name="Normal 4 4 3 3 5 3 3" xfId="27481" xr:uid="{8565001F-4127-41A6-B5B7-0FE78BE629A8}"/>
    <cellStyle name="Normal 4 4 3 3 5 4" xfId="10630" xr:uid="{B21D4CFC-DAFE-407C-803F-FACABD3AF02D}"/>
    <cellStyle name="Normal 4 4 3 3 5 4 2" xfId="23270" xr:uid="{5BD069E3-8A98-4323-B818-86F4B253C8AE}"/>
    <cellStyle name="Normal 4 4 3 3 5 5" xfId="19059" xr:uid="{BC279D0A-9326-4141-84EE-DF3C76A203AE}"/>
    <cellStyle name="Normal 4 4 3 3 6" xfId="2547" xr:uid="{00000000-0005-0000-0000-00009D150000}"/>
    <cellStyle name="Normal 4 4 3 3 6 2" xfId="6832" xr:uid="{00000000-0005-0000-0000-00009E150000}"/>
    <cellStyle name="Normal 4 4 3 3 6 2 2" xfId="15261" xr:uid="{84A97560-BEA1-4105-B736-F4C4CFE219E9}"/>
    <cellStyle name="Normal 4 4 3 3 6 2 3" xfId="27894" xr:uid="{B5380BEE-E24C-4B9F-A42E-75CB14C1B235}"/>
    <cellStyle name="Normal 4 4 3 3 6 3" xfId="11043" xr:uid="{1D76A934-C95E-43FB-A625-6288AD35C2E6}"/>
    <cellStyle name="Normal 4 4 3 3 6 3 2" xfId="23683" xr:uid="{DC1CB95E-67E6-4961-A01A-211818ED4D98}"/>
    <cellStyle name="Normal 4 4 3 3 6 4" xfId="19472" xr:uid="{AF8D277A-211C-4D7C-9B5A-93776A1E3B65}"/>
    <cellStyle name="Normal 4 4 3 3 7" xfId="4767" xr:uid="{00000000-0005-0000-0000-00009F150000}"/>
    <cellStyle name="Normal 4 4 3 3 7 2" xfId="13196" xr:uid="{F7DBA4FA-F301-4663-84F5-841093202ABF}"/>
    <cellStyle name="Normal 4 4 3 3 7 3" xfId="25829" xr:uid="{BB41A55E-9254-49AC-96E0-53E4F3A25A66}"/>
    <cellStyle name="Normal 4 4 3 3 8" xfId="8978" xr:uid="{8FFB451D-BA93-4233-B70E-E22F8BA72AEE}"/>
    <cellStyle name="Normal 4 4 3 3 8 2" xfId="21618" xr:uid="{6A99E565-F949-48A9-A518-BEC764A94D67}"/>
    <cellStyle name="Normal 4 4 3 3 9" xfId="17407" xr:uid="{4C255C79-E0E7-435E-BC51-0C2E60AA4175}"/>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84E553B3-1B52-4986-8E7E-508935F571DE}"/>
    <cellStyle name="Normal 4 4 3 4 2 2 3" xfId="28384" xr:uid="{F5E7CFA1-2426-4AAA-8D10-162D5BE4072D}"/>
    <cellStyle name="Normal 4 4 3 4 2 3" xfId="11533" xr:uid="{BC1FCA46-0F80-417E-A92C-E913FB9897B9}"/>
    <cellStyle name="Normal 4 4 3 4 2 3 2" xfId="24173" xr:uid="{06901134-B98F-4E83-BF23-B7CDF6BCDB5B}"/>
    <cellStyle name="Normal 4 4 3 4 2 4" xfId="19962" xr:uid="{60883D82-3B8B-4009-87F0-F9AC07FD318F}"/>
    <cellStyle name="Normal 4 4 3 4 3" xfId="5177" xr:uid="{00000000-0005-0000-0000-0000A3150000}"/>
    <cellStyle name="Normal 4 4 3 4 3 2" xfId="13606" xr:uid="{BA702563-9AA4-463E-9EC5-C04E0730372B}"/>
    <cellStyle name="Normal 4 4 3 4 3 3" xfId="26239" xr:uid="{9EF7F41D-2662-4F01-BA36-D9D55761AC56}"/>
    <cellStyle name="Normal 4 4 3 4 4" xfId="9388" xr:uid="{487DFE64-FF79-444F-A5C1-1C64036199C4}"/>
    <cellStyle name="Normal 4 4 3 4 4 2" xfId="22028" xr:uid="{3FB53543-FE0F-4DED-B992-16DF42D00C1B}"/>
    <cellStyle name="Normal 4 4 3 4 5" xfId="17817" xr:uid="{0A3F6082-6500-4D37-BC01-87E96FFD63E2}"/>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EB5187D3-8BD0-4317-8F49-12C3B2213939}"/>
    <cellStyle name="Normal 4 4 3 5 2 2 3" xfId="28797" xr:uid="{5A508E2D-C6B9-4945-8B01-A30B04393540}"/>
    <cellStyle name="Normal 4 4 3 5 2 3" xfId="11946" xr:uid="{29AD3B74-8476-4E93-8DAB-435876A379DF}"/>
    <cellStyle name="Normal 4 4 3 5 2 3 2" xfId="24586" xr:uid="{20AAFE15-A8BC-4F46-98EC-19DDDA809EF1}"/>
    <cellStyle name="Normal 4 4 3 5 2 4" xfId="20375" xr:uid="{66DDC61F-EF1B-4093-B89E-45B855D29C74}"/>
    <cellStyle name="Normal 4 4 3 5 3" xfId="5590" xr:uid="{00000000-0005-0000-0000-0000A7150000}"/>
    <cellStyle name="Normal 4 4 3 5 3 2" xfId="14019" xr:uid="{B381D6D5-FB7D-464B-97C8-BAE6CA0E51B7}"/>
    <cellStyle name="Normal 4 4 3 5 3 3" xfId="26652" xr:uid="{223D741E-CE48-4E4C-90FB-B6A962D5E4AB}"/>
    <cellStyle name="Normal 4 4 3 5 4" xfId="9801" xr:uid="{A306FDAD-0E08-497D-A2AB-11376884EE89}"/>
    <cellStyle name="Normal 4 4 3 5 4 2" xfId="22441" xr:uid="{6C02149F-14D3-4193-9DE6-B063363FA87D}"/>
    <cellStyle name="Normal 4 4 3 5 5" xfId="18230" xr:uid="{EBACD918-1FF5-4526-9A7B-DBCCE3437430}"/>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9C51C371-EF9F-4DC9-BC9B-5FD0311279EA}"/>
    <cellStyle name="Normal 4 4 3 6 2 2 3" xfId="29210" xr:uid="{9B11D3CE-DF8A-4099-91EC-8B2DCC1F4943}"/>
    <cellStyle name="Normal 4 4 3 6 2 3" xfId="12359" xr:uid="{4CC7D422-5A49-495C-9114-F5B222632003}"/>
    <cellStyle name="Normal 4 4 3 6 2 3 2" xfId="24999" xr:uid="{E6593E56-6372-4CBF-BFBB-86697FF37BCD}"/>
    <cellStyle name="Normal 4 4 3 6 2 4" xfId="20788" xr:uid="{15B04986-70F6-46C6-A098-76616005E1A0}"/>
    <cellStyle name="Normal 4 4 3 6 3" xfId="6003" xr:uid="{00000000-0005-0000-0000-0000AB150000}"/>
    <cellStyle name="Normal 4 4 3 6 3 2" xfId="14432" xr:uid="{C09222FF-2FC1-4534-8FA4-30433E498396}"/>
    <cellStyle name="Normal 4 4 3 6 3 3" xfId="27065" xr:uid="{A399FB2A-DB33-4BAE-A8D5-BF256C05C249}"/>
    <cellStyle name="Normal 4 4 3 6 4" xfId="10214" xr:uid="{EB8659CD-6526-49BA-A03A-2CE47601640D}"/>
    <cellStyle name="Normal 4 4 3 6 4 2" xfId="22854" xr:uid="{104CCFA8-F219-4D7C-BF78-20B5FC7F5D26}"/>
    <cellStyle name="Normal 4 4 3 6 5" xfId="18643" xr:uid="{70D43226-7EE2-4636-BBFF-214769B783B1}"/>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8E9F71F7-CF9D-4930-9160-6C397E8C6E31}"/>
    <cellStyle name="Normal 4 4 3 7 2 2 3" xfId="29623" xr:uid="{0AF5DFD4-D1B2-4402-AE3F-0FBA7220588E}"/>
    <cellStyle name="Normal 4 4 3 7 2 3" xfId="12772" xr:uid="{712B5DD8-AD77-4762-8AD7-8F77BDE5521D}"/>
    <cellStyle name="Normal 4 4 3 7 2 3 2" xfId="25412" xr:uid="{060EA463-2B55-41E3-881C-0AA1C4E7B009}"/>
    <cellStyle name="Normal 4 4 3 7 2 4" xfId="21201" xr:uid="{393D4B89-1643-4959-8040-569EBB021867}"/>
    <cellStyle name="Normal 4 4 3 7 3" xfId="6416" xr:uid="{00000000-0005-0000-0000-0000AF150000}"/>
    <cellStyle name="Normal 4 4 3 7 3 2" xfId="14845" xr:uid="{86C450E1-F791-4B7F-9C06-CD314BB6CBAF}"/>
    <cellStyle name="Normal 4 4 3 7 3 3" xfId="27478" xr:uid="{DADEA253-6575-4E4D-805D-A4550E2C1ED5}"/>
    <cellStyle name="Normal 4 4 3 7 4" xfId="10627" xr:uid="{6C1E632D-04E3-4C30-A6BC-00E5E2716A4B}"/>
    <cellStyle name="Normal 4 4 3 7 4 2" xfId="23267" xr:uid="{9D392A0B-6F3E-43F2-AA1B-EE932315385B}"/>
    <cellStyle name="Normal 4 4 3 7 5" xfId="19056" xr:uid="{841C1A31-A1D8-4576-B895-41BAB0E9F928}"/>
    <cellStyle name="Normal 4 4 3 8" xfId="2544" xr:uid="{00000000-0005-0000-0000-0000B0150000}"/>
    <cellStyle name="Normal 4 4 3 8 2" xfId="6829" xr:uid="{00000000-0005-0000-0000-0000B1150000}"/>
    <cellStyle name="Normal 4 4 3 8 2 2" xfId="15258" xr:uid="{44D72FF3-AD1E-4FC0-8C88-CC798BECFD9A}"/>
    <cellStyle name="Normal 4 4 3 8 2 3" xfId="27891" xr:uid="{4209E580-FB7B-4050-B6B6-ED93176CF95A}"/>
    <cellStyle name="Normal 4 4 3 8 3" xfId="11040" xr:uid="{D0D18E41-0A7E-4D09-BB3D-2164CA35B8B7}"/>
    <cellStyle name="Normal 4 4 3 8 3 2" xfId="23680" xr:uid="{6646F3C0-44CB-4552-AFAD-BA7273262D17}"/>
    <cellStyle name="Normal 4 4 3 8 4" xfId="19469" xr:uid="{55F31DB4-B9B0-4941-B862-2B05BD50015E}"/>
    <cellStyle name="Normal 4 4 3 9" xfId="4764" xr:uid="{00000000-0005-0000-0000-0000B2150000}"/>
    <cellStyle name="Normal 4 4 3 9 2" xfId="13193" xr:uid="{F67E66A9-B81F-4E42-BD01-76EF0415B05D}"/>
    <cellStyle name="Normal 4 4 3 9 3" xfId="25826" xr:uid="{51FBCFCD-9A65-4902-8701-C132ABFF7C10}"/>
    <cellStyle name="Normal 4 4 4" xfId="391" xr:uid="{00000000-0005-0000-0000-0000B3150000}"/>
    <cellStyle name="Normal 4 4 4 10" xfId="17408" xr:uid="{C7706379-C820-4545-B5B6-C64CC4637706}"/>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8DD23A91-7E3D-4F76-981B-ED9CD4BBDE20}"/>
    <cellStyle name="Normal 4 4 4 2 2 2 2 3" xfId="28389" xr:uid="{51B163B1-941B-4B11-9096-A22A5D141F85}"/>
    <cellStyle name="Normal 4 4 4 2 2 2 3" xfId="11538" xr:uid="{6E2D2524-9F18-4C9E-BCB8-CE5B833CBDCF}"/>
    <cellStyle name="Normal 4 4 4 2 2 2 3 2" xfId="24178" xr:uid="{8064A0FD-2BCF-402A-8636-00C740223302}"/>
    <cellStyle name="Normal 4 4 4 2 2 2 4" xfId="19967" xr:uid="{31101BAF-6BD9-44CE-BC50-2BE5A910EBA2}"/>
    <cellStyle name="Normal 4 4 4 2 2 3" xfId="5182" xr:uid="{00000000-0005-0000-0000-0000B8150000}"/>
    <cellStyle name="Normal 4 4 4 2 2 3 2" xfId="13611" xr:uid="{E51F8460-0FD9-457B-820E-65904BDFF517}"/>
    <cellStyle name="Normal 4 4 4 2 2 3 3" xfId="26244" xr:uid="{74837957-0C54-42C6-8731-1FF69AB85B19}"/>
    <cellStyle name="Normal 4 4 4 2 2 4" xfId="9393" xr:uid="{1BD958E1-310B-42B3-B907-BF12B465CBCA}"/>
    <cellStyle name="Normal 4 4 4 2 2 4 2" xfId="22033" xr:uid="{3DC20A30-7E60-4CE4-AE29-9447EDB10BD0}"/>
    <cellStyle name="Normal 4 4 4 2 2 5" xfId="17822" xr:uid="{52CA8C53-3552-4A16-ACF4-EF109558228D}"/>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661CB1ED-730C-44F1-A396-8F0741A0C7D3}"/>
    <cellStyle name="Normal 4 4 4 2 3 2 2 3" xfId="28802" xr:uid="{9BF8561C-82A8-4064-B09A-A19E9687B89B}"/>
    <cellStyle name="Normal 4 4 4 2 3 2 3" xfId="11951" xr:uid="{84D35F05-EB67-4A01-A521-BD2B91A73336}"/>
    <cellStyle name="Normal 4 4 4 2 3 2 3 2" xfId="24591" xr:uid="{C7F11F42-BA40-4E55-868B-CBBAB3FDD83D}"/>
    <cellStyle name="Normal 4 4 4 2 3 2 4" xfId="20380" xr:uid="{3B9D098B-19C1-4976-A79A-9CABE6348A1E}"/>
    <cellStyle name="Normal 4 4 4 2 3 3" xfId="5595" xr:uid="{00000000-0005-0000-0000-0000BC150000}"/>
    <cellStyle name="Normal 4 4 4 2 3 3 2" xfId="14024" xr:uid="{BDDE80A5-45D2-48C1-AF34-C653FEB9C4B9}"/>
    <cellStyle name="Normal 4 4 4 2 3 3 3" xfId="26657" xr:uid="{D31C3A07-AB83-45F1-A7A9-839E79ACE4C7}"/>
    <cellStyle name="Normal 4 4 4 2 3 4" xfId="9806" xr:uid="{CAF84B7D-CC9D-4632-8F13-62323AFE2501}"/>
    <cellStyle name="Normal 4 4 4 2 3 4 2" xfId="22446" xr:uid="{4DF88A60-A805-490A-B436-836FBDB1DB96}"/>
    <cellStyle name="Normal 4 4 4 2 3 5" xfId="18235" xr:uid="{63D97035-ED24-4005-A719-A04C2F2DB857}"/>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F9880C22-9546-4AD2-9065-E800AAE92ABF}"/>
    <cellStyle name="Normal 4 4 4 2 4 2 2 3" xfId="29215" xr:uid="{8C884B61-F5CC-42A9-8597-A82B6D5D0E38}"/>
    <cellStyle name="Normal 4 4 4 2 4 2 3" xfId="12364" xr:uid="{D90AA01C-39EB-43E3-82B3-21614E71B15D}"/>
    <cellStyle name="Normal 4 4 4 2 4 2 3 2" xfId="25004" xr:uid="{38DA4706-6A56-4C17-A6D0-49576FAD9F0F}"/>
    <cellStyle name="Normal 4 4 4 2 4 2 4" xfId="20793" xr:uid="{980D76DA-907A-4444-8C4A-AEAB609EEB33}"/>
    <cellStyle name="Normal 4 4 4 2 4 3" xfId="6008" xr:uid="{00000000-0005-0000-0000-0000C0150000}"/>
    <cellStyle name="Normal 4 4 4 2 4 3 2" xfId="14437" xr:uid="{7ED5C744-4B54-4996-B609-E9BED9128294}"/>
    <cellStyle name="Normal 4 4 4 2 4 3 3" xfId="27070" xr:uid="{BC5D332C-477E-4EE5-9292-856D55DECCE5}"/>
    <cellStyle name="Normal 4 4 4 2 4 4" xfId="10219" xr:uid="{54CA81B4-2E93-4A30-A22E-BC5FE8535373}"/>
    <cellStyle name="Normal 4 4 4 2 4 4 2" xfId="22859" xr:uid="{CA30A363-BF98-4322-83CF-E9284B3EF728}"/>
    <cellStyle name="Normal 4 4 4 2 4 5" xfId="18648" xr:uid="{593BB785-0C4B-41B5-B9AA-5EA326358787}"/>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E014DB70-CC51-4D15-A8CF-961760A1AD88}"/>
    <cellStyle name="Normal 4 4 4 2 5 2 2 3" xfId="29628" xr:uid="{50F916E8-BD67-4174-B11E-5EE9AE36F21F}"/>
    <cellStyle name="Normal 4 4 4 2 5 2 3" xfId="12777" xr:uid="{F3D6E376-DD87-4D29-A9CF-1B74918F0287}"/>
    <cellStyle name="Normal 4 4 4 2 5 2 3 2" xfId="25417" xr:uid="{3F7880FA-442F-4DD5-A56E-F795E539466A}"/>
    <cellStyle name="Normal 4 4 4 2 5 2 4" xfId="21206" xr:uid="{EE1D0105-5766-47CC-BFC7-982E95421FF6}"/>
    <cellStyle name="Normal 4 4 4 2 5 3" xfId="6421" xr:uid="{00000000-0005-0000-0000-0000C4150000}"/>
    <cellStyle name="Normal 4 4 4 2 5 3 2" xfId="14850" xr:uid="{DB008DE3-65D5-48E2-8F4F-5F8A97B5ACA7}"/>
    <cellStyle name="Normal 4 4 4 2 5 3 3" xfId="27483" xr:uid="{01753723-7A0E-48E2-91E2-39E2B73F6FA3}"/>
    <cellStyle name="Normal 4 4 4 2 5 4" xfId="10632" xr:uid="{46F5D397-B231-483C-8BB8-FDD4BC3009A8}"/>
    <cellStyle name="Normal 4 4 4 2 5 4 2" xfId="23272" xr:uid="{CE6E4CD7-EFC7-4B85-A72D-17AC1F637949}"/>
    <cellStyle name="Normal 4 4 4 2 5 5" xfId="19061" xr:uid="{2B3B297F-CB6B-4E5C-9C13-ADA8FC03E5C0}"/>
    <cellStyle name="Normal 4 4 4 2 6" xfId="2549" xr:uid="{00000000-0005-0000-0000-0000C5150000}"/>
    <cellStyle name="Normal 4 4 4 2 6 2" xfId="6834" xr:uid="{00000000-0005-0000-0000-0000C6150000}"/>
    <cellStyle name="Normal 4 4 4 2 6 2 2" xfId="15263" xr:uid="{764871BE-5C6F-444C-96DB-2461EC576540}"/>
    <cellStyle name="Normal 4 4 4 2 6 2 3" xfId="27896" xr:uid="{05B07951-AB4B-425E-8D7E-BFE892A4FCB1}"/>
    <cellStyle name="Normal 4 4 4 2 6 3" xfId="11045" xr:uid="{5A50B76C-9705-471B-A857-873C378216A5}"/>
    <cellStyle name="Normal 4 4 4 2 6 3 2" xfId="23685" xr:uid="{F01E3EC7-28E7-4E50-8C98-9C7645BE466B}"/>
    <cellStyle name="Normal 4 4 4 2 6 4" xfId="19474" xr:uid="{96558355-292A-4A1A-943A-B2EB5BD56AB2}"/>
    <cellStyle name="Normal 4 4 4 2 7" xfId="4769" xr:uid="{00000000-0005-0000-0000-0000C7150000}"/>
    <cellStyle name="Normal 4 4 4 2 7 2" xfId="13198" xr:uid="{2B070D8C-F22C-4995-A27F-B1DA896522EB}"/>
    <cellStyle name="Normal 4 4 4 2 7 3" xfId="25831" xr:uid="{B3340166-EA05-40AB-A123-E2E0AE1DAA30}"/>
    <cellStyle name="Normal 4 4 4 2 8" xfId="8980" xr:uid="{E5AB9CA8-19B5-4A92-9E84-7A15C0AAC82B}"/>
    <cellStyle name="Normal 4 4 4 2 8 2" xfId="21620" xr:uid="{C9CF3172-DA14-4AD1-A6A4-746AA9559B44}"/>
    <cellStyle name="Normal 4 4 4 2 9" xfId="17409" xr:uid="{2A9232B6-6FCE-4DAF-85BB-F0F41C7EE629}"/>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8979790A-3784-44B8-A1FE-5F3919CBAB43}"/>
    <cellStyle name="Normal 4 4 4 3 2 2 3" xfId="28388" xr:uid="{2103320D-72B1-434A-AC9F-1E49CCC5302E}"/>
    <cellStyle name="Normal 4 4 4 3 2 3" xfId="11537" xr:uid="{77547A77-CA1A-4AAE-B88F-E1BC89200E0B}"/>
    <cellStyle name="Normal 4 4 4 3 2 3 2" xfId="24177" xr:uid="{2CBFF758-429A-49AF-9B04-473FC9CF3019}"/>
    <cellStyle name="Normal 4 4 4 3 2 4" xfId="19966" xr:uid="{A2386761-D85C-4990-A7AC-FE96125AD85A}"/>
    <cellStyle name="Normal 4 4 4 3 3" xfId="5181" xr:uid="{00000000-0005-0000-0000-0000CB150000}"/>
    <cellStyle name="Normal 4 4 4 3 3 2" xfId="13610" xr:uid="{50C39338-87BE-408F-8C3D-1CEB93239181}"/>
    <cellStyle name="Normal 4 4 4 3 3 3" xfId="26243" xr:uid="{5E599A4C-7BC0-4344-BFB1-1DE15CD83D5E}"/>
    <cellStyle name="Normal 4 4 4 3 4" xfId="9392" xr:uid="{7BD8AAE4-95AE-4591-88EF-4DBD8B452671}"/>
    <cellStyle name="Normal 4 4 4 3 4 2" xfId="22032" xr:uid="{3BE827E6-B9CA-4FEB-94A3-0D2AB0F9A66B}"/>
    <cellStyle name="Normal 4 4 4 3 5" xfId="17821" xr:uid="{16175402-9F51-42A8-89ED-68AD900554A2}"/>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041E9257-7808-43B9-96AF-3C5347412A5B}"/>
    <cellStyle name="Normal 4 4 4 4 2 2 3" xfId="28801" xr:uid="{C555F08B-38F3-4E2B-98EA-94AFC3ECA848}"/>
    <cellStyle name="Normal 4 4 4 4 2 3" xfId="11950" xr:uid="{6D62577D-C6DC-4E57-B0FF-95B7D9720577}"/>
    <cellStyle name="Normal 4 4 4 4 2 3 2" xfId="24590" xr:uid="{C2B33539-AB66-4B3A-8711-47E7B04409DA}"/>
    <cellStyle name="Normal 4 4 4 4 2 4" xfId="20379" xr:uid="{FC6B9D64-17FF-419B-937A-EB07392E3983}"/>
    <cellStyle name="Normal 4 4 4 4 3" xfId="5594" xr:uid="{00000000-0005-0000-0000-0000CF150000}"/>
    <cellStyle name="Normal 4 4 4 4 3 2" xfId="14023" xr:uid="{5075CD58-E4CA-4B27-A361-E6BC791E9634}"/>
    <cellStyle name="Normal 4 4 4 4 3 3" xfId="26656" xr:uid="{238E8AC1-82DE-4A4D-A7EB-42FFFD771EDC}"/>
    <cellStyle name="Normal 4 4 4 4 4" xfId="9805" xr:uid="{B517A5F9-F8CC-46D5-93C2-E723C18C600B}"/>
    <cellStyle name="Normal 4 4 4 4 4 2" xfId="22445" xr:uid="{3890027D-24D3-4EFE-AEC7-FD4F2301F4C5}"/>
    <cellStyle name="Normal 4 4 4 4 5" xfId="18234" xr:uid="{FA2C099A-8E7E-476B-B995-2A4AEDBA43AB}"/>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9531CDEE-F2B6-49CE-BE88-6283E89E6D28}"/>
    <cellStyle name="Normal 4 4 4 5 2 2 3" xfId="29214" xr:uid="{7DBC9486-4C7B-4926-A5A9-9DB17B6CC86D}"/>
    <cellStyle name="Normal 4 4 4 5 2 3" xfId="12363" xr:uid="{0A3942AD-5420-4081-95F4-2DD67F3C1E88}"/>
    <cellStyle name="Normal 4 4 4 5 2 3 2" xfId="25003" xr:uid="{48937EF0-C788-42CA-AE99-B2825445A4AD}"/>
    <cellStyle name="Normal 4 4 4 5 2 4" xfId="20792" xr:uid="{DF864770-3E1C-498E-BCF3-D3CCED9FDB91}"/>
    <cellStyle name="Normal 4 4 4 5 3" xfId="6007" xr:uid="{00000000-0005-0000-0000-0000D3150000}"/>
    <cellStyle name="Normal 4 4 4 5 3 2" xfId="14436" xr:uid="{446D17A3-63F2-487C-8C3B-4DD79A67BF85}"/>
    <cellStyle name="Normal 4 4 4 5 3 3" xfId="27069" xr:uid="{15301353-9876-4EA8-81E9-CA5287AC81A4}"/>
    <cellStyle name="Normal 4 4 4 5 4" xfId="10218" xr:uid="{08F1BEE3-3379-49FC-B24E-76D140BBB4DA}"/>
    <cellStyle name="Normal 4 4 4 5 4 2" xfId="22858" xr:uid="{87C9DCAF-ECB0-43B0-9581-CE3E68A2C471}"/>
    <cellStyle name="Normal 4 4 4 5 5" xfId="18647" xr:uid="{D35FC6A0-CCD2-4A0E-9291-B4E5A5AC3089}"/>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AAD1FFF7-A967-4F7F-AB92-3BCB32CFD998}"/>
    <cellStyle name="Normal 4 4 4 6 2 2 3" xfId="29627" xr:uid="{2492581F-B2EB-453D-983E-F83A1C6DCFC7}"/>
    <cellStyle name="Normal 4 4 4 6 2 3" xfId="12776" xr:uid="{599C10D0-0652-43CD-BF9D-EBCE1B6DACEE}"/>
    <cellStyle name="Normal 4 4 4 6 2 3 2" xfId="25416" xr:uid="{751393D4-7ECA-4612-A1C6-6EB39714E540}"/>
    <cellStyle name="Normal 4 4 4 6 2 4" xfId="21205" xr:uid="{35272E01-C8D6-4F39-BAB7-809ECD5A3C6C}"/>
    <cellStyle name="Normal 4 4 4 6 3" xfId="6420" xr:uid="{00000000-0005-0000-0000-0000D7150000}"/>
    <cellStyle name="Normal 4 4 4 6 3 2" xfId="14849" xr:uid="{DA59FF6E-3BD7-41E7-845E-4EB9C37E4D03}"/>
    <cellStyle name="Normal 4 4 4 6 3 3" xfId="27482" xr:uid="{D76FB00D-025B-408B-9F52-F920CAE24B8E}"/>
    <cellStyle name="Normal 4 4 4 6 4" xfId="10631" xr:uid="{B0B0BA2B-7216-429B-8F2E-CC6984C89120}"/>
    <cellStyle name="Normal 4 4 4 6 4 2" xfId="23271" xr:uid="{08594358-FD98-4D4C-92A0-B739D2CF38F5}"/>
    <cellStyle name="Normal 4 4 4 6 5" xfId="19060" xr:uid="{1D7FEEEA-EEA6-4595-822B-053195E152CB}"/>
    <cellStyle name="Normal 4 4 4 7" xfId="2548" xr:uid="{00000000-0005-0000-0000-0000D8150000}"/>
    <cellStyle name="Normal 4 4 4 7 2" xfId="6833" xr:uid="{00000000-0005-0000-0000-0000D9150000}"/>
    <cellStyle name="Normal 4 4 4 7 2 2" xfId="15262" xr:uid="{AD478C19-92E4-416C-A7DB-7E13F79CC829}"/>
    <cellStyle name="Normal 4 4 4 7 2 3" xfId="27895" xr:uid="{5CFD80CB-487C-44D5-B34D-01A650796A20}"/>
    <cellStyle name="Normal 4 4 4 7 3" xfId="11044" xr:uid="{08D55D54-530F-4CD1-8F7D-4902E225BFF9}"/>
    <cellStyle name="Normal 4 4 4 7 3 2" xfId="23684" xr:uid="{FF371818-4361-4E1A-9DEB-EF090D835F7C}"/>
    <cellStyle name="Normal 4 4 4 7 4" xfId="19473" xr:uid="{E5219C55-12AC-45DA-A4DC-BBB24CA46239}"/>
    <cellStyle name="Normal 4 4 4 8" xfId="4768" xr:uid="{00000000-0005-0000-0000-0000DA150000}"/>
    <cellStyle name="Normal 4 4 4 8 2" xfId="13197" xr:uid="{516F10D1-D0AE-4384-8FD3-BB52C4FC5BA2}"/>
    <cellStyle name="Normal 4 4 4 8 3" xfId="25830" xr:uid="{87D1CDD8-A611-4F7B-86E0-DA28B010FB7B}"/>
    <cellStyle name="Normal 4 4 4 9" xfId="8979" xr:uid="{A3B73E3C-BDB6-49A7-A518-0D988DB9C564}"/>
    <cellStyle name="Normal 4 4 4 9 2" xfId="21619" xr:uid="{7FC2BA07-129B-4C41-9522-6A625A82B9BD}"/>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FF24D241-50C6-4318-8762-AE1A13169679}"/>
    <cellStyle name="Normal 4 4 5 2 2 2 3" xfId="28390" xr:uid="{D289726F-C34C-4CFB-A34A-3E9B1115FCFC}"/>
    <cellStyle name="Normal 4 4 5 2 2 3" xfId="11539" xr:uid="{A1F4D8C6-D3A4-4536-8CD7-8DEB2629A8CA}"/>
    <cellStyle name="Normal 4 4 5 2 2 3 2" xfId="24179" xr:uid="{838BF486-1D3A-4B0A-B0BC-6026066B9D68}"/>
    <cellStyle name="Normal 4 4 5 2 2 4" xfId="19968" xr:uid="{38E9D404-C53E-4D08-9859-D837E8DBBB0A}"/>
    <cellStyle name="Normal 4 4 5 2 3" xfId="5183" xr:uid="{00000000-0005-0000-0000-0000DF150000}"/>
    <cellStyle name="Normal 4 4 5 2 3 2" xfId="13612" xr:uid="{60F18F64-F592-4722-A363-54D453FAD070}"/>
    <cellStyle name="Normal 4 4 5 2 3 3" xfId="26245" xr:uid="{85535210-3188-4E38-BCD2-55B8D2C4E804}"/>
    <cellStyle name="Normal 4 4 5 2 4" xfId="9394" xr:uid="{9E36E170-9639-41E5-84E1-8A8EDBBA298D}"/>
    <cellStyle name="Normal 4 4 5 2 4 2" xfId="22034" xr:uid="{CDE9A5B2-D25A-4B37-8576-623705A9310C}"/>
    <cellStyle name="Normal 4 4 5 2 5" xfId="17823" xr:uid="{9EDD5548-5F6F-4910-8866-B234767EDAC7}"/>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76F9D453-7259-4B10-BD41-73653E185DFF}"/>
    <cellStyle name="Normal 4 4 5 3 2 2 3" xfId="28803" xr:uid="{221AD350-B305-472A-BB9B-79BFEAE7E3D2}"/>
    <cellStyle name="Normal 4 4 5 3 2 3" xfId="11952" xr:uid="{AF46157B-6C6A-43DE-9A63-D979AE3724D0}"/>
    <cellStyle name="Normal 4 4 5 3 2 3 2" xfId="24592" xr:uid="{7CA46926-8AB2-4FBD-8365-59F088761AAE}"/>
    <cellStyle name="Normal 4 4 5 3 2 4" xfId="20381" xr:uid="{020CEDE2-163D-4A4B-90A4-88652E05F4B1}"/>
    <cellStyle name="Normal 4 4 5 3 3" xfId="5596" xr:uid="{00000000-0005-0000-0000-0000E3150000}"/>
    <cellStyle name="Normal 4 4 5 3 3 2" xfId="14025" xr:uid="{AADE1872-9934-4266-AB97-5B5EAFAEE6AA}"/>
    <cellStyle name="Normal 4 4 5 3 3 3" xfId="26658" xr:uid="{21808B24-E414-4C73-AD7B-1622F1FA0E1F}"/>
    <cellStyle name="Normal 4 4 5 3 4" xfId="9807" xr:uid="{78E76C11-8B4C-41EB-8645-375153C38513}"/>
    <cellStyle name="Normal 4 4 5 3 4 2" xfId="22447" xr:uid="{9DB299F4-C25A-4E64-8B62-C76C1ABDB405}"/>
    <cellStyle name="Normal 4 4 5 3 5" xfId="18236" xr:uid="{AF26AA04-81EE-4830-90C6-5669F6385E01}"/>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3D0AE38B-5728-43BA-AAEE-B7772AA87373}"/>
    <cellStyle name="Normal 4 4 5 4 2 2 3" xfId="29216" xr:uid="{A024BFBE-03DF-4BC2-9CE6-D52E6C611030}"/>
    <cellStyle name="Normal 4 4 5 4 2 3" xfId="12365" xr:uid="{47B1ABBC-6799-400E-971D-8180D0D0D76D}"/>
    <cellStyle name="Normal 4 4 5 4 2 3 2" xfId="25005" xr:uid="{BAB98827-FDBC-4E3E-83E2-DF56388380E9}"/>
    <cellStyle name="Normal 4 4 5 4 2 4" xfId="20794" xr:uid="{EA1E266E-7A64-4F0F-8E04-F9B826C17444}"/>
    <cellStyle name="Normal 4 4 5 4 3" xfId="6009" xr:uid="{00000000-0005-0000-0000-0000E7150000}"/>
    <cellStyle name="Normal 4 4 5 4 3 2" xfId="14438" xr:uid="{C2ABF52E-61FB-4612-B194-D8B7753A2EEC}"/>
    <cellStyle name="Normal 4 4 5 4 3 3" xfId="27071" xr:uid="{208D36B3-7CB7-4F71-9BEB-8F37997B8212}"/>
    <cellStyle name="Normal 4 4 5 4 4" xfId="10220" xr:uid="{5F72E1FA-C790-48A4-B6F9-0080BBEEA94B}"/>
    <cellStyle name="Normal 4 4 5 4 4 2" xfId="22860" xr:uid="{B9DE5C12-9198-4347-A135-BB9DB1012898}"/>
    <cellStyle name="Normal 4 4 5 4 5" xfId="18649" xr:uid="{03266A84-1666-4B0F-B6BC-EC09C217BBCE}"/>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B3E36BBE-E39F-49DB-A92D-318CF82FBAE6}"/>
    <cellStyle name="Normal 4 4 5 5 2 2 3" xfId="29629" xr:uid="{9ABA43A3-8E66-4D3F-8203-C13F8AB115AD}"/>
    <cellStyle name="Normal 4 4 5 5 2 3" xfId="12778" xr:uid="{1630F7AA-2D9A-4532-B1D3-9608FD1E1C13}"/>
    <cellStyle name="Normal 4 4 5 5 2 3 2" xfId="25418" xr:uid="{5FBABDA6-B613-4AF6-A2EA-7C97A0152F9A}"/>
    <cellStyle name="Normal 4 4 5 5 2 4" xfId="21207" xr:uid="{EC99A000-8C00-45E2-A2F1-82C69689276F}"/>
    <cellStyle name="Normal 4 4 5 5 3" xfId="6422" xr:uid="{00000000-0005-0000-0000-0000EB150000}"/>
    <cellStyle name="Normal 4 4 5 5 3 2" xfId="14851" xr:uid="{C433A4EB-7FAF-43DB-88B5-2920AC6C4FA7}"/>
    <cellStyle name="Normal 4 4 5 5 3 3" xfId="27484" xr:uid="{BF86A9D8-0E54-4AE6-AF17-F97B72F37264}"/>
    <cellStyle name="Normal 4 4 5 5 4" xfId="10633" xr:uid="{DA2B8C72-B92D-4134-816A-BF1C56B92E95}"/>
    <cellStyle name="Normal 4 4 5 5 4 2" xfId="23273" xr:uid="{C91F675C-18A4-4C29-B1CE-E2636EFAAF6F}"/>
    <cellStyle name="Normal 4 4 5 5 5" xfId="19062" xr:uid="{9902F2E9-7B6F-4AFB-A0AA-638D728EE131}"/>
    <cellStyle name="Normal 4 4 5 6" xfId="2550" xr:uid="{00000000-0005-0000-0000-0000EC150000}"/>
    <cellStyle name="Normal 4 4 5 6 2" xfId="6835" xr:uid="{00000000-0005-0000-0000-0000ED150000}"/>
    <cellStyle name="Normal 4 4 5 6 2 2" xfId="15264" xr:uid="{AF03DD7A-9E00-4306-93AC-1746A0687B1B}"/>
    <cellStyle name="Normal 4 4 5 6 2 3" xfId="27897" xr:uid="{022F02BF-F27C-4A86-8621-E3D63B791186}"/>
    <cellStyle name="Normal 4 4 5 6 3" xfId="11046" xr:uid="{70E55A7E-64E7-499E-968D-F5CE214E4258}"/>
    <cellStyle name="Normal 4 4 5 6 3 2" xfId="23686" xr:uid="{8902401D-8BC4-4B2D-8DA9-CBF767C159DA}"/>
    <cellStyle name="Normal 4 4 5 6 4" xfId="19475" xr:uid="{AED0599B-F5BF-4AA0-AB21-A55A6834E300}"/>
    <cellStyle name="Normal 4 4 5 7" xfId="4770" xr:uid="{00000000-0005-0000-0000-0000EE150000}"/>
    <cellStyle name="Normal 4 4 5 7 2" xfId="13199" xr:uid="{E0503EBD-1731-4BAD-9CFA-C0F727F335EE}"/>
    <cellStyle name="Normal 4 4 5 7 3" xfId="25832" xr:uid="{B8109756-6C35-4860-B8FC-C44156FBFA34}"/>
    <cellStyle name="Normal 4 4 5 8" xfId="8981" xr:uid="{0D917B32-6516-47A3-837D-11F6B8C3D10E}"/>
    <cellStyle name="Normal 4 4 5 8 2" xfId="21621" xr:uid="{DF68B365-974C-41C0-96AC-D1D6EDA677E3}"/>
    <cellStyle name="Normal 4 4 5 9" xfId="17410" xr:uid="{BB420E66-1BEF-45BF-AE98-F0743C173A15}"/>
    <cellStyle name="Normal 4 4 6" xfId="854" xr:uid="{00000000-0005-0000-0000-0000EF150000}"/>
    <cellStyle name="Normal 4 4 6 2" xfId="3089" xr:uid="{00000000-0005-0000-0000-0000F0150000}"/>
    <cellStyle name="Normal 4 4 6 2 2" xfId="7313" xr:uid="{00000000-0005-0000-0000-0000F1150000}"/>
    <cellStyle name="Normal 4 4 6 2 2 2" xfId="15742" xr:uid="{52E4D7AB-8481-46C9-81ED-5507468101D4}"/>
    <cellStyle name="Normal 4 4 6 2 2 3" xfId="28375" xr:uid="{F08618DB-FDFC-4CE1-A975-3EBCEFB32DA9}"/>
    <cellStyle name="Normal 4 4 6 2 3" xfId="11524" xr:uid="{5F285882-B11E-4405-8324-1676830CBD91}"/>
    <cellStyle name="Normal 4 4 6 2 3 2" xfId="24164" xr:uid="{7129713A-C5AE-44EE-AF7E-7D95433C3340}"/>
    <cellStyle name="Normal 4 4 6 2 4" xfId="19953" xr:uid="{9439ADFF-3737-46A6-8D87-6D6CCE527BEF}"/>
    <cellStyle name="Normal 4 4 6 3" xfId="5168" xr:uid="{00000000-0005-0000-0000-0000F2150000}"/>
    <cellStyle name="Normal 4 4 6 3 2" xfId="13597" xr:uid="{6F85B950-E84A-46F5-9302-BF5601424E1C}"/>
    <cellStyle name="Normal 4 4 6 3 3" xfId="26230" xr:uid="{A72745F0-CF4B-4C59-A8F4-ED1ACCF66F3D}"/>
    <cellStyle name="Normal 4 4 6 4" xfId="9379" xr:uid="{9DDE02A8-E9EB-420E-A4E6-EA13C2EBBC07}"/>
    <cellStyle name="Normal 4 4 6 4 2" xfId="22019" xr:uid="{E9174E02-9132-48AD-B950-D81C79D0A7D9}"/>
    <cellStyle name="Normal 4 4 6 5" xfId="17808" xr:uid="{10D9A03D-CBB0-453D-8673-6A9EE51E36FE}"/>
    <cellStyle name="Normal 4 4 7" xfId="1272" xr:uid="{00000000-0005-0000-0000-0000F3150000}"/>
    <cellStyle name="Normal 4 4 7 2" xfId="3502" xr:uid="{00000000-0005-0000-0000-0000F4150000}"/>
    <cellStyle name="Normal 4 4 7 2 2" xfId="7726" xr:uid="{00000000-0005-0000-0000-0000F5150000}"/>
    <cellStyle name="Normal 4 4 7 2 2 2" xfId="16155" xr:uid="{4A840D39-331A-4F4F-B520-213797FC6262}"/>
    <cellStyle name="Normal 4 4 7 2 2 3" xfId="28788" xr:uid="{91A3EDA6-7E19-454F-BEF8-A927C7C2D6C0}"/>
    <cellStyle name="Normal 4 4 7 2 3" xfId="11937" xr:uid="{5B2E3453-8BC9-47E8-881D-CFB0598DDF5B}"/>
    <cellStyle name="Normal 4 4 7 2 3 2" xfId="24577" xr:uid="{E427A54B-CE49-40AB-95B9-E426F76F5607}"/>
    <cellStyle name="Normal 4 4 7 2 4" xfId="20366" xr:uid="{B1922110-2CAC-4AF3-BFFB-D98310096DCF}"/>
    <cellStyle name="Normal 4 4 7 3" xfId="5581" xr:uid="{00000000-0005-0000-0000-0000F6150000}"/>
    <cellStyle name="Normal 4 4 7 3 2" xfId="14010" xr:uid="{4A4A5F8D-ADA9-491F-AEA7-1DCAD5BEBDE2}"/>
    <cellStyle name="Normal 4 4 7 3 3" xfId="26643" xr:uid="{DD6D33A3-C17B-40ED-86F8-784FC86EBBC0}"/>
    <cellStyle name="Normal 4 4 7 4" xfId="9792" xr:uid="{D5A0E945-D486-460A-A5DB-C14927A37262}"/>
    <cellStyle name="Normal 4 4 7 4 2" xfId="22432" xr:uid="{356B89C7-1037-488A-AABC-608A2A6B526F}"/>
    <cellStyle name="Normal 4 4 7 5" xfId="18221" xr:uid="{B0BA1A78-414C-4520-A080-40E0B2CF2B3C}"/>
    <cellStyle name="Normal 4 4 8" xfId="1685" xr:uid="{00000000-0005-0000-0000-0000F7150000}"/>
    <cellStyle name="Normal 4 4 8 2" xfId="3915" xr:uid="{00000000-0005-0000-0000-0000F8150000}"/>
    <cellStyle name="Normal 4 4 8 2 2" xfId="8139" xr:uid="{00000000-0005-0000-0000-0000F9150000}"/>
    <cellStyle name="Normal 4 4 8 2 2 2" xfId="16568" xr:uid="{ADC2D7E3-0AF8-409D-85AB-C1EC3609D609}"/>
    <cellStyle name="Normal 4 4 8 2 2 3" xfId="29201" xr:uid="{04C24C24-3115-4582-94FC-143FD1033484}"/>
    <cellStyle name="Normal 4 4 8 2 3" xfId="12350" xr:uid="{D55B3822-C9F8-4237-A1E1-462C1C279EA4}"/>
    <cellStyle name="Normal 4 4 8 2 3 2" xfId="24990" xr:uid="{174B0310-27E7-449E-B42A-90F21C4AB403}"/>
    <cellStyle name="Normal 4 4 8 2 4" xfId="20779" xr:uid="{0E00CE77-0621-4173-BE80-3A48716C4FBC}"/>
    <cellStyle name="Normal 4 4 8 3" xfId="5994" xr:uid="{00000000-0005-0000-0000-0000FA150000}"/>
    <cellStyle name="Normal 4 4 8 3 2" xfId="14423" xr:uid="{E0BA811F-F392-4FDB-BA44-E29A1D8357E1}"/>
    <cellStyle name="Normal 4 4 8 3 3" xfId="27056" xr:uid="{19AA7255-2EAA-422A-9FD5-9A734AEDBDEA}"/>
    <cellStyle name="Normal 4 4 8 4" xfId="10205" xr:uid="{E21C35E4-FC3A-474B-9020-D81F3F351EE3}"/>
    <cellStyle name="Normal 4 4 8 4 2" xfId="22845" xr:uid="{D82CC246-E2C5-4532-8C02-194D66C5EC2C}"/>
    <cellStyle name="Normal 4 4 8 5" xfId="18634" xr:uid="{F2364698-B138-4D67-A7B2-1CA3884BA2B7}"/>
    <cellStyle name="Normal 4 4 9" xfId="2099" xr:uid="{00000000-0005-0000-0000-0000FB150000}"/>
    <cellStyle name="Normal 4 4 9 2" xfId="4328" xr:uid="{00000000-0005-0000-0000-0000FC150000}"/>
    <cellStyle name="Normal 4 4 9 2 2" xfId="8552" xr:uid="{00000000-0005-0000-0000-0000FD150000}"/>
    <cellStyle name="Normal 4 4 9 2 2 2" xfId="16981" xr:uid="{0FA14549-C0A1-46CA-A7A3-DF47E904A786}"/>
    <cellStyle name="Normal 4 4 9 2 2 3" xfId="29614" xr:uid="{6ADBFA39-EFD7-43A6-86DE-BAB5B4F7F194}"/>
    <cellStyle name="Normal 4 4 9 2 3" xfId="12763" xr:uid="{0C0D65D6-2587-4106-9B3B-132DC8DAF4AC}"/>
    <cellStyle name="Normal 4 4 9 2 3 2" xfId="25403" xr:uid="{10F19813-03F9-46C0-A723-87683D1E788F}"/>
    <cellStyle name="Normal 4 4 9 2 4" xfId="21192" xr:uid="{072FBAAE-C732-4A48-BB6A-0ED94CC63876}"/>
    <cellStyle name="Normal 4 4 9 3" xfId="6407" xr:uid="{00000000-0005-0000-0000-0000FE150000}"/>
    <cellStyle name="Normal 4 4 9 3 2" xfId="14836" xr:uid="{C44FE137-1A21-4B34-8C45-09DB3AE400A3}"/>
    <cellStyle name="Normal 4 4 9 3 3" xfId="27469" xr:uid="{A2DB288B-1826-493E-AE89-83A4B5065107}"/>
    <cellStyle name="Normal 4 4 9 4" xfId="10618" xr:uid="{0EF98D55-2815-49D7-9445-5D422E4880D7}"/>
    <cellStyle name="Normal 4 4 9 4 2" xfId="23258" xr:uid="{20B0F8D9-1340-441B-B245-A4BBE1AD25F2}"/>
    <cellStyle name="Normal 4 4 9 5" xfId="19047" xr:uid="{B0A88AC3-C63F-49EE-891A-32FAB674BCC1}"/>
    <cellStyle name="Normal 4 5" xfId="394" xr:uid="{00000000-0005-0000-0000-0000FF150000}"/>
    <cellStyle name="Normal 4 6" xfId="395" xr:uid="{00000000-0005-0000-0000-000000160000}"/>
    <cellStyle name="Normal 4 6 10" xfId="4771" xr:uid="{00000000-0005-0000-0000-000001160000}"/>
    <cellStyle name="Normal 4 6 10 2" xfId="13200" xr:uid="{18AA8D1D-4EB9-400F-81AA-E44D38DEA718}"/>
    <cellStyle name="Normal 4 6 10 3" xfId="25833" xr:uid="{FEBCECB9-C264-46B9-A7A3-ED3848C01CA0}"/>
    <cellStyle name="Normal 4 6 11" xfId="8982" xr:uid="{1E4F0A45-AB35-4324-BCFC-2CA660FD5E61}"/>
    <cellStyle name="Normal 4 6 11 2" xfId="21622" xr:uid="{EBAD2B7C-04E5-4E81-81E6-718BDEB6289E}"/>
    <cellStyle name="Normal 4 6 12" xfId="17411" xr:uid="{69571BFE-19E9-4C17-B648-607DD636EE7F}"/>
    <cellStyle name="Normal 4 6 2" xfId="396" xr:uid="{00000000-0005-0000-0000-000002160000}"/>
    <cellStyle name="Normal 4 6 2 10" xfId="8983" xr:uid="{1CBC270F-C76F-4E78-A530-620C7D758872}"/>
    <cellStyle name="Normal 4 6 2 10 2" xfId="21623" xr:uid="{B77A6459-9F80-4994-9951-AD1A6B36D3E9}"/>
    <cellStyle name="Normal 4 6 2 11" xfId="17412" xr:uid="{927CC494-E218-47E5-9FC9-F0647861127B}"/>
    <cellStyle name="Normal 4 6 2 2" xfId="397" xr:uid="{00000000-0005-0000-0000-000003160000}"/>
    <cellStyle name="Normal 4 6 2 2 10" xfId="17413" xr:uid="{48D800E0-7117-41F2-B870-74A9FCBC3ACB}"/>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E2864967-F872-4084-85AD-A314F32653AB}"/>
    <cellStyle name="Normal 4 6 2 2 2 2 2 2 3" xfId="28394" xr:uid="{DE8C2241-50DE-479D-8B18-F4FAACD71186}"/>
    <cellStyle name="Normal 4 6 2 2 2 2 2 3" xfId="11543" xr:uid="{66348210-E538-4F7C-A327-79CB5061D602}"/>
    <cellStyle name="Normal 4 6 2 2 2 2 2 3 2" xfId="24183" xr:uid="{D7491506-40A6-4B5C-A28E-E53E92C02570}"/>
    <cellStyle name="Normal 4 6 2 2 2 2 2 4" xfId="19972" xr:uid="{C127E82F-4D6D-4BB4-B2E2-AF2077DAA79E}"/>
    <cellStyle name="Normal 4 6 2 2 2 2 3" xfId="5187" xr:uid="{00000000-0005-0000-0000-000008160000}"/>
    <cellStyle name="Normal 4 6 2 2 2 2 3 2" xfId="13616" xr:uid="{D620327C-0773-4ACE-AD5F-3F1842BFC0C4}"/>
    <cellStyle name="Normal 4 6 2 2 2 2 3 3" xfId="26249" xr:uid="{F42D5556-7953-42DD-84DD-C92560B74051}"/>
    <cellStyle name="Normal 4 6 2 2 2 2 4" xfId="9398" xr:uid="{414E9634-C4DA-4EF7-8575-668801FAE670}"/>
    <cellStyle name="Normal 4 6 2 2 2 2 4 2" xfId="22038" xr:uid="{FED3E9B4-4EC6-4978-BFE0-5597232054DE}"/>
    <cellStyle name="Normal 4 6 2 2 2 2 5" xfId="17827" xr:uid="{187ED790-78C5-40E2-B992-24F424BDBBAC}"/>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5B06FA53-33F8-42E1-8B80-034DB49CBAC3}"/>
    <cellStyle name="Normal 4 6 2 2 2 3 2 2 3" xfId="28807" xr:uid="{48D9A481-29FB-42F0-96A2-B30D3623D318}"/>
    <cellStyle name="Normal 4 6 2 2 2 3 2 3" xfId="11956" xr:uid="{09843F10-EE36-4421-A680-82A45151C174}"/>
    <cellStyle name="Normal 4 6 2 2 2 3 2 3 2" xfId="24596" xr:uid="{76190A88-D682-4828-9108-3DE0D2F357F8}"/>
    <cellStyle name="Normal 4 6 2 2 2 3 2 4" xfId="20385" xr:uid="{DE778BE9-2561-4C22-BD28-3E5612EDE775}"/>
    <cellStyle name="Normal 4 6 2 2 2 3 3" xfId="5600" xr:uid="{00000000-0005-0000-0000-00000C160000}"/>
    <cellStyle name="Normal 4 6 2 2 2 3 3 2" xfId="14029" xr:uid="{B2A28FFF-E0D0-4B1C-A50A-25D1E34A24FD}"/>
    <cellStyle name="Normal 4 6 2 2 2 3 3 3" xfId="26662" xr:uid="{9CBE3C97-F9E6-4A24-971E-2BD94AD9DAE6}"/>
    <cellStyle name="Normal 4 6 2 2 2 3 4" xfId="9811" xr:uid="{28A9E107-50F8-481A-B3CF-C8C4EF6B1C02}"/>
    <cellStyle name="Normal 4 6 2 2 2 3 4 2" xfId="22451" xr:uid="{0CF4D029-CA41-4808-BF1E-F6FAA97A58DE}"/>
    <cellStyle name="Normal 4 6 2 2 2 3 5" xfId="18240" xr:uid="{89D47F22-CC5E-439C-8626-98D311D9E6BB}"/>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510051E1-F164-4236-9266-4F55299A1200}"/>
    <cellStyle name="Normal 4 6 2 2 2 4 2 2 3" xfId="29220" xr:uid="{F506D569-0AA8-4CC9-97EF-6FECA90F198B}"/>
    <cellStyle name="Normal 4 6 2 2 2 4 2 3" xfId="12369" xr:uid="{8C94AF15-D74D-48E9-82C1-2B5E8ACA4EAE}"/>
    <cellStyle name="Normal 4 6 2 2 2 4 2 3 2" xfId="25009" xr:uid="{80A76D9B-B01F-45D6-91AA-1A46F92C0DA9}"/>
    <cellStyle name="Normal 4 6 2 2 2 4 2 4" xfId="20798" xr:uid="{535E559A-7FAC-4D54-9972-0A5DEA3E1C5A}"/>
    <cellStyle name="Normal 4 6 2 2 2 4 3" xfId="6013" xr:uid="{00000000-0005-0000-0000-000010160000}"/>
    <cellStyle name="Normal 4 6 2 2 2 4 3 2" xfId="14442" xr:uid="{53B10EFF-5448-4F12-9C81-E65C61F613F0}"/>
    <cellStyle name="Normal 4 6 2 2 2 4 3 3" xfId="27075" xr:uid="{0AF5ACC9-FB36-48B7-91C5-9FFA13E47B6A}"/>
    <cellStyle name="Normal 4 6 2 2 2 4 4" xfId="10224" xr:uid="{05CA7B09-ECB8-4E30-89E8-AF545059906B}"/>
    <cellStyle name="Normal 4 6 2 2 2 4 4 2" xfId="22864" xr:uid="{8C0054DF-1B5F-493E-9231-ED36494459A2}"/>
    <cellStyle name="Normal 4 6 2 2 2 4 5" xfId="18653" xr:uid="{931B1978-6844-4070-B491-C1E21F028A6F}"/>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11B1E310-B5D5-4207-A62D-A525D537CA3C}"/>
    <cellStyle name="Normal 4 6 2 2 2 5 2 2 3" xfId="29633" xr:uid="{81523CDA-6097-47DC-9B4D-C9E8BFC771DB}"/>
    <cellStyle name="Normal 4 6 2 2 2 5 2 3" xfId="12782" xr:uid="{11F38677-FF3C-4D0D-80DD-A5655F35C30E}"/>
    <cellStyle name="Normal 4 6 2 2 2 5 2 3 2" xfId="25422" xr:uid="{AA3C367D-5C2C-4802-B0B3-2D6766F4203F}"/>
    <cellStyle name="Normal 4 6 2 2 2 5 2 4" xfId="21211" xr:uid="{F9FB0CB1-CE1E-4CF4-ACCD-203055F5FC8A}"/>
    <cellStyle name="Normal 4 6 2 2 2 5 3" xfId="6426" xr:uid="{00000000-0005-0000-0000-000014160000}"/>
    <cellStyle name="Normal 4 6 2 2 2 5 3 2" xfId="14855" xr:uid="{24CB6703-E685-4C72-B61D-8E8D29BE10E3}"/>
    <cellStyle name="Normal 4 6 2 2 2 5 3 3" xfId="27488" xr:uid="{8FEB9039-E7AB-4126-BCBE-F26B64BE0BAE}"/>
    <cellStyle name="Normal 4 6 2 2 2 5 4" xfId="10637" xr:uid="{33A39205-B16F-4AB8-920D-AE49D7660FD9}"/>
    <cellStyle name="Normal 4 6 2 2 2 5 4 2" xfId="23277" xr:uid="{B2ED8FC1-D7B0-4A47-83A9-462730B80670}"/>
    <cellStyle name="Normal 4 6 2 2 2 5 5" xfId="19066" xr:uid="{ADC0245F-7979-4A50-BB26-5E15F939D34E}"/>
    <cellStyle name="Normal 4 6 2 2 2 6" xfId="2554" xr:uid="{00000000-0005-0000-0000-000015160000}"/>
    <cellStyle name="Normal 4 6 2 2 2 6 2" xfId="6839" xr:uid="{00000000-0005-0000-0000-000016160000}"/>
    <cellStyle name="Normal 4 6 2 2 2 6 2 2" xfId="15268" xr:uid="{8F33E551-1EFB-452F-911A-03CF31E8F37F}"/>
    <cellStyle name="Normal 4 6 2 2 2 6 2 3" xfId="27901" xr:uid="{4FDECDB6-AD26-46A5-A57B-99D8E5EAB06E}"/>
    <cellStyle name="Normal 4 6 2 2 2 6 3" xfId="11050" xr:uid="{07BC6B48-C9C2-4C38-896E-A3EC537E816C}"/>
    <cellStyle name="Normal 4 6 2 2 2 6 3 2" xfId="23690" xr:uid="{D4E189E9-C5FB-4B83-8E73-AAB6C3E6DB2C}"/>
    <cellStyle name="Normal 4 6 2 2 2 6 4" xfId="19479" xr:uid="{7F8C90D0-DF88-4698-8568-A240526D7DD4}"/>
    <cellStyle name="Normal 4 6 2 2 2 7" xfId="4774" xr:uid="{00000000-0005-0000-0000-000017160000}"/>
    <cellStyle name="Normal 4 6 2 2 2 7 2" xfId="13203" xr:uid="{EEC99ABE-9F1F-41F8-A317-DE4D0BFA5AFB}"/>
    <cellStyle name="Normal 4 6 2 2 2 7 3" xfId="25836" xr:uid="{2BD8D1CC-C631-43B1-82B2-EFAC805EA5E2}"/>
    <cellStyle name="Normal 4 6 2 2 2 8" xfId="8985" xr:uid="{24AB172C-1B6E-428B-AFA6-8D2770CD2B8C}"/>
    <cellStyle name="Normal 4 6 2 2 2 8 2" xfId="21625" xr:uid="{BF09D365-A692-467A-BC74-6AB41B53A1E1}"/>
    <cellStyle name="Normal 4 6 2 2 2 9" xfId="17414" xr:uid="{FE137172-8912-48FF-A58C-96E773531F59}"/>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2562A4A5-EC1C-4548-8B56-4EBDE2254412}"/>
    <cellStyle name="Normal 4 6 2 2 3 2 2 3" xfId="28393" xr:uid="{E6F65DB7-DAEA-4D94-80BB-035446318C56}"/>
    <cellStyle name="Normal 4 6 2 2 3 2 3" xfId="11542" xr:uid="{2E591C56-F138-4F8B-B62D-FA39BA726DFA}"/>
    <cellStyle name="Normal 4 6 2 2 3 2 3 2" xfId="24182" xr:uid="{9FE58658-3E35-49DB-8B67-F79191C6382D}"/>
    <cellStyle name="Normal 4 6 2 2 3 2 4" xfId="19971" xr:uid="{D7E6F593-9D77-4EC4-ACAD-5D09789DB168}"/>
    <cellStyle name="Normal 4 6 2 2 3 3" xfId="5186" xr:uid="{00000000-0005-0000-0000-00001B160000}"/>
    <cellStyle name="Normal 4 6 2 2 3 3 2" xfId="13615" xr:uid="{5C87CAB1-F010-42D0-9173-6F7B4140F1D8}"/>
    <cellStyle name="Normal 4 6 2 2 3 3 3" xfId="26248" xr:uid="{F752B74A-6903-4074-85DD-7291EFEED0EA}"/>
    <cellStyle name="Normal 4 6 2 2 3 4" xfId="9397" xr:uid="{4379B7FA-EA19-4AE6-8748-F13B89EB4400}"/>
    <cellStyle name="Normal 4 6 2 2 3 4 2" xfId="22037" xr:uid="{5C52E325-820D-4C1C-8C37-997C8BCCAEBA}"/>
    <cellStyle name="Normal 4 6 2 2 3 5" xfId="17826" xr:uid="{2E6ED01A-FE35-47B4-8D5D-03C6F1EA7DCF}"/>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56442479-1BF9-4568-ABCC-043AD6CC08D9}"/>
    <cellStyle name="Normal 4 6 2 2 4 2 2 3" xfId="28806" xr:uid="{75C2754B-D544-4A60-9352-6EFA9A26775B}"/>
    <cellStyle name="Normal 4 6 2 2 4 2 3" xfId="11955" xr:uid="{8854C03C-961C-4C89-924F-1C3F7B6B8030}"/>
    <cellStyle name="Normal 4 6 2 2 4 2 3 2" xfId="24595" xr:uid="{B378BEF2-D03A-4C76-AB06-1C36A5284766}"/>
    <cellStyle name="Normal 4 6 2 2 4 2 4" xfId="20384" xr:uid="{59D98F4C-6AC7-47F6-A50E-2E8C7C769EC3}"/>
    <cellStyle name="Normal 4 6 2 2 4 3" xfId="5599" xr:uid="{00000000-0005-0000-0000-00001F160000}"/>
    <cellStyle name="Normal 4 6 2 2 4 3 2" xfId="14028" xr:uid="{7D20BB13-F2C6-4AC1-B388-91B2EF7B7627}"/>
    <cellStyle name="Normal 4 6 2 2 4 3 3" xfId="26661" xr:uid="{8E218BE7-4146-4D2C-BE35-CFE685A47C58}"/>
    <cellStyle name="Normal 4 6 2 2 4 4" xfId="9810" xr:uid="{C3ADB25E-770C-44CE-8A3C-99F839DDAA02}"/>
    <cellStyle name="Normal 4 6 2 2 4 4 2" xfId="22450" xr:uid="{893BF3BA-391D-4728-BDAD-6050453034FF}"/>
    <cellStyle name="Normal 4 6 2 2 4 5" xfId="18239" xr:uid="{C8CFFBAC-7B72-43CC-B5E0-9DE55B41F1E3}"/>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2C62A68B-1739-4881-98FB-2F9198B7697E}"/>
    <cellStyle name="Normal 4 6 2 2 5 2 2 3" xfId="29219" xr:uid="{B7CBC688-6D97-457A-8FB4-D03AD886E026}"/>
    <cellStyle name="Normal 4 6 2 2 5 2 3" xfId="12368" xr:uid="{3BABE05A-1CDE-4B9B-A582-3F0947DE2542}"/>
    <cellStyle name="Normal 4 6 2 2 5 2 3 2" xfId="25008" xr:uid="{068D10A2-1832-48FD-863B-E8F0FBFC3596}"/>
    <cellStyle name="Normal 4 6 2 2 5 2 4" xfId="20797" xr:uid="{1AA84897-0910-4883-9429-0264A730495B}"/>
    <cellStyle name="Normal 4 6 2 2 5 3" xfId="6012" xr:uid="{00000000-0005-0000-0000-000023160000}"/>
    <cellStyle name="Normal 4 6 2 2 5 3 2" xfId="14441" xr:uid="{A8DD828D-3CDE-4FF1-9296-1303BC57B25F}"/>
    <cellStyle name="Normal 4 6 2 2 5 3 3" xfId="27074" xr:uid="{1735B379-A865-44DD-AD05-66365141B25F}"/>
    <cellStyle name="Normal 4 6 2 2 5 4" xfId="10223" xr:uid="{B662A1DB-B63A-4275-8B6F-8C3FF9174A30}"/>
    <cellStyle name="Normal 4 6 2 2 5 4 2" xfId="22863" xr:uid="{12487F67-2704-492D-B717-72C704BFC366}"/>
    <cellStyle name="Normal 4 6 2 2 5 5" xfId="18652" xr:uid="{D9333548-BA28-47E1-BD47-8AFD67918235}"/>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434D0AD4-B6C6-4742-B9D3-097666F0CF61}"/>
    <cellStyle name="Normal 4 6 2 2 6 2 2 3" xfId="29632" xr:uid="{57B1D39A-1D2B-4446-AB34-34BFEFC02A34}"/>
    <cellStyle name="Normal 4 6 2 2 6 2 3" xfId="12781" xr:uid="{C2A00D35-4D88-4BAC-8680-5ED3388936D2}"/>
    <cellStyle name="Normal 4 6 2 2 6 2 3 2" xfId="25421" xr:uid="{7F2A89F7-CBCA-44FC-8FA8-5A78CD5CEC4B}"/>
    <cellStyle name="Normal 4 6 2 2 6 2 4" xfId="21210" xr:uid="{D8C27C2B-EF47-47E7-90EB-50EEEC785E2E}"/>
    <cellStyle name="Normal 4 6 2 2 6 3" xfId="6425" xr:uid="{00000000-0005-0000-0000-000027160000}"/>
    <cellStyle name="Normal 4 6 2 2 6 3 2" xfId="14854" xr:uid="{7C2FEC5E-23C8-4475-A048-521327E7EB00}"/>
    <cellStyle name="Normal 4 6 2 2 6 3 3" xfId="27487" xr:uid="{F85ED0A3-10D6-47E2-9713-71A627DDEE2C}"/>
    <cellStyle name="Normal 4 6 2 2 6 4" xfId="10636" xr:uid="{4040474F-10AA-4925-BC77-F920C62F8314}"/>
    <cellStyle name="Normal 4 6 2 2 6 4 2" xfId="23276" xr:uid="{417586AA-D895-4A9A-9BE4-E719A8B74D61}"/>
    <cellStyle name="Normal 4 6 2 2 6 5" xfId="19065" xr:uid="{91677964-D39F-4B71-8F18-1C617417568D}"/>
    <cellStyle name="Normal 4 6 2 2 7" xfId="2553" xr:uid="{00000000-0005-0000-0000-000028160000}"/>
    <cellStyle name="Normal 4 6 2 2 7 2" xfId="6838" xr:uid="{00000000-0005-0000-0000-000029160000}"/>
    <cellStyle name="Normal 4 6 2 2 7 2 2" xfId="15267" xr:uid="{FD7FAF7B-0FC0-4564-B77F-AFF8B1418FE9}"/>
    <cellStyle name="Normal 4 6 2 2 7 2 3" xfId="27900" xr:uid="{584E0BB0-9B58-493F-A87A-D5D235EC9CA5}"/>
    <cellStyle name="Normal 4 6 2 2 7 3" xfId="11049" xr:uid="{9A8BE05D-2086-450D-A2AD-45D693B81D19}"/>
    <cellStyle name="Normal 4 6 2 2 7 3 2" xfId="23689" xr:uid="{1F6C8527-9FE6-4561-91B3-20A132B861F3}"/>
    <cellStyle name="Normal 4 6 2 2 7 4" xfId="19478" xr:uid="{BD834388-0972-4A08-9FCA-5FDF5E2E6A5F}"/>
    <cellStyle name="Normal 4 6 2 2 8" xfId="4773" xr:uid="{00000000-0005-0000-0000-00002A160000}"/>
    <cellStyle name="Normal 4 6 2 2 8 2" xfId="13202" xr:uid="{382F890D-F42C-4294-AD04-3BC2B33AA976}"/>
    <cellStyle name="Normal 4 6 2 2 8 3" xfId="25835" xr:uid="{78925F2A-40E7-414E-9A13-C61E39621B4A}"/>
    <cellStyle name="Normal 4 6 2 2 9" xfId="8984" xr:uid="{CA37A056-33D8-49F0-89A9-1A67EB638373}"/>
    <cellStyle name="Normal 4 6 2 2 9 2" xfId="21624" xr:uid="{95C5A33F-8D2F-41D4-908C-BBE011E03223}"/>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9DB26DA1-07C1-472D-AB3F-A80A8DBE36E9}"/>
    <cellStyle name="Normal 4 6 2 3 2 2 2 3" xfId="28395" xr:uid="{E80A5D36-3647-4B42-9F1E-A15F9A0F258E}"/>
    <cellStyle name="Normal 4 6 2 3 2 2 3" xfId="11544" xr:uid="{DB1AE74C-ABD1-4CE4-BD46-F82D41F009B5}"/>
    <cellStyle name="Normal 4 6 2 3 2 2 3 2" xfId="24184" xr:uid="{F4C702B9-7684-487B-9824-DD5178F98385}"/>
    <cellStyle name="Normal 4 6 2 3 2 2 4" xfId="19973" xr:uid="{704361A0-F2E1-4C57-AAF3-1342F05925F6}"/>
    <cellStyle name="Normal 4 6 2 3 2 3" xfId="5188" xr:uid="{00000000-0005-0000-0000-00002F160000}"/>
    <cellStyle name="Normal 4 6 2 3 2 3 2" xfId="13617" xr:uid="{0A9756B4-633C-4A39-B6B3-EA11E3F422BA}"/>
    <cellStyle name="Normal 4 6 2 3 2 3 3" xfId="26250" xr:uid="{04FD876F-E557-454C-ABBF-016732EF6BE3}"/>
    <cellStyle name="Normal 4 6 2 3 2 4" xfId="9399" xr:uid="{C0F152E8-9BD0-42B0-9365-E626B50AA131}"/>
    <cellStyle name="Normal 4 6 2 3 2 4 2" xfId="22039" xr:uid="{1F12A115-70CD-4F65-8BB6-7581E9CA8305}"/>
    <cellStyle name="Normal 4 6 2 3 2 5" xfId="17828" xr:uid="{B31D1C7A-B8A8-466F-8E24-09BEE4133A83}"/>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1D055966-2B32-4F59-A1F0-9831A3209F5E}"/>
    <cellStyle name="Normal 4 6 2 3 3 2 2 3" xfId="28808" xr:uid="{06E10637-4B60-490F-842E-5DB0BB8E819B}"/>
    <cellStyle name="Normal 4 6 2 3 3 2 3" xfId="11957" xr:uid="{EE986E2A-9039-42B4-BFFF-D4C0161D6448}"/>
    <cellStyle name="Normal 4 6 2 3 3 2 3 2" xfId="24597" xr:uid="{F8F1847B-7E32-4534-B354-0352DFC8DA91}"/>
    <cellStyle name="Normal 4 6 2 3 3 2 4" xfId="20386" xr:uid="{B0C2C761-4F6B-4C42-88C1-B98FA921953B}"/>
    <cellStyle name="Normal 4 6 2 3 3 3" xfId="5601" xr:uid="{00000000-0005-0000-0000-000033160000}"/>
    <cellStyle name="Normal 4 6 2 3 3 3 2" xfId="14030" xr:uid="{B1DFACCB-194A-4803-A852-433F63F3502A}"/>
    <cellStyle name="Normal 4 6 2 3 3 3 3" xfId="26663" xr:uid="{230CB490-5763-4123-BD4A-E5E15C6E573D}"/>
    <cellStyle name="Normal 4 6 2 3 3 4" xfId="9812" xr:uid="{4BB58DCA-FCB1-4FAA-BBCB-42F811D6D0A2}"/>
    <cellStyle name="Normal 4 6 2 3 3 4 2" xfId="22452" xr:uid="{9B02D591-B398-44F8-943B-961927EA267D}"/>
    <cellStyle name="Normal 4 6 2 3 3 5" xfId="18241" xr:uid="{DFD57E28-3783-41B8-AC19-DC8AE84DFDAF}"/>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BBCEEC30-F0D9-441D-9ECF-882CB90663CA}"/>
    <cellStyle name="Normal 4 6 2 3 4 2 2 3" xfId="29221" xr:uid="{04340FF4-7BBE-44BF-B9E9-6DCCAACA18D6}"/>
    <cellStyle name="Normal 4 6 2 3 4 2 3" xfId="12370" xr:uid="{591EA17A-6E89-42A2-8714-958F8A0DA2BE}"/>
    <cellStyle name="Normal 4 6 2 3 4 2 3 2" xfId="25010" xr:uid="{6CEA1719-DA00-4523-80D3-A331C6634B1B}"/>
    <cellStyle name="Normal 4 6 2 3 4 2 4" xfId="20799" xr:uid="{20346EA1-A9F1-4B6E-BF33-6920528694DB}"/>
    <cellStyle name="Normal 4 6 2 3 4 3" xfId="6014" xr:uid="{00000000-0005-0000-0000-000037160000}"/>
    <cellStyle name="Normal 4 6 2 3 4 3 2" xfId="14443" xr:uid="{5197C23F-DA5D-4FF3-86E5-BD0196281B07}"/>
    <cellStyle name="Normal 4 6 2 3 4 3 3" xfId="27076" xr:uid="{6DE09458-7C2E-4E0F-A2B9-838F1224EDA8}"/>
    <cellStyle name="Normal 4 6 2 3 4 4" xfId="10225" xr:uid="{FDD85C47-73EB-40D0-8F0A-8A72C9678F29}"/>
    <cellStyle name="Normal 4 6 2 3 4 4 2" xfId="22865" xr:uid="{5C3002E4-18C0-497D-94D2-184889F061FC}"/>
    <cellStyle name="Normal 4 6 2 3 4 5" xfId="18654" xr:uid="{4E2240DF-6CFA-4F8E-A150-F1C2FDEEF494}"/>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962D766B-A9F1-43C0-8F23-E60AC5A62068}"/>
    <cellStyle name="Normal 4 6 2 3 5 2 2 3" xfId="29634" xr:uid="{6A02E0EE-47A6-40C3-B470-5B4D32EA08A9}"/>
    <cellStyle name="Normal 4 6 2 3 5 2 3" xfId="12783" xr:uid="{456C277D-CD0E-412D-9375-856345DD0190}"/>
    <cellStyle name="Normal 4 6 2 3 5 2 3 2" xfId="25423" xr:uid="{EF67570F-F28F-4ACF-BE4A-ECC639505B29}"/>
    <cellStyle name="Normal 4 6 2 3 5 2 4" xfId="21212" xr:uid="{10CCA6D9-464E-4B70-9CF8-4B84EECE8C69}"/>
    <cellStyle name="Normal 4 6 2 3 5 3" xfId="6427" xr:uid="{00000000-0005-0000-0000-00003B160000}"/>
    <cellStyle name="Normal 4 6 2 3 5 3 2" xfId="14856" xr:uid="{F277E0A1-409E-48A8-B12A-6C6E01A25466}"/>
    <cellStyle name="Normal 4 6 2 3 5 3 3" xfId="27489" xr:uid="{41236BDC-B73C-4429-B7AC-59FF99CB8108}"/>
    <cellStyle name="Normal 4 6 2 3 5 4" xfId="10638" xr:uid="{2114431C-DDAB-417D-BB99-24CF78B59520}"/>
    <cellStyle name="Normal 4 6 2 3 5 4 2" xfId="23278" xr:uid="{2A3F1494-2EDA-440E-B35C-EE14661D0A46}"/>
    <cellStyle name="Normal 4 6 2 3 5 5" xfId="19067" xr:uid="{6D3FB381-A7CB-406C-81DC-588A482616DE}"/>
    <cellStyle name="Normal 4 6 2 3 6" xfId="2555" xr:uid="{00000000-0005-0000-0000-00003C160000}"/>
    <cellStyle name="Normal 4 6 2 3 6 2" xfId="6840" xr:uid="{00000000-0005-0000-0000-00003D160000}"/>
    <cellStyle name="Normal 4 6 2 3 6 2 2" xfId="15269" xr:uid="{C09BCAF2-D8D6-43F2-B065-0582C6684520}"/>
    <cellStyle name="Normal 4 6 2 3 6 2 3" xfId="27902" xr:uid="{18640B64-860F-44C4-8F02-F731E44B55B4}"/>
    <cellStyle name="Normal 4 6 2 3 6 3" xfId="11051" xr:uid="{80CF0A36-0156-4B6F-B7C3-30F6F0DA5598}"/>
    <cellStyle name="Normal 4 6 2 3 6 3 2" xfId="23691" xr:uid="{11F891FE-A46C-4A1B-91CA-6BC6EF7338A1}"/>
    <cellStyle name="Normal 4 6 2 3 6 4" xfId="19480" xr:uid="{39E956E7-6EC5-41E8-8592-50282EC921AF}"/>
    <cellStyle name="Normal 4 6 2 3 7" xfId="4775" xr:uid="{00000000-0005-0000-0000-00003E160000}"/>
    <cellStyle name="Normal 4 6 2 3 7 2" xfId="13204" xr:uid="{42427254-7AD8-437E-B2AF-69EBACE5A110}"/>
    <cellStyle name="Normal 4 6 2 3 7 3" xfId="25837" xr:uid="{8B4B88DA-042F-40FF-A102-264782C7CF26}"/>
    <cellStyle name="Normal 4 6 2 3 8" xfId="8986" xr:uid="{3215884C-7A91-4E1C-BF3C-8836B4C3DDD4}"/>
    <cellStyle name="Normal 4 6 2 3 8 2" xfId="21626" xr:uid="{58D80108-3EC9-4501-B6FE-3530850F729A}"/>
    <cellStyle name="Normal 4 6 2 3 9" xfId="17415" xr:uid="{45E27992-D32F-4B72-8204-BA086C069B8A}"/>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DEC3473B-FA74-4091-BB95-FDBCFE1BD5EE}"/>
    <cellStyle name="Normal 4 6 2 4 2 2 3" xfId="28392" xr:uid="{1738BBEC-A662-443F-B66A-93DDAD8A0041}"/>
    <cellStyle name="Normal 4 6 2 4 2 3" xfId="11541" xr:uid="{66BF815F-0320-46FB-AC17-C144096173CF}"/>
    <cellStyle name="Normal 4 6 2 4 2 3 2" xfId="24181" xr:uid="{9C38FC80-5A9E-454C-A23E-F2523243A962}"/>
    <cellStyle name="Normal 4 6 2 4 2 4" xfId="19970" xr:uid="{A153DA30-3040-4836-9AC3-E6E2763F7A83}"/>
    <cellStyle name="Normal 4 6 2 4 3" xfId="5185" xr:uid="{00000000-0005-0000-0000-000042160000}"/>
    <cellStyle name="Normal 4 6 2 4 3 2" xfId="13614" xr:uid="{662A0B8A-498E-4164-875C-7D9E4555578A}"/>
    <cellStyle name="Normal 4 6 2 4 3 3" xfId="26247" xr:uid="{BD2EF34B-F29D-43A9-845A-E5C3D59A6154}"/>
    <cellStyle name="Normal 4 6 2 4 4" xfId="9396" xr:uid="{29F00685-3FCC-43A1-834B-952F166FFDBC}"/>
    <cellStyle name="Normal 4 6 2 4 4 2" xfId="22036" xr:uid="{2F0C396C-D8B4-4FF4-9C6D-EE5406D94AE6}"/>
    <cellStyle name="Normal 4 6 2 4 5" xfId="17825" xr:uid="{2C866538-6FB8-466B-BE8C-F9E5E9FA8C33}"/>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BA3038FB-56C5-4357-A9C6-2B34E280E886}"/>
    <cellStyle name="Normal 4 6 2 5 2 2 3" xfId="28805" xr:uid="{3C23F0DC-6041-4D44-9816-5D11AD03B113}"/>
    <cellStyle name="Normal 4 6 2 5 2 3" xfId="11954" xr:uid="{1C9D6B51-B157-46F5-AB8C-63E4E48278B3}"/>
    <cellStyle name="Normal 4 6 2 5 2 3 2" xfId="24594" xr:uid="{5613BD53-AB62-48E0-B0C4-A14EDB583A33}"/>
    <cellStyle name="Normal 4 6 2 5 2 4" xfId="20383" xr:uid="{7B17C317-38A3-4835-B1BD-13810F7EED4F}"/>
    <cellStyle name="Normal 4 6 2 5 3" xfId="5598" xr:uid="{00000000-0005-0000-0000-000046160000}"/>
    <cellStyle name="Normal 4 6 2 5 3 2" xfId="14027" xr:uid="{663DAA97-E952-4408-BBA4-A2C3F087B33F}"/>
    <cellStyle name="Normal 4 6 2 5 3 3" xfId="26660" xr:uid="{92118268-F8DF-4BDC-9F3B-F2843DC8624C}"/>
    <cellStyle name="Normal 4 6 2 5 4" xfId="9809" xr:uid="{68E471B8-3BF6-4905-BE68-E1D84AE19E43}"/>
    <cellStyle name="Normal 4 6 2 5 4 2" xfId="22449" xr:uid="{E9A976BB-65C9-43DA-8D82-C59383C177DC}"/>
    <cellStyle name="Normal 4 6 2 5 5" xfId="18238" xr:uid="{DFB08A4C-BB91-427A-A3A3-E93F9405B407}"/>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95D21164-79FD-4A2B-A4DB-C093626E84DF}"/>
    <cellStyle name="Normal 4 6 2 6 2 2 3" xfId="29218" xr:uid="{4DEE5F2D-A6D1-4F39-B59C-FA5F08A953BB}"/>
    <cellStyle name="Normal 4 6 2 6 2 3" xfId="12367" xr:uid="{9889654D-7C7D-44D3-BE6A-5D1093EBD0BC}"/>
    <cellStyle name="Normal 4 6 2 6 2 3 2" xfId="25007" xr:uid="{E0D6C8D9-0D38-4685-9134-0AE72D52D7E2}"/>
    <cellStyle name="Normal 4 6 2 6 2 4" xfId="20796" xr:uid="{14AB6D90-8C6C-4C0B-A113-42F467322ACD}"/>
    <cellStyle name="Normal 4 6 2 6 3" xfId="6011" xr:uid="{00000000-0005-0000-0000-00004A160000}"/>
    <cellStyle name="Normal 4 6 2 6 3 2" xfId="14440" xr:uid="{B0FD718C-DC5A-46B5-80D8-E1E685D7D8EE}"/>
    <cellStyle name="Normal 4 6 2 6 3 3" xfId="27073" xr:uid="{A426AA1D-C818-4AC2-A098-E216D991AED5}"/>
    <cellStyle name="Normal 4 6 2 6 4" xfId="10222" xr:uid="{730A4EE1-59B5-4AC1-A68B-948A0E728259}"/>
    <cellStyle name="Normal 4 6 2 6 4 2" xfId="22862" xr:uid="{1DA0F0A2-AB1D-463E-9E6A-9B3306B7AE3A}"/>
    <cellStyle name="Normal 4 6 2 6 5" xfId="18651" xr:uid="{7ECDBCF1-FBEF-4D30-842A-DB0FD294A555}"/>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9114CAC9-3AA3-4F92-915C-20C20F347C1C}"/>
    <cellStyle name="Normal 4 6 2 7 2 2 3" xfId="29631" xr:uid="{1E6591E1-63E9-41E2-BA02-C80EAF0A3111}"/>
    <cellStyle name="Normal 4 6 2 7 2 3" xfId="12780" xr:uid="{0BC6D346-34D5-4D41-ABA7-6B654009BA59}"/>
    <cellStyle name="Normal 4 6 2 7 2 3 2" xfId="25420" xr:uid="{EA7372EB-90C7-40D2-B59A-36F7A7FC105D}"/>
    <cellStyle name="Normal 4 6 2 7 2 4" xfId="21209" xr:uid="{C667230B-6C53-4D63-B591-202D29A235BE}"/>
    <cellStyle name="Normal 4 6 2 7 3" xfId="6424" xr:uid="{00000000-0005-0000-0000-00004E160000}"/>
    <cellStyle name="Normal 4 6 2 7 3 2" xfId="14853" xr:uid="{6C097675-B4B5-4B53-86C7-155C1A0B6BC2}"/>
    <cellStyle name="Normal 4 6 2 7 3 3" xfId="27486" xr:uid="{04E8106B-0855-4DEE-85D7-FD3294929CA4}"/>
    <cellStyle name="Normal 4 6 2 7 4" xfId="10635" xr:uid="{D802AA31-4797-4BFE-823B-06CEDCC149E2}"/>
    <cellStyle name="Normal 4 6 2 7 4 2" xfId="23275" xr:uid="{5523EAF9-1E0C-4383-8D46-860AF1F7A736}"/>
    <cellStyle name="Normal 4 6 2 7 5" xfId="19064" xr:uid="{7CA2E064-B620-4753-9A1B-CEF8B1CEADFC}"/>
    <cellStyle name="Normal 4 6 2 8" xfId="2552" xr:uid="{00000000-0005-0000-0000-00004F160000}"/>
    <cellStyle name="Normal 4 6 2 8 2" xfId="6837" xr:uid="{00000000-0005-0000-0000-000050160000}"/>
    <cellStyle name="Normal 4 6 2 8 2 2" xfId="15266" xr:uid="{0AC57994-2702-431F-8A90-B74CA45400E2}"/>
    <cellStyle name="Normal 4 6 2 8 2 3" xfId="27899" xr:uid="{CBC54B6A-2F8D-4093-A0FA-E477A63A9E22}"/>
    <cellStyle name="Normal 4 6 2 8 3" xfId="11048" xr:uid="{67425A19-91BB-4E6E-B725-2134E2C1B7F5}"/>
    <cellStyle name="Normal 4 6 2 8 3 2" xfId="23688" xr:uid="{E348E7E3-5E5F-4513-8943-CC7E6D5EF29E}"/>
    <cellStyle name="Normal 4 6 2 8 4" xfId="19477" xr:uid="{B889B72E-5541-411A-BF13-04C897980B4A}"/>
    <cellStyle name="Normal 4 6 2 9" xfId="4772" xr:uid="{00000000-0005-0000-0000-000051160000}"/>
    <cellStyle name="Normal 4 6 2 9 2" xfId="13201" xr:uid="{AA16EE1A-9463-416E-93C0-568CB2492AEF}"/>
    <cellStyle name="Normal 4 6 2 9 3" xfId="25834" xr:uid="{D41798EF-51E5-43CB-87D7-C2441D4FB0DD}"/>
    <cellStyle name="Normal 4 6 3" xfId="400" xr:uid="{00000000-0005-0000-0000-000052160000}"/>
    <cellStyle name="Normal 4 6 3 10" xfId="17416" xr:uid="{37E7B859-79E5-4C39-AD1D-911811490B58}"/>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6B226E93-8CB9-4DBC-B526-8106A3D9E475}"/>
    <cellStyle name="Normal 4 6 3 2 2 2 2 3" xfId="28397" xr:uid="{366C643A-81F8-4377-9036-D0A2EED19338}"/>
    <cellStyle name="Normal 4 6 3 2 2 2 3" xfId="11546" xr:uid="{09E4E8E0-46E0-4910-9B11-EBE279D9C603}"/>
    <cellStyle name="Normal 4 6 3 2 2 2 3 2" xfId="24186" xr:uid="{EFC953E1-8936-4821-9ECF-DAD20FE8F900}"/>
    <cellStyle name="Normal 4 6 3 2 2 2 4" xfId="19975" xr:uid="{C6B438FA-4422-48A0-9C78-08520E3B4357}"/>
    <cellStyle name="Normal 4 6 3 2 2 3" xfId="5190" xr:uid="{00000000-0005-0000-0000-000057160000}"/>
    <cellStyle name="Normal 4 6 3 2 2 3 2" xfId="13619" xr:uid="{CF8C12A7-5CE2-4507-8626-2FE33FEE23AA}"/>
    <cellStyle name="Normal 4 6 3 2 2 3 3" xfId="26252" xr:uid="{7A7BFACC-6BAA-4B80-8B4E-4182DE1CBFB2}"/>
    <cellStyle name="Normal 4 6 3 2 2 4" xfId="9401" xr:uid="{1B43413F-DA13-40E4-B73E-2622F7753CBF}"/>
    <cellStyle name="Normal 4 6 3 2 2 4 2" xfId="22041" xr:uid="{D7E2F8E0-D32B-4180-9D35-9042F2485DD7}"/>
    <cellStyle name="Normal 4 6 3 2 2 5" xfId="17830" xr:uid="{B24AAD4F-BAAF-458B-8126-0EE1F3FFAC7C}"/>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54585705-2906-4788-9DF2-400AEF437779}"/>
    <cellStyle name="Normal 4 6 3 2 3 2 2 3" xfId="28810" xr:uid="{9048F369-0616-4E06-A0F5-11CE4A786662}"/>
    <cellStyle name="Normal 4 6 3 2 3 2 3" xfId="11959" xr:uid="{71992045-9DFE-467D-A759-AB3FDF1412B0}"/>
    <cellStyle name="Normal 4 6 3 2 3 2 3 2" xfId="24599" xr:uid="{8A30B633-34C3-4972-B91A-918970164661}"/>
    <cellStyle name="Normal 4 6 3 2 3 2 4" xfId="20388" xr:uid="{587A3756-015E-4E89-9B42-4F6CE393857A}"/>
    <cellStyle name="Normal 4 6 3 2 3 3" xfId="5603" xr:uid="{00000000-0005-0000-0000-00005B160000}"/>
    <cellStyle name="Normal 4 6 3 2 3 3 2" xfId="14032" xr:uid="{4A930E0F-0AEF-4CF9-86A1-F90A8FDE0AF4}"/>
    <cellStyle name="Normal 4 6 3 2 3 3 3" xfId="26665" xr:uid="{8B8F6ADF-E18B-4224-8BE4-396AE918EE74}"/>
    <cellStyle name="Normal 4 6 3 2 3 4" xfId="9814" xr:uid="{98566FEC-DB0C-489D-A72F-269450123058}"/>
    <cellStyle name="Normal 4 6 3 2 3 4 2" xfId="22454" xr:uid="{75B306F1-67FF-4CCE-8DC7-F8CFC99EF1FE}"/>
    <cellStyle name="Normal 4 6 3 2 3 5" xfId="18243" xr:uid="{08EE3509-6F99-456C-8308-2D6FBAB101D6}"/>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8C57CC72-47F4-47B9-BC2D-12F846193844}"/>
    <cellStyle name="Normal 4 6 3 2 4 2 2 3" xfId="29223" xr:uid="{00AB5F32-1E08-4568-9671-B392E5C14DC5}"/>
    <cellStyle name="Normal 4 6 3 2 4 2 3" xfId="12372" xr:uid="{A24AC350-BBAB-4A03-809C-A79C6FA70F6D}"/>
    <cellStyle name="Normal 4 6 3 2 4 2 3 2" xfId="25012" xr:uid="{EA0764BF-3E51-4434-976A-09FB81F60542}"/>
    <cellStyle name="Normal 4 6 3 2 4 2 4" xfId="20801" xr:uid="{EB5561CF-A6DD-42B6-9E0B-41F777B018EA}"/>
    <cellStyle name="Normal 4 6 3 2 4 3" xfId="6016" xr:uid="{00000000-0005-0000-0000-00005F160000}"/>
    <cellStyle name="Normal 4 6 3 2 4 3 2" xfId="14445" xr:uid="{022182BA-869F-477C-9F0F-B54EABAC6E0F}"/>
    <cellStyle name="Normal 4 6 3 2 4 3 3" xfId="27078" xr:uid="{61991A12-4211-4198-8A91-1E7DDE2C9F3B}"/>
    <cellStyle name="Normal 4 6 3 2 4 4" xfId="10227" xr:uid="{2B63E9B5-FD5E-4A66-9E20-C3AD6A56ADED}"/>
    <cellStyle name="Normal 4 6 3 2 4 4 2" xfId="22867" xr:uid="{72C87E1D-948D-4884-B0BD-EA128F1405E0}"/>
    <cellStyle name="Normal 4 6 3 2 4 5" xfId="18656" xr:uid="{DA76B34E-A420-4B62-BB07-78C991D85291}"/>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F71A9869-62E1-439D-86EA-32E74914E8FE}"/>
    <cellStyle name="Normal 4 6 3 2 5 2 2 3" xfId="29636" xr:uid="{A68BA89F-E662-46DE-B68C-4895DF8432ED}"/>
    <cellStyle name="Normal 4 6 3 2 5 2 3" xfId="12785" xr:uid="{FFF567F2-7240-4D12-AF1B-6174EA24570C}"/>
    <cellStyle name="Normal 4 6 3 2 5 2 3 2" xfId="25425" xr:uid="{98EB4370-22F4-4AE9-8146-C9D0211613AA}"/>
    <cellStyle name="Normal 4 6 3 2 5 2 4" xfId="21214" xr:uid="{9657AD23-25C3-45A3-B33A-0B87BF978904}"/>
    <cellStyle name="Normal 4 6 3 2 5 3" xfId="6429" xr:uid="{00000000-0005-0000-0000-000063160000}"/>
    <cellStyle name="Normal 4 6 3 2 5 3 2" xfId="14858" xr:uid="{065B5C9C-B928-47E3-915B-046235FA5228}"/>
    <cellStyle name="Normal 4 6 3 2 5 3 3" xfId="27491" xr:uid="{811C87A5-22F9-4E53-BB89-BE5E60F6F681}"/>
    <cellStyle name="Normal 4 6 3 2 5 4" xfId="10640" xr:uid="{5DE24265-DECC-40D6-9252-DD7434315A90}"/>
    <cellStyle name="Normal 4 6 3 2 5 4 2" xfId="23280" xr:uid="{18C55AD1-1660-4D64-AF2D-A4E2BA9E4C41}"/>
    <cellStyle name="Normal 4 6 3 2 5 5" xfId="19069" xr:uid="{FBE2196D-17BF-4F0A-BF74-C496B505356F}"/>
    <cellStyle name="Normal 4 6 3 2 6" xfId="2557" xr:uid="{00000000-0005-0000-0000-000064160000}"/>
    <cellStyle name="Normal 4 6 3 2 6 2" xfId="6842" xr:uid="{00000000-0005-0000-0000-000065160000}"/>
    <cellStyle name="Normal 4 6 3 2 6 2 2" xfId="15271" xr:uid="{7ECFC42B-2997-4CCE-B691-6DEE398EA191}"/>
    <cellStyle name="Normal 4 6 3 2 6 2 3" xfId="27904" xr:uid="{1C586E1A-3B61-45F0-A279-644C9D001284}"/>
    <cellStyle name="Normal 4 6 3 2 6 3" xfId="11053" xr:uid="{4E2707E4-F559-4006-AC51-5D72727ECD0B}"/>
    <cellStyle name="Normal 4 6 3 2 6 3 2" xfId="23693" xr:uid="{8990E1C2-A397-4C1C-862C-46268652119F}"/>
    <cellStyle name="Normal 4 6 3 2 6 4" xfId="19482" xr:uid="{55DD2DCC-4562-4631-B221-AD7A32AA877B}"/>
    <cellStyle name="Normal 4 6 3 2 7" xfId="4777" xr:uid="{00000000-0005-0000-0000-000066160000}"/>
    <cellStyle name="Normal 4 6 3 2 7 2" xfId="13206" xr:uid="{E0E1A12E-A9C1-4584-8B94-C423D9422133}"/>
    <cellStyle name="Normal 4 6 3 2 7 3" xfId="25839" xr:uid="{CF59F6EF-A360-4AC4-B224-D6618D81C1BD}"/>
    <cellStyle name="Normal 4 6 3 2 8" xfId="8988" xr:uid="{ECD3DEE1-7418-4853-BC10-7B903CBAB0B0}"/>
    <cellStyle name="Normal 4 6 3 2 8 2" xfId="21628" xr:uid="{F1DEE703-C8C0-46D7-9914-55146AB54893}"/>
    <cellStyle name="Normal 4 6 3 2 9" xfId="17417" xr:uid="{1165792A-EAE0-489C-8E32-E4263EA623D3}"/>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66FC737F-358B-4491-9567-C0AFA6D927B1}"/>
    <cellStyle name="Normal 4 6 3 3 2 2 3" xfId="28396" xr:uid="{A8F0DE39-1193-433C-8035-FC21E8DCAD61}"/>
    <cellStyle name="Normal 4 6 3 3 2 3" xfId="11545" xr:uid="{90220FC8-0D5F-4A14-AE45-1BD8A53CA007}"/>
    <cellStyle name="Normal 4 6 3 3 2 3 2" xfId="24185" xr:uid="{FBE6EA47-09DA-45BE-B581-5B5B62FC5687}"/>
    <cellStyle name="Normal 4 6 3 3 2 4" xfId="19974" xr:uid="{13157218-1EAC-4B47-81C8-517E256CA1B8}"/>
    <cellStyle name="Normal 4 6 3 3 3" xfId="5189" xr:uid="{00000000-0005-0000-0000-00006A160000}"/>
    <cellStyle name="Normal 4 6 3 3 3 2" xfId="13618" xr:uid="{D09E969A-D831-4AAA-BE86-38DB449B05EA}"/>
    <cellStyle name="Normal 4 6 3 3 3 3" xfId="26251" xr:uid="{B577AEA5-56BA-46B6-93DB-F9B7926FD9D6}"/>
    <cellStyle name="Normal 4 6 3 3 4" xfId="9400" xr:uid="{41D4E97F-3A05-46CB-A885-A6C9F557A464}"/>
    <cellStyle name="Normal 4 6 3 3 4 2" xfId="22040" xr:uid="{B0F87064-5ABB-4F19-A061-3F1A0DEB0424}"/>
    <cellStyle name="Normal 4 6 3 3 5" xfId="17829" xr:uid="{406C3B0E-A7FD-4D24-8C34-12645A453B35}"/>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0F13A300-C321-4E01-AE09-992DAD8842F5}"/>
    <cellStyle name="Normal 4 6 3 4 2 2 3" xfId="28809" xr:uid="{12307024-A299-44D4-8665-E09383F53B9C}"/>
    <cellStyle name="Normal 4 6 3 4 2 3" xfId="11958" xr:uid="{0F279318-EA27-47FC-8037-4B4B2E97A68E}"/>
    <cellStyle name="Normal 4 6 3 4 2 3 2" xfId="24598" xr:uid="{1B5A8835-E14C-449F-A138-8182D7DD22AD}"/>
    <cellStyle name="Normal 4 6 3 4 2 4" xfId="20387" xr:uid="{336C4AD1-119F-499B-B1B4-4E0188166648}"/>
    <cellStyle name="Normal 4 6 3 4 3" xfId="5602" xr:uid="{00000000-0005-0000-0000-00006E160000}"/>
    <cellStyle name="Normal 4 6 3 4 3 2" xfId="14031" xr:uid="{57E92AC8-F75B-4A7A-A96F-C798300ED3B7}"/>
    <cellStyle name="Normal 4 6 3 4 3 3" xfId="26664" xr:uid="{B8B5952E-5651-4272-87B1-EF00737F6DB4}"/>
    <cellStyle name="Normal 4 6 3 4 4" xfId="9813" xr:uid="{9221E243-A586-4B92-BF2B-3F841C077367}"/>
    <cellStyle name="Normal 4 6 3 4 4 2" xfId="22453" xr:uid="{0F9EE49D-72FE-4DB5-81F3-0087786AFA10}"/>
    <cellStyle name="Normal 4 6 3 4 5" xfId="18242" xr:uid="{474FAF87-0CA4-49E4-8551-CBF281D717C6}"/>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704F2FDB-7DFD-4EC1-8AF8-E7C9D0088DCA}"/>
    <cellStyle name="Normal 4 6 3 5 2 2 3" xfId="29222" xr:uid="{5CE12FA7-A213-44AA-9438-AB2361AC125B}"/>
    <cellStyle name="Normal 4 6 3 5 2 3" xfId="12371" xr:uid="{397A2985-C1C3-4050-AF75-A859E4FD705B}"/>
    <cellStyle name="Normal 4 6 3 5 2 3 2" xfId="25011" xr:uid="{6C1A318A-9239-49A0-AB5D-7D6B6A0D7D01}"/>
    <cellStyle name="Normal 4 6 3 5 2 4" xfId="20800" xr:uid="{2C5C1794-B085-422F-B88D-42E075333639}"/>
    <cellStyle name="Normal 4 6 3 5 3" xfId="6015" xr:uid="{00000000-0005-0000-0000-000072160000}"/>
    <cellStyle name="Normal 4 6 3 5 3 2" xfId="14444" xr:uid="{22695CC0-6961-4E97-9337-8C1238B49555}"/>
    <cellStyle name="Normal 4 6 3 5 3 3" xfId="27077" xr:uid="{3C608E0D-7A3B-4EE9-8FC0-CAD9AE8560C5}"/>
    <cellStyle name="Normal 4 6 3 5 4" xfId="10226" xr:uid="{D3FE608E-E727-4719-B2F7-9AD371E4DA03}"/>
    <cellStyle name="Normal 4 6 3 5 4 2" xfId="22866" xr:uid="{CFE57DD6-DBC4-456D-9061-04425F27BC72}"/>
    <cellStyle name="Normal 4 6 3 5 5" xfId="18655" xr:uid="{DC8A7722-05A3-4464-9618-48E82CF0E363}"/>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EFB661B1-85B4-4EA8-B5C7-6DC5DF069F00}"/>
    <cellStyle name="Normal 4 6 3 6 2 2 3" xfId="29635" xr:uid="{0378A001-BE2F-4F91-B4D7-FA9B3CA19A13}"/>
    <cellStyle name="Normal 4 6 3 6 2 3" xfId="12784" xr:uid="{580D2228-85E2-4A27-A164-6A60BED55A4B}"/>
    <cellStyle name="Normal 4 6 3 6 2 3 2" xfId="25424" xr:uid="{B2D8ABBE-94B8-4A6B-AF1D-90187B331B0C}"/>
    <cellStyle name="Normal 4 6 3 6 2 4" xfId="21213" xr:uid="{AC9AB653-FB2D-4951-AD6B-A167FF7854D0}"/>
    <cellStyle name="Normal 4 6 3 6 3" xfId="6428" xr:uid="{00000000-0005-0000-0000-000076160000}"/>
    <cellStyle name="Normal 4 6 3 6 3 2" xfId="14857" xr:uid="{6E8345F1-E021-4AE6-A12C-377859025BFF}"/>
    <cellStyle name="Normal 4 6 3 6 3 3" xfId="27490" xr:uid="{7C517803-AA57-43E5-992F-634300E6C55B}"/>
    <cellStyle name="Normal 4 6 3 6 4" xfId="10639" xr:uid="{B967C21E-DDFA-4D93-83CC-7F644C67E514}"/>
    <cellStyle name="Normal 4 6 3 6 4 2" xfId="23279" xr:uid="{9798246C-67F8-4A75-B6F6-CE48B21FF48B}"/>
    <cellStyle name="Normal 4 6 3 6 5" xfId="19068" xr:uid="{59B52A0F-838D-4109-B8DD-F0C5AE9B5B6C}"/>
    <cellStyle name="Normal 4 6 3 7" xfId="2556" xr:uid="{00000000-0005-0000-0000-000077160000}"/>
    <cellStyle name="Normal 4 6 3 7 2" xfId="6841" xr:uid="{00000000-0005-0000-0000-000078160000}"/>
    <cellStyle name="Normal 4 6 3 7 2 2" xfId="15270" xr:uid="{581E0C2B-6E85-4FBF-874C-90CA02D34CB7}"/>
    <cellStyle name="Normal 4 6 3 7 2 3" xfId="27903" xr:uid="{638B00C9-EE51-46C8-9E40-D7D8A39DD2DE}"/>
    <cellStyle name="Normal 4 6 3 7 3" xfId="11052" xr:uid="{035F70AC-8C30-4276-B43C-775AD2FAB63F}"/>
    <cellStyle name="Normal 4 6 3 7 3 2" xfId="23692" xr:uid="{28BB448D-FB33-409F-A592-04385050D25D}"/>
    <cellStyle name="Normal 4 6 3 7 4" xfId="19481" xr:uid="{C866FA65-482F-4F8A-ADAC-8B6C2B2CC8B7}"/>
    <cellStyle name="Normal 4 6 3 8" xfId="4776" xr:uid="{00000000-0005-0000-0000-000079160000}"/>
    <cellStyle name="Normal 4 6 3 8 2" xfId="13205" xr:uid="{B660BED4-87B7-4827-BDD2-5192A54C7A38}"/>
    <cellStyle name="Normal 4 6 3 8 3" xfId="25838" xr:uid="{46DD9F95-58D6-41E9-A654-83FBAF3AADF7}"/>
    <cellStyle name="Normal 4 6 3 9" xfId="8987" xr:uid="{2C06865B-C8BF-4BAB-9433-6F6C710D89CE}"/>
    <cellStyle name="Normal 4 6 3 9 2" xfId="21627" xr:uid="{A39E4793-9CFE-46B3-B5BF-B345BA41736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02259BF1-4446-4F0F-9625-F3C9B0B05E4D}"/>
    <cellStyle name="Normal 4 6 4 2 2 2 3" xfId="28398" xr:uid="{311EA545-4D59-49C4-A98D-2F276C02F98F}"/>
    <cellStyle name="Normal 4 6 4 2 2 3" xfId="11547" xr:uid="{966CF6B2-D841-45A7-9A50-4AAFE61B2F0E}"/>
    <cellStyle name="Normal 4 6 4 2 2 3 2" xfId="24187" xr:uid="{4099F18B-9699-4806-96A2-ED007B7D190E}"/>
    <cellStyle name="Normal 4 6 4 2 2 4" xfId="19976" xr:uid="{8130ACDE-B928-4601-A2B8-D7C8FEBDEC63}"/>
    <cellStyle name="Normal 4 6 4 2 3" xfId="5191" xr:uid="{00000000-0005-0000-0000-00007E160000}"/>
    <cellStyle name="Normal 4 6 4 2 3 2" xfId="13620" xr:uid="{E2295808-149D-4138-9E4E-37C5820C8B7B}"/>
    <cellStyle name="Normal 4 6 4 2 3 3" xfId="26253" xr:uid="{D518FFC6-60FD-4D22-8448-09DEEE12E435}"/>
    <cellStyle name="Normal 4 6 4 2 4" xfId="9402" xr:uid="{4AEC6964-F2D9-452E-9E96-3F3DF196491F}"/>
    <cellStyle name="Normal 4 6 4 2 4 2" xfId="22042" xr:uid="{60339E08-9DCD-4ABC-93BE-ED04BD292848}"/>
    <cellStyle name="Normal 4 6 4 2 5" xfId="17831" xr:uid="{E0E83B91-696D-4036-B0DF-F71E2F5CD39E}"/>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990649BF-1288-476D-A4FC-6574603BD7FB}"/>
    <cellStyle name="Normal 4 6 4 3 2 2 3" xfId="28811" xr:uid="{034A2AD7-AD2B-47E7-B23E-A2D3A7003ACC}"/>
    <cellStyle name="Normal 4 6 4 3 2 3" xfId="11960" xr:uid="{20E1C38A-1F01-4FBD-A2D0-FB7BD6395F7C}"/>
    <cellStyle name="Normal 4 6 4 3 2 3 2" xfId="24600" xr:uid="{3E40B094-4C28-464F-8433-FBF1133A2EC4}"/>
    <cellStyle name="Normal 4 6 4 3 2 4" xfId="20389" xr:uid="{9ACCD60F-40E8-4623-8E7E-A50CF2072101}"/>
    <cellStyle name="Normal 4 6 4 3 3" xfId="5604" xr:uid="{00000000-0005-0000-0000-000082160000}"/>
    <cellStyle name="Normal 4 6 4 3 3 2" xfId="14033" xr:uid="{0385B764-FBED-4E96-AD8C-5A6AC48C4005}"/>
    <cellStyle name="Normal 4 6 4 3 3 3" xfId="26666" xr:uid="{A9F04331-4518-4ED1-955F-473F53ECF70F}"/>
    <cellStyle name="Normal 4 6 4 3 4" xfId="9815" xr:uid="{BA9372EF-D3D4-445A-A0A2-6BF27B0D8A0E}"/>
    <cellStyle name="Normal 4 6 4 3 4 2" xfId="22455" xr:uid="{C0106723-4733-4C71-A098-9AC076B26F1C}"/>
    <cellStyle name="Normal 4 6 4 3 5" xfId="18244" xr:uid="{A8409268-7C54-437B-913E-C5C366686830}"/>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9AD37EDF-F4D8-4DD5-9734-59E40F5693E1}"/>
    <cellStyle name="Normal 4 6 4 4 2 2 3" xfId="29224" xr:uid="{8DCBF8DC-C536-44C0-B761-4226CE83B6E1}"/>
    <cellStyle name="Normal 4 6 4 4 2 3" xfId="12373" xr:uid="{1871B3F1-65CB-4945-985F-55841777183D}"/>
    <cellStyle name="Normal 4 6 4 4 2 3 2" xfId="25013" xr:uid="{66BDF074-6DDC-40CB-A419-8C744C4799E6}"/>
    <cellStyle name="Normal 4 6 4 4 2 4" xfId="20802" xr:uid="{B5969E8D-47FC-489D-A708-E90927ED6FF9}"/>
    <cellStyle name="Normal 4 6 4 4 3" xfId="6017" xr:uid="{00000000-0005-0000-0000-000086160000}"/>
    <cellStyle name="Normal 4 6 4 4 3 2" xfId="14446" xr:uid="{EFBEBF1A-2DB3-4F8F-8949-26A658DE6D6D}"/>
    <cellStyle name="Normal 4 6 4 4 3 3" xfId="27079" xr:uid="{B8AFF8EE-10E4-43F9-8718-82CBEA40437A}"/>
    <cellStyle name="Normal 4 6 4 4 4" xfId="10228" xr:uid="{FF24064C-E1C8-4C0F-9898-4EA010120373}"/>
    <cellStyle name="Normal 4 6 4 4 4 2" xfId="22868" xr:uid="{C06089A8-D886-4AD4-8A71-010E5AF97260}"/>
    <cellStyle name="Normal 4 6 4 4 5" xfId="18657" xr:uid="{1A586C91-80E3-41BF-84E2-55AC931CEAA1}"/>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68AE1337-61D4-4DC9-A699-AF8B79A74BE0}"/>
    <cellStyle name="Normal 4 6 4 5 2 2 3" xfId="29637" xr:uid="{8115BF03-A4C9-4BE4-9F33-64B937B0F43C}"/>
    <cellStyle name="Normal 4 6 4 5 2 3" xfId="12786" xr:uid="{87FDB72F-A1D4-4522-91C2-35DA59F8D198}"/>
    <cellStyle name="Normal 4 6 4 5 2 3 2" xfId="25426" xr:uid="{DF0E2BD1-77B6-4D57-AED2-7ECDC5D4A2D9}"/>
    <cellStyle name="Normal 4 6 4 5 2 4" xfId="21215" xr:uid="{2BD5EE89-B60E-412E-BCEA-89F56192B3A1}"/>
    <cellStyle name="Normal 4 6 4 5 3" xfId="6430" xr:uid="{00000000-0005-0000-0000-00008A160000}"/>
    <cellStyle name="Normal 4 6 4 5 3 2" xfId="14859" xr:uid="{7CBCA669-E2C0-4961-BD7D-E156683C4B9A}"/>
    <cellStyle name="Normal 4 6 4 5 3 3" xfId="27492" xr:uid="{4431F558-C922-40D6-B7D7-7CCC54BAA827}"/>
    <cellStyle name="Normal 4 6 4 5 4" xfId="10641" xr:uid="{31EC4B1C-5502-4BE3-9333-3ECADBDE9360}"/>
    <cellStyle name="Normal 4 6 4 5 4 2" xfId="23281" xr:uid="{B21D03B7-F6A9-452B-934D-64EF0FFD088C}"/>
    <cellStyle name="Normal 4 6 4 5 5" xfId="19070" xr:uid="{F082B56A-CCEE-43C8-A177-BA985D9FBC47}"/>
    <cellStyle name="Normal 4 6 4 6" xfId="2558" xr:uid="{00000000-0005-0000-0000-00008B160000}"/>
    <cellStyle name="Normal 4 6 4 6 2" xfId="6843" xr:uid="{00000000-0005-0000-0000-00008C160000}"/>
    <cellStyle name="Normal 4 6 4 6 2 2" xfId="15272" xr:uid="{47E19B80-BEB9-48B8-B5B9-61DFEED42336}"/>
    <cellStyle name="Normal 4 6 4 6 2 3" xfId="27905" xr:uid="{309146C5-6954-42EF-8675-14B4912AAE80}"/>
    <cellStyle name="Normal 4 6 4 6 3" xfId="11054" xr:uid="{1F0524E0-AFB3-4EB6-86E4-15248CE1AC8A}"/>
    <cellStyle name="Normal 4 6 4 6 3 2" xfId="23694" xr:uid="{0415DFBD-FF94-4680-AA44-446507F2B26B}"/>
    <cellStyle name="Normal 4 6 4 6 4" xfId="19483" xr:uid="{6DC85AC0-37A2-4F85-9ED2-CADC24548225}"/>
    <cellStyle name="Normal 4 6 4 7" xfId="4778" xr:uid="{00000000-0005-0000-0000-00008D160000}"/>
    <cellStyle name="Normal 4 6 4 7 2" xfId="13207" xr:uid="{38796236-3691-44E3-9706-460132841AF5}"/>
    <cellStyle name="Normal 4 6 4 7 3" xfId="25840" xr:uid="{FBFFFBD8-3C8F-48D3-9AC4-FD9AC928FE18}"/>
    <cellStyle name="Normal 4 6 4 8" xfId="8989" xr:uid="{A4AE8E22-90DA-480C-B27E-DC7750E29100}"/>
    <cellStyle name="Normal 4 6 4 8 2" xfId="21629" xr:uid="{C8784468-96F5-4482-997A-1D6FCA0EC25C}"/>
    <cellStyle name="Normal 4 6 4 9" xfId="17418" xr:uid="{03CF1FEC-83A8-4805-AB57-5D1E99EE5BDF}"/>
    <cellStyle name="Normal 4 6 5" xfId="870" xr:uid="{00000000-0005-0000-0000-00008E160000}"/>
    <cellStyle name="Normal 4 6 5 2" xfId="3105" xr:uid="{00000000-0005-0000-0000-00008F160000}"/>
    <cellStyle name="Normal 4 6 5 2 2" xfId="7329" xr:uid="{00000000-0005-0000-0000-000090160000}"/>
    <cellStyle name="Normal 4 6 5 2 2 2" xfId="15758" xr:uid="{AFED81ED-E051-40C6-93F6-B5B42565205B}"/>
    <cellStyle name="Normal 4 6 5 2 2 3" xfId="28391" xr:uid="{75CA793F-0806-4202-8236-050551775337}"/>
    <cellStyle name="Normal 4 6 5 2 3" xfId="11540" xr:uid="{6D84EAC4-3F2F-4AF9-9F66-ADE429F4053C}"/>
    <cellStyle name="Normal 4 6 5 2 3 2" xfId="24180" xr:uid="{D0293681-3FD9-4CCB-BC4E-BEA5C3123536}"/>
    <cellStyle name="Normal 4 6 5 2 4" xfId="19969" xr:uid="{8DA87C2E-05B4-4BA0-9C78-EC719CDCE7CA}"/>
    <cellStyle name="Normal 4 6 5 3" xfId="5184" xr:uid="{00000000-0005-0000-0000-000091160000}"/>
    <cellStyle name="Normal 4 6 5 3 2" xfId="13613" xr:uid="{EFE03295-395D-4180-BD8B-BFEBB16AA132}"/>
    <cellStyle name="Normal 4 6 5 3 3" xfId="26246" xr:uid="{BCC31CD9-78E7-4C1C-BC05-B75275235B87}"/>
    <cellStyle name="Normal 4 6 5 4" xfId="9395" xr:uid="{9754D72B-3706-4D3C-916A-6FD6A0A6784F}"/>
    <cellStyle name="Normal 4 6 5 4 2" xfId="22035" xr:uid="{CA772F7F-7214-46EF-A83F-EFB85B314022}"/>
    <cellStyle name="Normal 4 6 5 5" xfId="17824" xr:uid="{E1CCFE9F-EB36-4A95-8855-34DEF6EE03D5}"/>
    <cellStyle name="Normal 4 6 6" xfId="1288" xr:uid="{00000000-0005-0000-0000-000092160000}"/>
    <cellStyle name="Normal 4 6 6 2" xfId="3518" xr:uid="{00000000-0005-0000-0000-000093160000}"/>
    <cellStyle name="Normal 4 6 6 2 2" xfId="7742" xr:uid="{00000000-0005-0000-0000-000094160000}"/>
    <cellStyle name="Normal 4 6 6 2 2 2" xfId="16171" xr:uid="{00FEA23E-7147-4252-9442-F538F21EF500}"/>
    <cellStyle name="Normal 4 6 6 2 2 3" xfId="28804" xr:uid="{B7CF7388-02B2-4E42-A155-792DBE3E1BF0}"/>
    <cellStyle name="Normal 4 6 6 2 3" xfId="11953" xr:uid="{5C274F2B-A8D4-4CAF-BA5C-C9F7C18175AA}"/>
    <cellStyle name="Normal 4 6 6 2 3 2" xfId="24593" xr:uid="{BEE0C221-F2F2-4D6E-AB36-75864C241A3A}"/>
    <cellStyle name="Normal 4 6 6 2 4" xfId="20382" xr:uid="{BD4577EC-7D1F-48AF-BBF4-0549EC2A0D65}"/>
    <cellStyle name="Normal 4 6 6 3" xfId="5597" xr:uid="{00000000-0005-0000-0000-000095160000}"/>
    <cellStyle name="Normal 4 6 6 3 2" xfId="14026" xr:uid="{B531903A-FAB7-4FC8-A18A-6DD57D56D9DD}"/>
    <cellStyle name="Normal 4 6 6 3 3" xfId="26659" xr:uid="{D2C7DB3A-7851-4176-8214-499FCDD803F7}"/>
    <cellStyle name="Normal 4 6 6 4" xfId="9808" xr:uid="{8C1414AC-ED3F-4C6F-8295-D05CA194FC66}"/>
    <cellStyle name="Normal 4 6 6 4 2" xfId="22448" xr:uid="{6B74ADA6-C3E1-463D-9F05-BBCFE66D9EDF}"/>
    <cellStyle name="Normal 4 6 6 5" xfId="18237" xr:uid="{46FF6371-0E65-458A-B8AE-26DFE1DCC8FD}"/>
    <cellStyle name="Normal 4 6 7" xfId="1701" xr:uid="{00000000-0005-0000-0000-000096160000}"/>
    <cellStyle name="Normal 4 6 7 2" xfId="3931" xr:uid="{00000000-0005-0000-0000-000097160000}"/>
    <cellStyle name="Normal 4 6 7 2 2" xfId="8155" xr:uid="{00000000-0005-0000-0000-000098160000}"/>
    <cellStyle name="Normal 4 6 7 2 2 2" xfId="16584" xr:uid="{4E136C32-12D1-4308-A0E3-CAAFCCF75751}"/>
    <cellStyle name="Normal 4 6 7 2 2 3" xfId="29217" xr:uid="{1F042465-B131-44F2-8832-2A18411806C3}"/>
    <cellStyle name="Normal 4 6 7 2 3" xfId="12366" xr:uid="{9A47FD76-3BEE-4869-A69A-C32B95737561}"/>
    <cellStyle name="Normal 4 6 7 2 3 2" xfId="25006" xr:uid="{906A3346-A289-4DF6-BCE7-B3CCD2608A9A}"/>
    <cellStyle name="Normal 4 6 7 2 4" xfId="20795" xr:uid="{330B5003-C96A-4A56-A964-AF26CE2478C9}"/>
    <cellStyle name="Normal 4 6 7 3" xfId="6010" xr:uid="{00000000-0005-0000-0000-000099160000}"/>
    <cellStyle name="Normal 4 6 7 3 2" xfId="14439" xr:uid="{2FBFC9F4-4B31-492F-AD11-359F2BD1C8B8}"/>
    <cellStyle name="Normal 4 6 7 3 3" xfId="27072" xr:uid="{D1BAD594-5D0D-4DED-B5B5-521F02171215}"/>
    <cellStyle name="Normal 4 6 7 4" xfId="10221" xr:uid="{E3EF9F02-215C-4561-9E71-88873B903776}"/>
    <cellStyle name="Normal 4 6 7 4 2" xfId="22861" xr:uid="{265425CC-BC10-41E5-B944-D264FA1C240F}"/>
    <cellStyle name="Normal 4 6 7 5" xfId="18650" xr:uid="{8CE6F636-8898-446F-8223-6AF4B85BDB8D}"/>
    <cellStyle name="Normal 4 6 8" xfId="2115" xr:uid="{00000000-0005-0000-0000-00009A160000}"/>
    <cellStyle name="Normal 4 6 8 2" xfId="4344" xr:uid="{00000000-0005-0000-0000-00009B160000}"/>
    <cellStyle name="Normal 4 6 8 2 2" xfId="8568" xr:uid="{00000000-0005-0000-0000-00009C160000}"/>
    <cellStyle name="Normal 4 6 8 2 2 2" xfId="16997" xr:uid="{59D4F7C4-7CED-4439-8727-933ADBCB5A5A}"/>
    <cellStyle name="Normal 4 6 8 2 2 3" xfId="29630" xr:uid="{F1D22D3A-E33C-44BC-A9B8-8F16FAC84030}"/>
    <cellStyle name="Normal 4 6 8 2 3" xfId="12779" xr:uid="{C5EEF36F-AB8B-497F-9FB7-6FE6B202E7F0}"/>
    <cellStyle name="Normal 4 6 8 2 3 2" xfId="25419" xr:uid="{E4E5F43A-BBA8-4295-B706-48DCD0DC507D}"/>
    <cellStyle name="Normal 4 6 8 2 4" xfId="21208" xr:uid="{00F8C6BF-3BB9-4834-B1F2-76DEB99B243D}"/>
    <cellStyle name="Normal 4 6 8 3" xfId="6423" xr:uid="{00000000-0005-0000-0000-00009D160000}"/>
    <cellStyle name="Normal 4 6 8 3 2" xfId="14852" xr:uid="{25EB8383-9A90-4DFC-B54A-C869BCBE41CC}"/>
    <cellStyle name="Normal 4 6 8 3 3" xfId="27485" xr:uid="{45E8CC1B-56D8-4F51-AA0D-AA8E386D47AB}"/>
    <cellStyle name="Normal 4 6 8 4" xfId="10634" xr:uid="{F26FD34A-1965-486D-9B9F-C1FF56A2F048}"/>
    <cellStyle name="Normal 4 6 8 4 2" xfId="23274" xr:uid="{1819A18D-3387-41D9-9E15-0D3E20546626}"/>
    <cellStyle name="Normal 4 6 8 5" xfId="19063" xr:uid="{4F9559CE-6B00-40AA-940D-3DBD9F885704}"/>
    <cellStyle name="Normal 4 6 9" xfId="2551" xr:uid="{00000000-0005-0000-0000-00009E160000}"/>
    <cellStyle name="Normal 4 6 9 2" xfId="6836" xr:uid="{00000000-0005-0000-0000-00009F160000}"/>
    <cellStyle name="Normal 4 6 9 2 2" xfId="15265" xr:uid="{213D8E86-19B8-4D94-97B9-41F367826498}"/>
    <cellStyle name="Normal 4 6 9 2 3" xfId="27898" xr:uid="{8031C310-1A0D-4694-AD13-415A1E271D35}"/>
    <cellStyle name="Normal 4 6 9 3" xfId="11047" xr:uid="{CB53673B-8A93-4E2A-B09D-694C924CEDC1}"/>
    <cellStyle name="Normal 4 6 9 3 2" xfId="23687" xr:uid="{FF479FE0-212F-42B6-94A1-915700549209}"/>
    <cellStyle name="Normal 4 6 9 4" xfId="19476" xr:uid="{D76CF91D-D977-41D4-B1D6-0DC535AAC2E6}"/>
    <cellStyle name="Normal 4 7" xfId="403" xr:uid="{00000000-0005-0000-0000-0000A0160000}"/>
    <cellStyle name="Normal 4 7 10" xfId="17419" xr:uid="{B9DC04B1-EFC0-4D98-9F48-A89541B4BB41}"/>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2B6C662D-939D-4893-A9EA-ED6F9386DA9C}"/>
    <cellStyle name="Normal 4 7 2 2 2 2 3" xfId="28400" xr:uid="{72A49F70-2597-465A-A39F-955432DA6BD1}"/>
    <cellStyle name="Normal 4 7 2 2 2 3" xfId="11549" xr:uid="{2B83DC43-1010-4342-95CB-8A77C8DE371D}"/>
    <cellStyle name="Normal 4 7 2 2 2 3 2" xfId="24189" xr:uid="{26BDDE29-E66D-4A8E-851D-C52D0337AAA6}"/>
    <cellStyle name="Normal 4 7 2 2 2 4" xfId="19978" xr:uid="{5D143764-5F77-4BB5-B2BF-F4E25FA8BA9D}"/>
    <cellStyle name="Normal 4 7 2 2 3" xfId="5193" xr:uid="{00000000-0005-0000-0000-0000A5160000}"/>
    <cellStyle name="Normal 4 7 2 2 3 2" xfId="13622" xr:uid="{7DA4F2F6-2424-46F1-A9AF-B92261AFD947}"/>
    <cellStyle name="Normal 4 7 2 2 3 3" xfId="26255" xr:uid="{465E0FB4-E7C0-41E3-8B84-5E3B410B431F}"/>
    <cellStyle name="Normal 4 7 2 2 4" xfId="9404" xr:uid="{DD1269D0-EBED-47AA-8EA4-3FA1CE1B6170}"/>
    <cellStyle name="Normal 4 7 2 2 4 2" xfId="22044" xr:uid="{6ED30AC1-2355-4F8C-97A3-D463FC7E2A47}"/>
    <cellStyle name="Normal 4 7 2 2 5" xfId="17833" xr:uid="{E798ABF0-9CD3-4CA4-8523-9465FCB32832}"/>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DC895E1C-A416-4890-8DE2-131C9082B392}"/>
    <cellStyle name="Normal 4 7 2 3 2 2 3" xfId="28813" xr:uid="{F6FDCDD3-DCCC-4FAC-A8A1-986FFC727DF0}"/>
    <cellStyle name="Normal 4 7 2 3 2 3" xfId="11962" xr:uid="{6CF6DDD8-03BC-4A4F-ABA7-6769EDDBD4F7}"/>
    <cellStyle name="Normal 4 7 2 3 2 3 2" xfId="24602" xr:uid="{D3140762-59DA-4502-8025-298FE0B9800D}"/>
    <cellStyle name="Normal 4 7 2 3 2 4" xfId="20391" xr:uid="{6739AE5B-D96B-4DB2-AA03-725013B8B37B}"/>
    <cellStyle name="Normal 4 7 2 3 3" xfId="5606" xr:uid="{00000000-0005-0000-0000-0000A9160000}"/>
    <cellStyle name="Normal 4 7 2 3 3 2" xfId="14035" xr:uid="{B08FD9C0-EE02-4862-A4F3-278FAFA1E165}"/>
    <cellStyle name="Normal 4 7 2 3 3 3" xfId="26668" xr:uid="{BFC48360-F88E-45E5-B597-F3437428DF50}"/>
    <cellStyle name="Normal 4 7 2 3 4" xfId="9817" xr:uid="{A0786B93-0906-4E7A-BC62-84992E4F845C}"/>
    <cellStyle name="Normal 4 7 2 3 4 2" xfId="22457" xr:uid="{1244C777-78D7-42B5-AF86-224FD70D4791}"/>
    <cellStyle name="Normal 4 7 2 3 5" xfId="18246" xr:uid="{C4C4802E-8CA4-4076-B1ED-9E5845DE1A77}"/>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30CD4EE2-985F-4147-88BF-1DFCB4207298}"/>
    <cellStyle name="Normal 4 7 2 4 2 2 3" xfId="29226" xr:uid="{ADD0FC59-0E61-4A16-A784-5235C84F5ADF}"/>
    <cellStyle name="Normal 4 7 2 4 2 3" xfId="12375" xr:uid="{76BE93CF-FBF5-48B4-960E-258CBF0DCE1C}"/>
    <cellStyle name="Normal 4 7 2 4 2 3 2" xfId="25015" xr:uid="{0A2DD58B-C215-4F45-B17C-E383E48D473F}"/>
    <cellStyle name="Normal 4 7 2 4 2 4" xfId="20804" xr:uid="{FEEF445A-01B2-4359-B91E-4FB7CF379BD9}"/>
    <cellStyle name="Normal 4 7 2 4 3" xfId="6019" xr:uid="{00000000-0005-0000-0000-0000AD160000}"/>
    <cellStyle name="Normal 4 7 2 4 3 2" xfId="14448" xr:uid="{84F681FD-B9B9-4884-808E-8916B3C6F6AA}"/>
    <cellStyle name="Normal 4 7 2 4 3 3" xfId="27081" xr:uid="{C8F244C5-AB9E-48A7-8B46-7E7D2DC6D116}"/>
    <cellStyle name="Normal 4 7 2 4 4" xfId="10230" xr:uid="{451495A4-026D-4389-9FED-890955DE239B}"/>
    <cellStyle name="Normal 4 7 2 4 4 2" xfId="22870" xr:uid="{B866C542-5D27-4B86-8126-7864DCCED26D}"/>
    <cellStyle name="Normal 4 7 2 4 5" xfId="18659" xr:uid="{D16929A9-D645-4B4E-8766-26CF804F81A3}"/>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B891998E-0083-4053-B6AD-E82D82F624C9}"/>
    <cellStyle name="Normal 4 7 2 5 2 2 3" xfId="29639" xr:uid="{D5D51F07-63E4-4323-BEA7-B720EBC8FCA3}"/>
    <cellStyle name="Normal 4 7 2 5 2 3" xfId="12788" xr:uid="{C200927B-F535-4BAE-A97C-0FECD7D7B704}"/>
    <cellStyle name="Normal 4 7 2 5 2 3 2" xfId="25428" xr:uid="{FB3965A6-D12F-411D-AD7C-534F42F07EB0}"/>
    <cellStyle name="Normal 4 7 2 5 2 4" xfId="21217" xr:uid="{D871565B-907C-46AC-9C19-A4DB030B75BE}"/>
    <cellStyle name="Normal 4 7 2 5 3" xfId="6432" xr:uid="{00000000-0005-0000-0000-0000B1160000}"/>
    <cellStyle name="Normal 4 7 2 5 3 2" xfId="14861" xr:uid="{D144FCF6-19B6-415A-B9BB-33192D3F0E95}"/>
    <cellStyle name="Normal 4 7 2 5 3 3" xfId="27494" xr:uid="{EF29C540-DBC2-49B9-B588-D2C0CE8530BA}"/>
    <cellStyle name="Normal 4 7 2 5 4" xfId="10643" xr:uid="{689F31A4-6196-4E5B-A322-054C46C7702C}"/>
    <cellStyle name="Normal 4 7 2 5 4 2" xfId="23283" xr:uid="{D0F7255D-261B-40E9-BF17-ED1F9B5D6FCF}"/>
    <cellStyle name="Normal 4 7 2 5 5" xfId="19072" xr:uid="{AF1609ED-7B5B-4ACA-9AC9-E5EEBC262B5B}"/>
    <cellStyle name="Normal 4 7 2 6" xfId="2560" xr:uid="{00000000-0005-0000-0000-0000B2160000}"/>
    <cellStyle name="Normal 4 7 2 6 2" xfId="6845" xr:uid="{00000000-0005-0000-0000-0000B3160000}"/>
    <cellStyle name="Normal 4 7 2 6 2 2" xfId="15274" xr:uid="{FA452072-6AD9-4532-88B4-49B34C6CCDFC}"/>
    <cellStyle name="Normal 4 7 2 6 2 3" xfId="27907" xr:uid="{77D58871-6EFC-4408-9391-FF1F2C865CA1}"/>
    <cellStyle name="Normal 4 7 2 6 3" xfId="11056" xr:uid="{571FC561-4E04-4A05-B491-5EEF10E1482F}"/>
    <cellStyle name="Normal 4 7 2 6 3 2" xfId="23696" xr:uid="{AC04CC16-77B4-46A7-A294-88076A80277F}"/>
    <cellStyle name="Normal 4 7 2 6 4" xfId="19485" xr:uid="{B59C4131-1022-4F9E-9964-FD4592E12272}"/>
    <cellStyle name="Normal 4 7 2 7" xfId="4780" xr:uid="{00000000-0005-0000-0000-0000B4160000}"/>
    <cellStyle name="Normal 4 7 2 7 2" xfId="13209" xr:uid="{EBEDA91E-EB64-4856-80BE-4CC4E3647898}"/>
    <cellStyle name="Normal 4 7 2 7 3" xfId="25842" xr:uid="{DD077A6F-13A2-4CE0-8B7A-3284523D34BD}"/>
    <cellStyle name="Normal 4 7 2 8" xfId="8991" xr:uid="{7B5FDAE1-8328-4026-A717-D9ED19F15530}"/>
    <cellStyle name="Normal 4 7 2 8 2" xfId="21631" xr:uid="{A172DEDA-DEC6-4716-8B4E-7564093E8EE3}"/>
    <cellStyle name="Normal 4 7 2 9" xfId="17420" xr:uid="{46119259-55E0-4548-A7CE-14B97C7D77AC}"/>
    <cellStyle name="Normal 4 7 3" xfId="878" xr:uid="{00000000-0005-0000-0000-0000B5160000}"/>
    <cellStyle name="Normal 4 7 3 2" xfId="3113" xr:uid="{00000000-0005-0000-0000-0000B6160000}"/>
    <cellStyle name="Normal 4 7 3 2 2" xfId="7337" xr:uid="{00000000-0005-0000-0000-0000B7160000}"/>
    <cellStyle name="Normal 4 7 3 2 2 2" xfId="15766" xr:uid="{26A3A999-AC7E-4295-A6A3-796FC32AE3CE}"/>
    <cellStyle name="Normal 4 7 3 2 2 3" xfId="28399" xr:uid="{2268122D-51F6-4EF8-91D4-BCEA40B39BAF}"/>
    <cellStyle name="Normal 4 7 3 2 3" xfId="11548" xr:uid="{583858A7-B300-403F-965C-68165F1B5AC7}"/>
    <cellStyle name="Normal 4 7 3 2 3 2" xfId="24188" xr:uid="{D1AA66A7-EDBF-4ECE-8BC1-60CFDF85117F}"/>
    <cellStyle name="Normal 4 7 3 2 4" xfId="19977" xr:uid="{9DBC47D6-1567-4C9C-8C73-2676EA47B79A}"/>
    <cellStyle name="Normal 4 7 3 3" xfId="5192" xr:uid="{00000000-0005-0000-0000-0000B8160000}"/>
    <cellStyle name="Normal 4 7 3 3 2" xfId="13621" xr:uid="{85EB2D73-33C0-4F3E-A237-1F10E6A99C81}"/>
    <cellStyle name="Normal 4 7 3 3 3" xfId="26254" xr:uid="{AB25A1AD-B6B4-4E48-BB65-6BFD614FB5BA}"/>
    <cellStyle name="Normal 4 7 3 4" xfId="9403" xr:uid="{5DF78431-2336-4D00-B20C-DF099FEBE23B}"/>
    <cellStyle name="Normal 4 7 3 4 2" xfId="22043" xr:uid="{E0406006-D00A-4006-BE1A-6B81BDA920AD}"/>
    <cellStyle name="Normal 4 7 3 5" xfId="17832" xr:uid="{9E262A1D-97F6-49C2-AFEC-D78FF27E753F}"/>
    <cellStyle name="Normal 4 7 4" xfId="1296" xr:uid="{00000000-0005-0000-0000-0000B9160000}"/>
    <cellStyle name="Normal 4 7 4 2" xfId="3526" xr:uid="{00000000-0005-0000-0000-0000BA160000}"/>
    <cellStyle name="Normal 4 7 4 2 2" xfId="7750" xr:uid="{00000000-0005-0000-0000-0000BB160000}"/>
    <cellStyle name="Normal 4 7 4 2 2 2" xfId="16179" xr:uid="{11F77E39-69D3-47EB-AEF7-330C5F088586}"/>
    <cellStyle name="Normal 4 7 4 2 2 3" xfId="28812" xr:uid="{6CCB67B6-2DA3-4D16-977B-6B47FBA1AE4B}"/>
    <cellStyle name="Normal 4 7 4 2 3" xfId="11961" xr:uid="{4D3D86D9-9CA4-4B00-BE9C-7FDFEF32F0A8}"/>
    <cellStyle name="Normal 4 7 4 2 3 2" xfId="24601" xr:uid="{E83A43F6-1272-4FB4-904C-D7960670FB15}"/>
    <cellStyle name="Normal 4 7 4 2 4" xfId="20390" xr:uid="{93484037-A4C5-4EF7-B3B3-516EC00E8095}"/>
    <cellStyle name="Normal 4 7 4 3" xfId="5605" xr:uid="{00000000-0005-0000-0000-0000BC160000}"/>
    <cellStyle name="Normal 4 7 4 3 2" xfId="14034" xr:uid="{815261CC-BEB2-4178-8E44-C52BB2E12062}"/>
    <cellStyle name="Normal 4 7 4 3 3" xfId="26667" xr:uid="{78FA5B94-654E-468D-908C-65416DFAB3D8}"/>
    <cellStyle name="Normal 4 7 4 4" xfId="9816" xr:uid="{B964608E-3028-4E4A-89BB-783EB6884A1F}"/>
    <cellStyle name="Normal 4 7 4 4 2" xfId="22456" xr:uid="{2AEECC23-F043-4B5C-89FE-227D3B719EBA}"/>
    <cellStyle name="Normal 4 7 4 5" xfId="18245" xr:uid="{329C3DF2-2B0C-4E3A-9348-E18533C627DB}"/>
    <cellStyle name="Normal 4 7 5" xfId="1709" xr:uid="{00000000-0005-0000-0000-0000BD160000}"/>
    <cellStyle name="Normal 4 7 5 2" xfId="3939" xr:uid="{00000000-0005-0000-0000-0000BE160000}"/>
    <cellStyle name="Normal 4 7 5 2 2" xfId="8163" xr:uid="{00000000-0005-0000-0000-0000BF160000}"/>
    <cellStyle name="Normal 4 7 5 2 2 2" xfId="16592" xr:uid="{37080B7D-3639-4900-AA8B-9F97D287F09D}"/>
    <cellStyle name="Normal 4 7 5 2 2 3" xfId="29225" xr:uid="{3577582B-5F53-4297-BB10-CBED8A951CE2}"/>
    <cellStyle name="Normal 4 7 5 2 3" xfId="12374" xr:uid="{BF35E246-E6DC-4AD2-BA89-1D0B11318DC0}"/>
    <cellStyle name="Normal 4 7 5 2 3 2" xfId="25014" xr:uid="{99F8474D-6E0D-4A6E-BC62-20C795FDAF8A}"/>
    <cellStyle name="Normal 4 7 5 2 4" xfId="20803" xr:uid="{F5362E45-FBA5-4DFE-9DFA-800935361DD8}"/>
    <cellStyle name="Normal 4 7 5 3" xfId="6018" xr:uid="{00000000-0005-0000-0000-0000C0160000}"/>
    <cellStyle name="Normal 4 7 5 3 2" xfId="14447" xr:uid="{7C9549CB-B0AC-43F6-BD20-3976725D92AE}"/>
    <cellStyle name="Normal 4 7 5 3 3" xfId="27080" xr:uid="{0F0040AA-A1D9-4845-A94C-7663EFA375AA}"/>
    <cellStyle name="Normal 4 7 5 4" xfId="10229" xr:uid="{CAF4EA20-5F57-4302-B51E-F7A96DBC307D}"/>
    <cellStyle name="Normal 4 7 5 4 2" xfId="22869" xr:uid="{3A311457-C878-4343-9D1F-49141E12C73C}"/>
    <cellStyle name="Normal 4 7 5 5" xfId="18658" xr:uid="{BB9C7CF1-671B-4C3B-8C48-2326BFFE474C}"/>
    <cellStyle name="Normal 4 7 6" xfId="2123" xr:uid="{00000000-0005-0000-0000-0000C1160000}"/>
    <cellStyle name="Normal 4 7 6 2" xfId="4352" xr:uid="{00000000-0005-0000-0000-0000C2160000}"/>
    <cellStyle name="Normal 4 7 6 2 2" xfId="8576" xr:uid="{00000000-0005-0000-0000-0000C3160000}"/>
    <cellStyle name="Normal 4 7 6 2 2 2" xfId="17005" xr:uid="{9DF00E2C-D127-45F4-B454-98D66F235E06}"/>
    <cellStyle name="Normal 4 7 6 2 2 3" xfId="29638" xr:uid="{4320E962-49A6-4FA6-9153-D187D7222B38}"/>
    <cellStyle name="Normal 4 7 6 2 3" xfId="12787" xr:uid="{38590C4A-CE45-4B5B-9698-27C2E9B0438A}"/>
    <cellStyle name="Normal 4 7 6 2 3 2" xfId="25427" xr:uid="{A61E7790-49DC-4E17-8F0D-3820BA0FCF08}"/>
    <cellStyle name="Normal 4 7 6 2 4" xfId="21216" xr:uid="{06C2DEF5-0858-4CF5-9772-90F91A409127}"/>
    <cellStyle name="Normal 4 7 6 3" xfId="6431" xr:uid="{00000000-0005-0000-0000-0000C4160000}"/>
    <cellStyle name="Normal 4 7 6 3 2" xfId="14860" xr:uid="{6D763A11-A142-4273-AFFE-C4071C9859C1}"/>
    <cellStyle name="Normal 4 7 6 3 3" xfId="27493" xr:uid="{3240A585-A598-431A-A095-DED6952F6243}"/>
    <cellStyle name="Normal 4 7 6 4" xfId="10642" xr:uid="{24F66D3E-5C7B-49A3-9492-6FDB90846CBB}"/>
    <cellStyle name="Normal 4 7 6 4 2" xfId="23282" xr:uid="{7DF527B3-1275-44EF-9140-9D664A70E72A}"/>
    <cellStyle name="Normal 4 7 6 5" xfId="19071" xr:uid="{9B233ADF-F0B2-474E-93F7-F9D133C9DE9C}"/>
    <cellStyle name="Normal 4 7 7" xfId="2559" xr:uid="{00000000-0005-0000-0000-0000C5160000}"/>
    <cellStyle name="Normal 4 7 7 2" xfId="6844" xr:uid="{00000000-0005-0000-0000-0000C6160000}"/>
    <cellStyle name="Normal 4 7 7 2 2" xfId="15273" xr:uid="{FF82EFFC-9F14-4443-8123-17353D1DE88F}"/>
    <cellStyle name="Normal 4 7 7 2 3" xfId="27906" xr:uid="{7CD200CE-2FE4-498B-85AE-FD06EA88204F}"/>
    <cellStyle name="Normal 4 7 7 3" xfId="11055" xr:uid="{60E60F2E-F7DD-4926-B331-C51F6B0C482A}"/>
    <cellStyle name="Normal 4 7 7 3 2" xfId="23695" xr:uid="{FA1D644D-C661-41B8-A685-C53E4DD2821B}"/>
    <cellStyle name="Normal 4 7 7 4" xfId="19484" xr:uid="{33EC1652-4DA7-4EC1-BBA8-E218C3F365CF}"/>
    <cellStyle name="Normal 4 7 8" xfId="4779" xr:uid="{00000000-0005-0000-0000-0000C7160000}"/>
    <cellStyle name="Normal 4 7 8 2" xfId="13208" xr:uid="{6C192D05-5098-4E61-9CFC-18AB31709DE2}"/>
    <cellStyle name="Normal 4 7 8 3" xfId="25841" xr:uid="{12DEF2C3-B137-41B1-AB63-7F64D1BB3D8B}"/>
    <cellStyle name="Normal 4 7 9" xfId="8990" xr:uid="{9E1A1816-F387-4C12-8D88-24DF81150281}"/>
    <cellStyle name="Normal 4 7 9 2" xfId="21630" xr:uid="{43460968-D4A1-478C-8A91-DFD90E0CDC92}"/>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13A7420D-FEB2-4977-992D-BDE94234E6EC}"/>
    <cellStyle name="Normal 4 8 2 2 2 3" xfId="28401" xr:uid="{E1BCFAFC-7D1B-43AD-9D3D-2E24421AFCEE}"/>
    <cellStyle name="Normal 4 8 2 2 3" xfId="11550" xr:uid="{533A6E93-3E55-4BA2-A46C-7205E6CC8599}"/>
    <cellStyle name="Normal 4 8 2 2 3 2" xfId="24190" xr:uid="{EC96AC16-7B27-48FF-A170-CC00AA29040A}"/>
    <cellStyle name="Normal 4 8 2 2 4" xfId="19979" xr:uid="{2E8877E9-7304-4C1C-B0A3-D5D7815F2E66}"/>
    <cellStyle name="Normal 4 8 2 3" xfId="5194" xr:uid="{00000000-0005-0000-0000-0000CC160000}"/>
    <cellStyle name="Normal 4 8 2 3 2" xfId="13623" xr:uid="{BE612F40-B2ED-4EC3-921C-4882ABA935B6}"/>
    <cellStyle name="Normal 4 8 2 3 3" xfId="26256" xr:uid="{3079CC58-408C-44EF-A30F-97A512238DCC}"/>
    <cellStyle name="Normal 4 8 2 4" xfId="9405" xr:uid="{D978C358-CC57-4F1E-B699-3D6B10523392}"/>
    <cellStyle name="Normal 4 8 2 4 2" xfId="22045" xr:uid="{016EE009-98E9-402D-A4B2-74DAECBEA57F}"/>
    <cellStyle name="Normal 4 8 2 5" xfId="17834" xr:uid="{9B1853C3-5A49-40FE-91FD-6D0694ADEE36}"/>
    <cellStyle name="Normal 4 8 3" xfId="1298" xr:uid="{00000000-0005-0000-0000-0000CD160000}"/>
    <cellStyle name="Normal 4 8 3 2" xfId="3528" xr:uid="{00000000-0005-0000-0000-0000CE160000}"/>
    <cellStyle name="Normal 4 8 3 2 2" xfId="7752" xr:uid="{00000000-0005-0000-0000-0000CF160000}"/>
    <cellStyle name="Normal 4 8 3 2 2 2" xfId="16181" xr:uid="{F00720DB-94C2-45CC-B089-46E6A96184E5}"/>
    <cellStyle name="Normal 4 8 3 2 2 3" xfId="28814" xr:uid="{B3107F05-9F54-49E0-94F2-0B34A1406466}"/>
    <cellStyle name="Normal 4 8 3 2 3" xfId="11963" xr:uid="{6179F0AE-BE82-47B7-A5C3-F1236D7FC2CF}"/>
    <cellStyle name="Normal 4 8 3 2 3 2" xfId="24603" xr:uid="{B0147CDF-30BF-4A62-A777-F885C8792E40}"/>
    <cellStyle name="Normal 4 8 3 2 4" xfId="20392" xr:uid="{713A19EE-AF22-45A6-ABCA-3A3A0E0CA37B}"/>
    <cellStyle name="Normal 4 8 3 3" xfId="5607" xr:uid="{00000000-0005-0000-0000-0000D0160000}"/>
    <cellStyle name="Normal 4 8 3 3 2" xfId="14036" xr:uid="{C5162E00-ED78-46FE-828A-28462A3D9BA7}"/>
    <cellStyle name="Normal 4 8 3 3 3" xfId="26669" xr:uid="{674CA1BE-EE6B-4A71-B6AC-B932E68A0750}"/>
    <cellStyle name="Normal 4 8 3 4" xfId="9818" xr:uid="{94666E3C-CE88-4B5C-89E2-17B04C56D6FB}"/>
    <cellStyle name="Normal 4 8 3 4 2" xfId="22458" xr:uid="{E48B43BE-4C08-433E-9C78-7E5569249B27}"/>
    <cellStyle name="Normal 4 8 3 5" xfId="18247" xr:uid="{27657642-9F0E-443A-B43A-92221E9ED92A}"/>
    <cellStyle name="Normal 4 8 4" xfId="1711" xr:uid="{00000000-0005-0000-0000-0000D1160000}"/>
    <cellStyle name="Normal 4 8 4 2" xfId="3941" xr:uid="{00000000-0005-0000-0000-0000D2160000}"/>
    <cellStyle name="Normal 4 8 4 2 2" xfId="8165" xr:uid="{00000000-0005-0000-0000-0000D3160000}"/>
    <cellStyle name="Normal 4 8 4 2 2 2" xfId="16594" xr:uid="{9F520D88-2D64-4B88-BBB6-CFC1E4BF73DD}"/>
    <cellStyle name="Normal 4 8 4 2 2 3" xfId="29227" xr:uid="{13FAF410-F3FE-468B-BCF6-49D02060CCD5}"/>
    <cellStyle name="Normal 4 8 4 2 3" xfId="12376" xr:uid="{5D39CBED-8CF5-439C-AB4A-3E8A513AE269}"/>
    <cellStyle name="Normal 4 8 4 2 3 2" xfId="25016" xr:uid="{BD7AF640-FA3F-49B1-9587-3C34ED4A92A2}"/>
    <cellStyle name="Normal 4 8 4 2 4" xfId="20805" xr:uid="{C76B8285-7BE0-47AC-BD5B-F785648AE896}"/>
    <cellStyle name="Normal 4 8 4 3" xfId="6020" xr:uid="{00000000-0005-0000-0000-0000D4160000}"/>
    <cellStyle name="Normal 4 8 4 3 2" xfId="14449" xr:uid="{CE450B05-9338-443B-999A-8EDB2A28874D}"/>
    <cellStyle name="Normal 4 8 4 3 3" xfId="27082" xr:uid="{4A1FF54B-1702-4F58-AACD-9D7B201CFB5E}"/>
    <cellStyle name="Normal 4 8 4 4" xfId="10231" xr:uid="{83D16BA9-BC11-4539-82FF-BBE4FA14F35E}"/>
    <cellStyle name="Normal 4 8 4 4 2" xfId="22871" xr:uid="{7861EFCD-5CA4-4D63-B9CB-971E1CBA3783}"/>
    <cellStyle name="Normal 4 8 4 5" xfId="18660" xr:uid="{82CB18C4-BF6B-489E-9D35-B11700D96C04}"/>
    <cellStyle name="Normal 4 8 5" xfId="2125" xr:uid="{00000000-0005-0000-0000-0000D5160000}"/>
    <cellStyle name="Normal 4 8 5 2" xfId="4354" xr:uid="{00000000-0005-0000-0000-0000D6160000}"/>
    <cellStyle name="Normal 4 8 5 2 2" xfId="8578" xr:uid="{00000000-0005-0000-0000-0000D7160000}"/>
    <cellStyle name="Normal 4 8 5 2 2 2" xfId="17007" xr:uid="{3AC94027-3308-4BFD-AB8F-D011DBF31F94}"/>
    <cellStyle name="Normal 4 8 5 2 2 3" xfId="29640" xr:uid="{8691A866-E562-4253-8C45-C8B0F351A638}"/>
    <cellStyle name="Normal 4 8 5 2 3" xfId="12789" xr:uid="{09EFD0E8-3FEB-47D9-9879-EFB6E2260D1C}"/>
    <cellStyle name="Normal 4 8 5 2 3 2" xfId="25429" xr:uid="{D44B18D5-8C44-4FCE-B646-555FBAAD474C}"/>
    <cellStyle name="Normal 4 8 5 2 4" xfId="21218" xr:uid="{0016A3F6-7580-41B0-91BD-E13449B2C6C7}"/>
    <cellStyle name="Normal 4 8 5 3" xfId="6433" xr:uid="{00000000-0005-0000-0000-0000D8160000}"/>
    <cellStyle name="Normal 4 8 5 3 2" xfId="14862" xr:uid="{D281E67D-1322-4EFA-8043-72DB2C75318E}"/>
    <cellStyle name="Normal 4 8 5 3 3" xfId="27495" xr:uid="{B7F0C914-DE73-4CBC-803D-AFAC9963FA8C}"/>
    <cellStyle name="Normal 4 8 5 4" xfId="10644" xr:uid="{C8FB4669-F0EF-4F36-9625-56380B9B5433}"/>
    <cellStyle name="Normal 4 8 5 4 2" xfId="23284" xr:uid="{ADB563FE-0391-4E92-AAC5-13FDB7D94D88}"/>
    <cellStyle name="Normal 4 8 5 5" xfId="19073" xr:uid="{7A5B12FD-213B-4F7F-8D21-329528B4E1AC}"/>
    <cellStyle name="Normal 4 8 6" xfId="2561" xr:uid="{00000000-0005-0000-0000-0000D9160000}"/>
    <cellStyle name="Normal 4 8 6 2" xfId="6846" xr:uid="{00000000-0005-0000-0000-0000DA160000}"/>
    <cellStyle name="Normal 4 8 6 2 2" xfId="15275" xr:uid="{2453404D-95F0-48F8-870E-FEBEA1FBC6B1}"/>
    <cellStyle name="Normal 4 8 6 2 3" xfId="27908" xr:uid="{72180994-61ED-4D8E-8DB6-CF8EC4B70747}"/>
    <cellStyle name="Normal 4 8 6 3" xfId="11057" xr:uid="{397D2CA2-1DC8-40DE-BA32-29BC215E1339}"/>
    <cellStyle name="Normal 4 8 6 3 2" xfId="23697" xr:uid="{E5C4BA29-9705-46BA-B13A-406287649BE0}"/>
    <cellStyle name="Normal 4 8 6 4" xfId="19486" xr:uid="{7C7E03AF-086A-4A78-AB4E-30555FEEB52A}"/>
    <cellStyle name="Normal 4 8 7" xfId="4781" xr:uid="{00000000-0005-0000-0000-0000DB160000}"/>
    <cellStyle name="Normal 4 8 7 2" xfId="13210" xr:uid="{D8483B23-CE45-42AE-A029-B30F293A0A39}"/>
    <cellStyle name="Normal 4 8 7 3" xfId="25843" xr:uid="{7CFA5E44-B91A-4755-B139-6B86B6DAA9A9}"/>
    <cellStyle name="Normal 4 8 8" xfId="8992" xr:uid="{A722C6EE-9B63-44A0-853C-3F89B44B8E1B}"/>
    <cellStyle name="Normal 4 8 8 2" xfId="21632" xr:uid="{3FE5E279-259A-413A-87FA-79F3F4A4C75E}"/>
    <cellStyle name="Normal 4 8 9" xfId="17421" xr:uid="{F25BEEFA-5744-44DF-9D59-5C4ABD345D60}"/>
    <cellStyle name="Normal 4 9" xfId="4718" xr:uid="{00000000-0005-0000-0000-0000DC160000}"/>
    <cellStyle name="Normal 4 9 2" xfId="13147" xr:uid="{B56C5384-E43C-4B5E-A3EC-0507CB21B782}"/>
    <cellStyle name="Normal 4 9 3" xfId="25780" xr:uid="{6B37D19E-598F-4576-AFA6-F8613EAB9B47}"/>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6B7CC618-C116-4D73-B54D-9A095AA6FBE7}"/>
    <cellStyle name="Normal 5 10 2 2 3" xfId="29228" xr:uid="{B1856F1B-FAD7-41A5-B5F4-09C89F70FD86}"/>
    <cellStyle name="Normal 5 10 2 3" xfId="12377" xr:uid="{233DB647-97D2-45A0-8AEC-3817B2802771}"/>
    <cellStyle name="Normal 5 10 2 3 2" xfId="25017" xr:uid="{F5CB14E5-8F2C-4143-B9AF-7F3D7937D21D}"/>
    <cellStyle name="Normal 5 10 2 4" xfId="20806" xr:uid="{2DCA1DA7-52FD-41F3-85FB-E3C77664049C}"/>
    <cellStyle name="Normal 5 10 3" xfId="6021" xr:uid="{00000000-0005-0000-0000-0000E1160000}"/>
    <cellStyle name="Normal 5 10 3 2" xfId="14450" xr:uid="{A0912503-8949-44F2-AE93-D65D9B3AF867}"/>
    <cellStyle name="Normal 5 10 3 3" xfId="27083" xr:uid="{6E3CACBE-4984-4B39-B0C3-2B1A0BD51BCA}"/>
    <cellStyle name="Normal 5 10 4" xfId="10232" xr:uid="{F1AB31D5-A920-48D1-B822-2B20D7F0BC2B}"/>
    <cellStyle name="Normal 5 10 4 2" xfId="22872" xr:uid="{8E940F16-86D3-459F-9771-C8AE0C12B4D4}"/>
    <cellStyle name="Normal 5 10 5" xfId="18661" xr:uid="{5DB3EF00-F951-424B-9C8A-20B86147782D}"/>
    <cellStyle name="Normal 5 11" xfId="2126" xr:uid="{00000000-0005-0000-0000-0000E2160000}"/>
    <cellStyle name="Normal 5 11 2" xfId="4355" xr:uid="{00000000-0005-0000-0000-0000E3160000}"/>
    <cellStyle name="Normal 5 11 2 2" xfId="8579" xr:uid="{00000000-0005-0000-0000-0000E4160000}"/>
    <cellStyle name="Normal 5 11 2 2 2" xfId="17008" xr:uid="{1A4850D8-2BA5-4D0F-A146-511F989F1F24}"/>
    <cellStyle name="Normal 5 11 2 2 3" xfId="29641" xr:uid="{5A9AFC83-9828-4EEB-B03C-7E9642CD4173}"/>
    <cellStyle name="Normal 5 11 2 3" xfId="12790" xr:uid="{D430087C-C181-44E4-AAD7-C9201C25FFF4}"/>
    <cellStyle name="Normal 5 11 2 3 2" xfId="25430" xr:uid="{07B483D6-C38C-49B3-92F1-C4EB7EC2CE3A}"/>
    <cellStyle name="Normal 5 11 2 4" xfId="21219" xr:uid="{FC6DB3F1-1B31-4386-B031-3372F6693ABA}"/>
    <cellStyle name="Normal 5 11 3" xfId="6434" xr:uid="{00000000-0005-0000-0000-0000E5160000}"/>
    <cellStyle name="Normal 5 11 3 2" xfId="14863" xr:uid="{3E9CD6BD-272D-4D0A-B1B2-39389E300D8A}"/>
    <cellStyle name="Normal 5 11 3 3" xfId="27496" xr:uid="{96EA59A2-0131-487D-809A-CD1EA0DD9A8A}"/>
    <cellStyle name="Normal 5 11 4" xfId="10645" xr:uid="{8FE9E93E-02EB-4AB6-84DA-3A1BF7F6CAF6}"/>
    <cellStyle name="Normal 5 11 4 2" xfId="23285" xr:uid="{B9E035D7-9D8F-4B8C-AA07-B3AB01FF945C}"/>
    <cellStyle name="Normal 5 11 5" xfId="19074" xr:uid="{DF1A3077-BD64-4A57-9381-743B4043B2CF}"/>
    <cellStyle name="Normal 5 12" xfId="2562" xr:uid="{00000000-0005-0000-0000-0000E6160000}"/>
    <cellStyle name="Normal 5 12 2" xfId="6847" xr:uid="{00000000-0005-0000-0000-0000E7160000}"/>
    <cellStyle name="Normal 5 12 2 2" xfId="15276" xr:uid="{701B067C-6B4C-4255-9462-7339D8CE3007}"/>
    <cellStyle name="Normal 5 12 2 3" xfId="27909" xr:uid="{F8C2A4DA-54EA-4730-A771-3FD919634229}"/>
    <cellStyle name="Normal 5 12 3" xfId="11058" xr:uid="{D13766A0-12D6-493A-A090-B743D0E4288C}"/>
    <cellStyle name="Normal 5 12 3 2" xfId="23698" xr:uid="{57B93C04-2BBC-46ED-87B9-CE9FCBFC9571}"/>
    <cellStyle name="Normal 5 12 4" xfId="19487" xr:uid="{F661A041-51C1-47E6-AA02-5B4E772190A9}"/>
    <cellStyle name="Normal 5 13" xfId="4782" xr:uid="{00000000-0005-0000-0000-0000E8160000}"/>
    <cellStyle name="Normal 5 13 2" xfId="13211" xr:uid="{492B4B6A-36C8-4849-BF75-710373605875}"/>
    <cellStyle name="Normal 5 13 3" xfId="25844" xr:uid="{1872997A-1F17-40A3-8AAB-0F3D8FD5DADF}"/>
    <cellStyle name="Normal 5 14" xfId="8993" xr:uid="{401EE639-D98B-435E-B56A-E6BA2D48BC8A}"/>
    <cellStyle name="Normal 5 14 2" xfId="21633" xr:uid="{225CFA60-DC38-4E88-92B5-403F425A9F26}"/>
    <cellStyle name="Normal 5 15" xfId="17422" xr:uid="{BE64289C-DB5C-4D92-8DAD-869E9D17CB89}"/>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B476A79E-EA58-47A3-9AD4-7DA7753D1B4D}"/>
    <cellStyle name="Normal 5 2 10 2 2 3" xfId="29642" xr:uid="{45E7C7D9-45E9-4E1C-94B2-9BC105A87CC7}"/>
    <cellStyle name="Normal 5 2 10 2 3" xfId="12791" xr:uid="{FF19B92F-0928-41CA-8651-84350BE48D00}"/>
    <cellStyle name="Normal 5 2 10 2 3 2" xfId="25431" xr:uid="{5F64C710-F6EF-4384-ABC1-2975672B92D1}"/>
    <cellStyle name="Normal 5 2 10 2 4" xfId="21220" xr:uid="{FE734C3D-E386-4497-9F64-508F88E84F03}"/>
    <cellStyle name="Normal 5 2 10 3" xfId="6435" xr:uid="{00000000-0005-0000-0000-0000ED160000}"/>
    <cellStyle name="Normal 5 2 10 3 2" xfId="14864" xr:uid="{946DFA07-EC12-4B2F-9ED2-5F8E5026622B}"/>
    <cellStyle name="Normal 5 2 10 3 3" xfId="27497" xr:uid="{9A112E6B-52AF-43EC-AA15-4E7EFC52DE53}"/>
    <cellStyle name="Normal 5 2 10 4" xfId="10646" xr:uid="{13770C22-E3E6-4C39-963C-ED26BAF3A7AA}"/>
    <cellStyle name="Normal 5 2 10 4 2" xfId="23286" xr:uid="{893C1AA1-32BB-4B40-95F7-17CC47659AE3}"/>
    <cellStyle name="Normal 5 2 10 5" xfId="19075" xr:uid="{CC23921B-9D52-42C7-A060-6EC99652CCE5}"/>
    <cellStyle name="Normal 5 2 11" xfId="2563" xr:uid="{00000000-0005-0000-0000-0000EE160000}"/>
    <cellStyle name="Normal 5 2 11 2" xfId="6848" xr:uid="{00000000-0005-0000-0000-0000EF160000}"/>
    <cellStyle name="Normal 5 2 11 2 2" xfId="15277" xr:uid="{367F3ACB-D433-4AB7-B9B2-60BF92F32432}"/>
    <cellStyle name="Normal 5 2 11 2 3" xfId="27910" xr:uid="{8B79D605-7EBD-4E70-8E91-99E0064C8455}"/>
    <cellStyle name="Normal 5 2 11 3" xfId="11059" xr:uid="{B16A9F91-3147-4BF4-9491-000A6ABAA406}"/>
    <cellStyle name="Normal 5 2 11 3 2" xfId="23699" xr:uid="{6E494C0A-C0F9-4A26-A2A5-EFBE41B068C8}"/>
    <cellStyle name="Normal 5 2 11 4" xfId="19488" xr:uid="{0976DA9C-6A88-4AA9-84C8-7B617378EF59}"/>
    <cellStyle name="Normal 5 2 12" xfId="4783" xr:uid="{00000000-0005-0000-0000-0000F0160000}"/>
    <cellStyle name="Normal 5 2 12 2" xfId="13212" xr:uid="{1474F477-8A23-43B1-9C45-EC7CA188661C}"/>
    <cellStyle name="Normal 5 2 12 3" xfId="25845" xr:uid="{463FAF09-91F0-44A4-BD43-14B91E2B8CB2}"/>
    <cellStyle name="Normal 5 2 13" xfId="8994" xr:uid="{055EB2AB-A04D-498C-9F22-C505ED1FF9C3}"/>
    <cellStyle name="Normal 5 2 13 2" xfId="21634" xr:uid="{F0A75CEA-0BB7-4A69-A7F5-0FE172A14DD4}"/>
    <cellStyle name="Normal 5 2 14" xfId="17423" xr:uid="{B397378A-9B48-4902-A243-25442F8A8805}"/>
    <cellStyle name="Normal 5 2 2" xfId="408" xr:uid="{00000000-0005-0000-0000-0000F1160000}"/>
    <cellStyle name="Normal 5 2 2 10" xfId="2564" xr:uid="{00000000-0005-0000-0000-0000F2160000}"/>
    <cellStyle name="Normal 5 2 2 10 2" xfId="6849" xr:uid="{00000000-0005-0000-0000-0000F3160000}"/>
    <cellStyle name="Normal 5 2 2 10 2 2" xfId="15278" xr:uid="{9F475E3E-128D-4E37-8B7E-745CF4268BC3}"/>
    <cellStyle name="Normal 5 2 2 10 2 3" xfId="27911" xr:uid="{B97CF57A-3C16-4257-B2BB-D44D91BBD882}"/>
    <cellStyle name="Normal 5 2 2 10 3" xfId="11060" xr:uid="{0073AE76-7373-40C3-821C-28576E44D4B7}"/>
    <cellStyle name="Normal 5 2 2 10 3 2" xfId="23700" xr:uid="{07CB2B15-55AC-4A8A-AE71-A40421DA53B8}"/>
    <cellStyle name="Normal 5 2 2 10 4" xfId="19489" xr:uid="{2F43CCED-8670-4D5C-AA28-9B449E341100}"/>
    <cellStyle name="Normal 5 2 2 11" xfId="4784" xr:uid="{00000000-0005-0000-0000-0000F4160000}"/>
    <cellStyle name="Normal 5 2 2 11 2" xfId="13213" xr:uid="{A1798254-65B3-46E3-AA7C-7E011D48FBE4}"/>
    <cellStyle name="Normal 5 2 2 11 3" xfId="25846" xr:uid="{2E9C73A2-EF04-42D6-9543-4A8D32B48F3F}"/>
    <cellStyle name="Normal 5 2 2 12" xfId="8995" xr:uid="{D136953F-EBF7-48F4-9B75-172B0A080A3D}"/>
    <cellStyle name="Normal 5 2 2 12 2" xfId="21635" xr:uid="{4674BFB7-2CB8-489F-9706-03AA6CCACAE4}"/>
    <cellStyle name="Normal 5 2 2 13" xfId="17424" xr:uid="{768F53C5-8517-4888-9B08-708D0C3D426C}"/>
    <cellStyle name="Normal 5 2 2 2" xfId="409" xr:uid="{00000000-0005-0000-0000-0000F5160000}"/>
    <cellStyle name="Normal 5 2 2 2 10" xfId="4785" xr:uid="{00000000-0005-0000-0000-0000F6160000}"/>
    <cellStyle name="Normal 5 2 2 2 10 2" xfId="13214" xr:uid="{CA681508-60B3-445F-9492-AD24E9C6D97C}"/>
    <cellStyle name="Normal 5 2 2 2 10 3" xfId="25847" xr:uid="{10BEEE00-B67C-40AB-8768-5FE97B468D4E}"/>
    <cellStyle name="Normal 5 2 2 2 11" xfId="8996" xr:uid="{97056219-F9DA-4979-A65A-35A6B8A83EF1}"/>
    <cellStyle name="Normal 5 2 2 2 11 2" xfId="21636" xr:uid="{6CB01374-D89D-4032-9847-5853B0DB0218}"/>
    <cellStyle name="Normal 5 2 2 2 12" xfId="17425" xr:uid="{7D377889-7C28-492F-9453-C71BD9881CA9}"/>
    <cellStyle name="Normal 5 2 2 2 2" xfId="410" xr:uid="{00000000-0005-0000-0000-0000F7160000}"/>
    <cellStyle name="Normal 5 2 2 2 2 10" xfId="8997" xr:uid="{B3C256D1-EE8B-4F2C-AA99-50A78131EC06}"/>
    <cellStyle name="Normal 5 2 2 2 2 10 2" xfId="21637" xr:uid="{51D99349-7155-457A-B180-80FF617B3324}"/>
    <cellStyle name="Normal 5 2 2 2 2 11" xfId="17426" xr:uid="{7B3990D2-0122-4CDA-A4E4-874EDF8C854C}"/>
    <cellStyle name="Normal 5 2 2 2 2 2" xfId="411" xr:uid="{00000000-0005-0000-0000-0000F8160000}"/>
    <cellStyle name="Normal 5 2 2 2 2 2 10" xfId="17427" xr:uid="{F1B9DEFC-C38B-4F66-8F2F-E14CEAC0478F}"/>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26A9883D-98B0-4C4E-8995-F287C1DB4116}"/>
    <cellStyle name="Normal 5 2 2 2 2 2 2 2 2 2 3" xfId="28408" xr:uid="{CC5A1B52-D66E-4C91-BE07-1738A36691A2}"/>
    <cellStyle name="Normal 5 2 2 2 2 2 2 2 2 3" xfId="11557" xr:uid="{BC51C5F8-0C8A-40A4-B905-A0882A9D5C8E}"/>
    <cellStyle name="Normal 5 2 2 2 2 2 2 2 2 3 2" xfId="24197" xr:uid="{6D0F507C-02F0-4944-B4AA-132DEA127763}"/>
    <cellStyle name="Normal 5 2 2 2 2 2 2 2 2 4" xfId="19986" xr:uid="{988EE9C7-DB47-40D8-9440-36DA94108E05}"/>
    <cellStyle name="Normal 5 2 2 2 2 2 2 2 3" xfId="5201" xr:uid="{00000000-0005-0000-0000-0000FD160000}"/>
    <cellStyle name="Normal 5 2 2 2 2 2 2 2 3 2" xfId="13630" xr:uid="{C7ECEFDC-E2B7-43BF-B381-4DFA451CCA7F}"/>
    <cellStyle name="Normal 5 2 2 2 2 2 2 2 3 3" xfId="26263" xr:uid="{2B6E23EA-8E9A-4932-B73C-7B6B42BA286B}"/>
    <cellStyle name="Normal 5 2 2 2 2 2 2 2 4" xfId="9412" xr:uid="{EE3541EA-7886-426E-80C6-E600F370EF28}"/>
    <cellStyle name="Normal 5 2 2 2 2 2 2 2 4 2" xfId="22052" xr:uid="{F67DDB3E-FA17-4701-9614-7325D18A7230}"/>
    <cellStyle name="Normal 5 2 2 2 2 2 2 2 5" xfId="17841" xr:uid="{D848F94F-4EDD-4D63-85CC-BEE5F80CD7DA}"/>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104006EB-98DA-4FE3-814E-27ACD95B8403}"/>
    <cellStyle name="Normal 5 2 2 2 2 2 2 3 2 2 3" xfId="28821" xr:uid="{05893B94-9CCA-4CB8-8EB9-9EEFB8210937}"/>
    <cellStyle name="Normal 5 2 2 2 2 2 2 3 2 3" xfId="11970" xr:uid="{4BDF04ED-32F5-4005-AD6A-E9284E0FB3CE}"/>
    <cellStyle name="Normal 5 2 2 2 2 2 2 3 2 3 2" xfId="24610" xr:uid="{4CAD8746-01E7-415E-A585-E6668B12E68B}"/>
    <cellStyle name="Normal 5 2 2 2 2 2 2 3 2 4" xfId="20399" xr:uid="{ACBD6640-2F8D-4001-8702-1A0CF9062B97}"/>
    <cellStyle name="Normal 5 2 2 2 2 2 2 3 3" xfId="5614" xr:uid="{00000000-0005-0000-0000-000001170000}"/>
    <cellStyle name="Normal 5 2 2 2 2 2 2 3 3 2" xfId="14043" xr:uid="{F919D2E6-9D2C-4A12-A5B7-F2D1C0B6AFA8}"/>
    <cellStyle name="Normal 5 2 2 2 2 2 2 3 3 3" xfId="26676" xr:uid="{F3300728-C04E-49EE-89AD-48165BE5A99D}"/>
    <cellStyle name="Normal 5 2 2 2 2 2 2 3 4" xfId="9825" xr:uid="{12A5244E-2320-4CD6-A84F-FA6257FE8DB9}"/>
    <cellStyle name="Normal 5 2 2 2 2 2 2 3 4 2" xfId="22465" xr:uid="{8F9F4CDC-D16F-400B-939E-41DF8FC4A93C}"/>
    <cellStyle name="Normal 5 2 2 2 2 2 2 3 5" xfId="18254" xr:uid="{167F0C1C-9546-4FAE-B353-75D78E379669}"/>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0F02181B-0DFD-483C-BE80-6FAB9DE04E0B}"/>
    <cellStyle name="Normal 5 2 2 2 2 2 2 4 2 2 3" xfId="29234" xr:uid="{FD2E3A92-F2DB-40F1-97F8-63B99BEAF71D}"/>
    <cellStyle name="Normal 5 2 2 2 2 2 2 4 2 3" xfId="12383" xr:uid="{9334CCEA-0B95-4710-9355-6B80ADB441E8}"/>
    <cellStyle name="Normal 5 2 2 2 2 2 2 4 2 3 2" xfId="25023" xr:uid="{769E571E-07E6-4C84-984F-9DAB617B8188}"/>
    <cellStyle name="Normal 5 2 2 2 2 2 2 4 2 4" xfId="20812" xr:uid="{F4383EAC-18FE-4F1C-AF9D-631A7F0084E1}"/>
    <cellStyle name="Normal 5 2 2 2 2 2 2 4 3" xfId="6027" xr:uid="{00000000-0005-0000-0000-000005170000}"/>
    <cellStyle name="Normal 5 2 2 2 2 2 2 4 3 2" xfId="14456" xr:uid="{C947A6F3-475C-49C5-A082-A5C067FE6EA8}"/>
    <cellStyle name="Normal 5 2 2 2 2 2 2 4 3 3" xfId="27089" xr:uid="{DD3113FA-4571-4016-B72A-65B81F03AF18}"/>
    <cellStyle name="Normal 5 2 2 2 2 2 2 4 4" xfId="10238" xr:uid="{0D72074E-BA41-46B9-8D01-B0D09B9AA0B0}"/>
    <cellStyle name="Normal 5 2 2 2 2 2 2 4 4 2" xfId="22878" xr:uid="{D2E41124-9E7E-4988-9612-7C05122E5947}"/>
    <cellStyle name="Normal 5 2 2 2 2 2 2 4 5" xfId="18667" xr:uid="{AD5F6CB3-C535-4795-AAC7-74C9498B0BA6}"/>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AC2189DA-9BA8-441D-9845-EF6ED8BFF665}"/>
    <cellStyle name="Normal 5 2 2 2 2 2 2 5 2 2 3" xfId="29647" xr:uid="{6D252294-48DE-40AC-A754-0BC1A290AE9D}"/>
    <cellStyle name="Normal 5 2 2 2 2 2 2 5 2 3" xfId="12796" xr:uid="{ACFC0666-46BD-4336-8788-4F1CADDEE465}"/>
    <cellStyle name="Normal 5 2 2 2 2 2 2 5 2 3 2" xfId="25436" xr:uid="{B3B7D039-93DB-4418-BBC2-46F34A444AB5}"/>
    <cellStyle name="Normal 5 2 2 2 2 2 2 5 2 4" xfId="21225" xr:uid="{EC086247-BFE5-4673-8FB6-D64A3AE61938}"/>
    <cellStyle name="Normal 5 2 2 2 2 2 2 5 3" xfId="6440" xr:uid="{00000000-0005-0000-0000-000009170000}"/>
    <cellStyle name="Normal 5 2 2 2 2 2 2 5 3 2" xfId="14869" xr:uid="{1BB382F7-17DD-47D5-B92A-32C8AF49B50B}"/>
    <cellStyle name="Normal 5 2 2 2 2 2 2 5 3 3" xfId="27502" xr:uid="{77F63CD4-A290-4999-BBD0-365107CBD587}"/>
    <cellStyle name="Normal 5 2 2 2 2 2 2 5 4" xfId="10651" xr:uid="{00CDAA5B-B589-40BB-BC40-D2B125715FB9}"/>
    <cellStyle name="Normal 5 2 2 2 2 2 2 5 4 2" xfId="23291" xr:uid="{A09A7721-A5CE-4EC5-9C53-8BC1B0ACC601}"/>
    <cellStyle name="Normal 5 2 2 2 2 2 2 5 5" xfId="19080" xr:uid="{6762E801-546E-4536-A068-93818713EAE0}"/>
    <cellStyle name="Normal 5 2 2 2 2 2 2 6" xfId="2568" xr:uid="{00000000-0005-0000-0000-00000A170000}"/>
    <cellStyle name="Normal 5 2 2 2 2 2 2 6 2" xfId="6853" xr:uid="{00000000-0005-0000-0000-00000B170000}"/>
    <cellStyle name="Normal 5 2 2 2 2 2 2 6 2 2" xfId="15282" xr:uid="{0025E1E6-F474-4943-8515-51903496DA5F}"/>
    <cellStyle name="Normal 5 2 2 2 2 2 2 6 2 3" xfId="27915" xr:uid="{0FB85464-F050-43AE-91F0-BFFC45599027}"/>
    <cellStyle name="Normal 5 2 2 2 2 2 2 6 3" xfId="11064" xr:uid="{BF69C202-7F19-4A69-8194-24ABE7F3F2B1}"/>
    <cellStyle name="Normal 5 2 2 2 2 2 2 6 3 2" xfId="23704" xr:uid="{A21D6E9B-C867-4D21-8741-B408865AEDC0}"/>
    <cellStyle name="Normal 5 2 2 2 2 2 2 6 4" xfId="19493" xr:uid="{F23511AA-4C08-4FD3-B1A7-7C31736408BF}"/>
    <cellStyle name="Normal 5 2 2 2 2 2 2 7" xfId="4788" xr:uid="{00000000-0005-0000-0000-00000C170000}"/>
    <cellStyle name="Normal 5 2 2 2 2 2 2 7 2" xfId="13217" xr:uid="{41874A98-94D9-4AF6-909F-7DA6BF9FEF2C}"/>
    <cellStyle name="Normal 5 2 2 2 2 2 2 7 3" xfId="25850" xr:uid="{1A80DC4A-416F-4002-B016-ED5140A53E33}"/>
    <cellStyle name="Normal 5 2 2 2 2 2 2 8" xfId="8999" xr:uid="{7A9F2FDC-99D9-45AF-AE8E-6257DAF5B921}"/>
    <cellStyle name="Normal 5 2 2 2 2 2 2 8 2" xfId="21639" xr:uid="{189A6257-6480-4C0F-964B-354658EB13D9}"/>
    <cellStyle name="Normal 5 2 2 2 2 2 2 9" xfId="17428" xr:uid="{4A3D5CB1-917E-432D-86CD-FD141C0D3844}"/>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CF8103BD-5E0F-4881-89D1-835BA7E812C3}"/>
    <cellStyle name="Normal 5 2 2 2 2 2 3 2 2 3" xfId="28407" xr:uid="{2731004F-F6B7-4E87-A3A1-FECA903AD8D4}"/>
    <cellStyle name="Normal 5 2 2 2 2 2 3 2 3" xfId="11556" xr:uid="{23A4B6DA-A4C9-4D59-BFAB-362CBED6FABF}"/>
    <cellStyle name="Normal 5 2 2 2 2 2 3 2 3 2" xfId="24196" xr:uid="{E1C5A4B7-7EAA-4E11-AFC7-22EC9BD08074}"/>
    <cellStyle name="Normal 5 2 2 2 2 2 3 2 4" xfId="19985" xr:uid="{C915A093-8F3C-43B3-A0CC-DF3B1A64C9EF}"/>
    <cellStyle name="Normal 5 2 2 2 2 2 3 3" xfId="5200" xr:uid="{00000000-0005-0000-0000-000010170000}"/>
    <cellStyle name="Normal 5 2 2 2 2 2 3 3 2" xfId="13629" xr:uid="{26D42CCB-82BE-4943-B598-FD37E1D8D7A0}"/>
    <cellStyle name="Normal 5 2 2 2 2 2 3 3 3" xfId="26262" xr:uid="{0C7C2DEC-DE56-47DE-8435-B620366EDC93}"/>
    <cellStyle name="Normal 5 2 2 2 2 2 3 4" xfId="9411" xr:uid="{395670B3-19A9-4AA2-938C-B620690A748A}"/>
    <cellStyle name="Normal 5 2 2 2 2 2 3 4 2" xfId="22051" xr:uid="{F9703116-F013-4ABE-A33B-8582ECCBBEC6}"/>
    <cellStyle name="Normal 5 2 2 2 2 2 3 5" xfId="17840" xr:uid="{BC88E4D8-8970-4F20-AFA0-75DA969E3A18}"/>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837AE616-B3A1-4D97-883E-B0B42690DC70}"/>
    <cellStyle name="Normal 5 2 2 2 2 2 4 2 2 3" xfId="28820" xr:uid="{F5250DDE-5411-4B76-B3FB-95916012C747}"/>
    <cellStyle name="Normal 5 2 2 2 2 2 4 2 3" xfId="11969" xr:uid="{E8370F56-70C6-4817-ABCE-A6751AA77BB5}"/>
    <cellStyle name="Normal 5 2 2 2 2 2 4 2 3 2" xfId="24609" xr:uid="{4D59A75E-0512-432F-AC43-65DB6EBA7E46}"/>
    <cellStyle name="Normal 5 2 2 2 2 2 4 2 4" xfId="20398" xr:uid="{A448B70D-7AB4-4C96-B2CD-CECAAA7C83BE}"/>
    <cellStyle name="Normal 5 2 2 2 2 2 4 3" xfId="5613" xr:uid="{00000000-0005-0000-0000-000014170000}"/>
    <cellStyle name="Normal 5 2 2 2 2 2 4 3 2" xfId="14042" xr:uid="{D750A6D7-41E0-4D88-B047-7C52A3DB49BC}"/>
    <cellStyle name="Normal 5 2 2 2 2 2 4 3 3" xfId="26675" xr:uid="{A8F1A331-5BFC-426B-A704-CB1CE7C14A32}"/>
    <cellStyle name="Normal 5 2 2 2 2 2 4 4" xfId="9824" xr:uid="{2108692B-1296-4777-AA9D-454ABD005FB3}"/>
    <cellStyle name="Normal 5 2 2 2 2 2 4 4 2" xfId="22464" xr:uid="{D3E68EA8-4CAE-4D1F-A0FE-CE191619B2CA}"/>
    <cellStyle name="Normal 5 2 2 2 2 2 4 5" xfId="18253" xr:uid="{021E4561-FC68-41EC-BBBE-A67F6970B7F5}"/>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BF0C350E-3CE1-4232-9201-6F9DD82700B0}"/>
    <cellStyle name="Normal 5 2 2 2 2 2 5 2 2 3" xfId="29233" xr:uid="{EEBC9EAF-D8DB-43E0-901D-19AC6740D578}"/>
    <cellStyle name="Normal 5 2 2 2 2 2 5 2 3" xfId="12382" xr:uid="{1209BACE-D695-4452-B73B-650A84E5A61B}"/>
    <cellStyle name="Normal 5 2 2 2 2 2 5 2 3 2" xfId="25022" xr:uid="{02887082-F47E-4E7B-8E5F-B6E9E69B5498}"/>
    <cellStyle name="Normal 5 2 2 2 2 2 5 2 4" xfId="20811" xr:uid="{2969F9DF-BB4B-4F69-B6AD-3BCD77A0AFFF}"/>
    <cellStyle name="Normal 5 2 2 2 2 2 5 3" xfId="6026" xr:uid="{00000000-0005-0000-0000-000018170000}"/>
    <cellStyle name="Normal 5 2 2 2 2 2 5 3 2" xfId="14455" xr:uid="{A7DFD433-B779-41B3-92BE-8B7145754C55}"/>
    <cellStyle name="Normal 5 2 2 2 2 2 5 3 3" xfId="27088" xr:uid="{184D53F3-4954-451A-A504-308F95C5C925}"/>
    <cellStyle name="Normal 5 2 2 2 2 2 5 4" xfId="10237" xr:uid="{A607F532-93E9-4515-9BF3-DD8226F2D470}"/>
    <cellStyle name="Normal 5 2 2 2 2 2 5 4 2" xfId="22877" xr:uid="{1997CF99-D3E0-4F7C-87A2-52CDBAFFBC3B}"/>
    <cellStyle name="Normal 5 2 2 2 2 2 5 5" xfId="18666" xr:uid="{712F2006-60A0-4956-BBE5-E4735386A1C3}"/>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F8D8B618-00D7-43B6-8B1A-888D79F860F7}"/>
    <cellStyle name="Normal 5 2 2 2 2 2 6 2 2 3" xfId="29646" xr:uid="{33F27B9B-E958-4EC7-8E72-DD05EDF1B1CA}"/>
    <cellStyle name="Normal 5 2 2 2 2 2 6 2 3" xfId="12795" xr:uid="{04C46C61-EC84-49F8-BD6F-D6FB5C0F540A}"/>
    <cellStyle name="Normal 5 2 2 2 2 2 6 2 3 2" xfId="25435" xr:uid="{C8B33C5D-CF21-4F38-BCBE-0E64CCA3E714}"/>
    <cellStyle name="Normal 5 2 2 2 2 2 6 2 4" xfId="21224" xr:uid="{BCA5FE56-0BDB-4E06-BFCA-2FA753756D21}"/>
    <cellStyle name="Normal 5 2 2 2 2 2 6 3" xfId="6439" xr:uid="{00000000-0005-0000-0000-00001C170000}"/>
    <cellStyle name="Normal 5 2 2 2 2 2 6 3 2" xfId="14868" xr:uid="{A85E49FC-A7F0-4358-A6FD-7E3CD64C6C07}"/>
    <cellStyle name="Normal 5 2 2 2 2 2 6 3 3" xfId="27501" xr:uid="{B0F3E4FF-CB54-4E6E-818A-71D5F3653FC6}"/>
    <cellStyle name="Normal 5 2 2 2 2 2 6 4" xfId="10650" xr:uid="{E9F7D351-E5ED-4566-AA78-B007851CC9AA}"/>
    <cellStyle name="Normal 5 2 2 2 2 2 6 4 2" xfId="23290" xr:uid="{92268142-7542-4B04-93AE-59693EC0AA23}"/>
    <cellStyle name="Normal 5 2 2 2 2 2 6 5" xfId="19079" xr:uid="{8CF8927A-CF90-4A44-B8B8-7B254529A0DF}"/>
    <cellStyle name="Normal 5 2 2 2 2 2 7" xfId="2567" xr:uid="{00000000-0005-0000-0000-00001D170000}"/>
    <cellStyle name="Normal 5 2 2 2 2 2 7 2" xfId="6852" xr:uid="{00000000-0005-0000-0000-00001E170000}"/>
    <cellStyle name="Normal 5 2 2 2 2 2 7 2 2" xfId="15281" xr:uid="{95296B1D-6A45-4D4F-9360-81D6E9B29D9B}"/>
    <cellStyle name="Normal 5 2 2 2 2 2 7 2 3" xfId="27914" xr:uid="{2D6B23DB-B5EB-42B2-8EA8-C3D8D151B8F7}"/>
    <cellStyle name="Normal 5 2 2 2 2 2 7 3" xfId="11063" xr:uid="{B5220A12-903F-4784-9ABD-C10BCFA2462B}"/>
    <cellStyle name="Normal 5 2 2 2 2 2 7 3 2" xfId="23703" xr:uid="{E7354F28-E5F2-4CAD-9AC9-ABE8158C6A9B}"/>
    <cellStyle name="Normal 5 2 2 2 2 2 7 4" xfId="19492" xr:uid="{E32AF349-F13D-4871-A21E-90F79544D8EE}"/>
    <cellStyle name="Normal 5 2 2 2 2 2 8" xfId="4787" xr:uid="{00000000-0005-0000-0000-00001F170000}"/>
    <cellStyle name="Normal 5 2 2 2 2 2 8 2" xfId="13216" xr:uid="{3131C98B-FC45-4311-BB11-63BFEE0AB88D}"/>
    <cellStyle name="Normal 5 2 2 2 2 2 8 3" xfId="25849" xr:uid="{F3F94E30-9528-4CD4-B4D2-133028DE697B}"/>
    <cellStyle name="Normal 5 2 2 2 2 2 9" xfId="8998" xr:uid="{92565861-07DC-4E5D-BB46-9E500528F1EC}"/>
    <cellStyle name="Normal 5 2 2 2 2 2 9 2" xfId="21638" xr:uid="{5C1F3058-D840-495D-B22E-292EADF5E604}"/>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57CF277F-7F34-420F-9293-98B9717C64C5}"/>
    <cellStyle name="Normal 5 2 2 2 2 3 2 2 2 3" xfId="28409" xr:uid="{E06033C7-FC3E-46B8-BB4E-FCCBA8E7C5BB}"/>
    <cellStyle name="Normal 5 2 2 2 2 3 2 2 3" xfId="11558" xr:uid="{6D6E9B4E-9D5C-45ED-98FF-75285031CFC0}"/>
    <cellStyle name="Normal 5 2 2 2 2 3 2 2 3 2" xfId="24198" xr:uid="{BAA1B9EC-88E7-400F-A417-37DF8CA7F5B0}"/>
    <cellStyle name="Normal 5 2 2 2 2 3 2 2 4" xfId="19987" xr:uid="{E5CB95E6-156C-466A-9B6C-97E6F1E41608}"/>
    <cellStyle name="Normal 5 2 2 2 2 3 2 3" xfId="5202" xr:uid="{00000000-0005-0000-0000-000024170000}"/>
    <cellStyle name="Normal 5 2 2 2 2 3 2 3 2" xfId="13631" xr:uid="{43EFF26A-8671-4D6F-964F-B28820CC4EF9}"/>
    <cellStyle name="Normal 5 2 2 2 2 3 2 3 3" xfId="26264" xr:uid="{7F4268C3-6A65-44B9-9FA2-9DC95C3ECD7D}"/>
    <cellStyle name="Normal 5 2 2 2 2 3 2 4" xfId="9413" xr:uid="{5C800390-6530-40D4-949E-10E478571ABA}"/>
    <cellStyle name="Normal 5 2 2 2 2 3 2 4 2" xfId="22053" xr:uid="{D92561B7-BC88-4C07-A2CE-DBF22EF530D5}"/>
    <cellStyle name="Normal 5 2 2 2 2 3 2 5" xfId="17842" xr:uid="{CFAB76D8-67EA-42D4-95E8-BF69C3F779C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CD11DF98-34C8-46E3-914F-A7E900589D17}"/>
    <cellStyle name="Normal 5 2 2 2 2 3 3 2 2 3" xfId="28822" xr:uid="{B4A5CD34-1F15-44AA-BE47-FCE8E68014AC}"/>
    <cellStyle name="Normal 5 2 2 2 2 3 3 2 3" xfId="11971" xr:uid="{B640B371-493B-44F6-9CED-75EEC930C5FD}"/>
    <cellStyle name="Normal 5 2 2 2 2 3 3 2 3 2" xfId="24611" xr:uid="{71D1631B-63BB-4FC3-BF9A-95CCDCDCDF78}"/>
    <cellStyle name="Normal 5 2 2 2 2 3 3 2 4" xfId="20400" xr:uid="{093448E2-1E10-4E71-8478-B9D09A0A37B7}"/>
    <cellStyle name="Normal 5 2 2 2 2 3 3 3" xfId="5615" xr:uid="{00000000-0005-0000-0000-000028170000}"/>
    <cellStyle name="Normal 5 2 2 2 2 3 3 3 2" xfId="14044" xr:uid="{F71A78FD-1AE2-4F89-B39B-7B332B4EEB61}"/>
    <cellStyle name="Normal 5 2 2 2 2 3 3 3 3" xfId="26677" xr:uid="{1B870663-E48A-42C3-B053-A62BD47C1673}"/>
    <cellStyle name="Normal 5 2 2 2 2 3 3 4" xfId="9826" xr:uid="{39E37604-8602-4051-967C-888EE12040F1}"/>
    <cellStyle name="Normal 5 2 2 2 2 3 3 4 2" xfId="22466" xr:uid="{9A04F885-05AE-4AC6-84B4-9788F2789C5C}"/>
    <cellStyle name="Normal 5 2 2 2 2 3 3 5" xfId="18255" xr:uid="{B65988DF-59E3-45A3-BDB5-8266279DB815}"/>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44888B52-DA1B-4556-A1C9-3AAC96616B3A}"/>
    <cellStyle name="Normal 5 2 2 2 2 3 4 2 2 3" xfId="29235" xr:uid="{4967FA7A-5586-4E85-82CC-9A3D312E24FA}"/>
    <cellStyle name="Normal 5 2 2 2 2 3 4 2 3" xfId="12384" xr:uid="{97227A13-CC50-432F-B019-A5AF128A0000}"/>
    <cellStyle name="Normal 5 2 2 2 2 3 4 2 3 2" xfId="25024" xr:uid="{033196D0-BC00-4D73-978F-4D5626ED974B}"/>
    <cellStyle name="Normal 5 2 2 2 2 3 4 2 4" xfId="20813" xr:uid="{D9608A4F-F556-4D9A-9487-9F37CE72A55E}"/>
    <cellStyle name="Normal 5 2 2 2 2 3 4 3" xfId="6028" xr:uid="{00000000-0005-0000-0000-00002C170000}"/>
    <cellStyle name="Normal 5 2 2 2 2 3 4 3 2" xfId="14457" xr:uid="{D64C5F0A-DC20-41B7-95CC-5BEAFB5DD47E}"/>
    <cellStyle name="Normal 5 2 2 2 2 3 4 3 3" xfId="27090" xr:uid="{77B541B7-94D8-4220-B86C-59F81C3F58C1}"/>
    <cellStyle name="Normal 5 2 2 2 2 3 4 4" xfId="10239" xr:uid="{26AEA9A7-6113-423D-BE91-ECA00F31014F}"/>
    <cellStyle name="Normal 5 2 2 2 2 3 4 4 2" xfId="22879" xr:uid="{7B4C72E3-1B78-4C4B-8265-093B156C3F74}"/>
    <cellStyle name="Normal 5 2 2 2 2 3 4 5" xfId="18668" xr:uid="{975D0D24-5A40-4532-8793-82305C6F4238}"/>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374D04A6-D6C0-49B9-B8CE-1285E193C4B8}"/>
    <cellStyle name="Normal 5 2 2 2 2 3 5 2 2 3" xfId="29648" xr:uid="{6F56C8DF-5348-4228-B227-FB0D835B8859}"/>
    <cellStyle name="Normal 5 2 2 2 2 3 5 2 3" xfId="12797" xr:uid="{11FB767E-83DE-46CA-9AC2-BE9C7A021F13}"/>
    <cellStyle name="Normal 5 2 2 2 2 3 5 2 3 2" xfId="25437" xr:uid="{B8CE4130-7556-47A7-8A27-F7D6240653E1}"/>
    <cellStyle name="Normal 5 2 2 2 2 3 5 2 4" xfId="21226" xr:uid="{300881FC-7CBB-4784-AB43-5CDB6141C646}"/>
    <cellStyle name="Normal 5 2 2 2 2 3 5 3" xfId="6441" xr:uid="{00000000-0005-0000-0000-000030170000}"/>
    <cellStyle name="Normal 5 2 2 2 2 3 5 3 2" xfId="14870" xr:uid="{91A1517D-6E8F-41C8-90AB-7D028828BE5E}"/>
    <cellStyle name="Normal 5 2 2 2 2 3 5 3 3" xfId="27503" xr:uid="{2969659A-4445-45BB-ABF3-8A0911B26CB9}"/>
    <cellStyle name="Normal 5 2 2 2 2 3 5 4" xfId="10652" xr:uid="{AF5CFA61-D0D1-4EB4-B0EB-3868AE171B4B}"/>
    <cellStyle name="Normal 5 2 2 2 2 3 5 4 2" xfId="23292" xr:uid="{2BFD0CBE-25EB-47A0-B521-D45D8AB85E58}"/>
    <cellStyle name="Normal 5 2 2 2 2 3 5 5" xfId="19081" xr:uid="{D2CB85C0-D0DA-40F0-867F-C3B8E06B5622}"/>
    <cellStyle name="Normal 5 2 2 2 2 3 6" xfId="2569" xr:uid="{00000000-0005-0000-0000-000031170000}"/>
    <cellStyle name="Normal 5 2 2 2 2 3 6 2" xfId="6854" xr:uid="{00000000-0005-0000-0000-000032170000}"/>
    <cellStyle name="Normal 5 2 2 2 2 3 6 2 2" xfId="15283" xr:uid="{2DB1A5A3-EB48-48FD-AACD-5D7AB1D998CA}"/>
    <cellStyle name="Normal 5 2 2 2 2 3 6 2 3" xfId="27916" xr:uid="{B4E63EC3-F5B2-4A8D-9E61-4FB3CDDF99E0}"/>
    <cellStyle name="Normal 5 2 2 2 2 3 6 3" xfId="11065" xr:uid="{AC12F276-0150-48B2-8225-457B350E40F2}"/>
    <cellStyle name="Normal 5 2 2 2 2 3 6 3 2" xfId="23705" xr:uid="{EAE573A3-F4DC-4C07-870A-EF61B6E0CC8F}"/>
    <cellStyle name="Normal 5 2 2 2 2 3 6 4" xfId="19494" xr:uid="{3A49099E-B62C-4ACF-8494-4757058B80A9}"/>
    <cellStyle name="Normal 5 2 2 2 2 3 7" xfId="4789" xr:uid="{00000000-0005-0000-0000-000033170000}"/>
    <cellStyle name="Normal 5 2 2 2 2 3 7 2" xfId="13218" xr:uid="{D22DEAA8-293E-4009-94B4-A28B2153A670}"/>
    <cellStyle name="Normal 5 2 2 2 2 3 7 3" xfId="25851" xr:uid="{024C4C14-8866-46BC-9EDA-E2911FA87579}"/>
    <cellStyle name="Normal 5 2 2 2 2 3 8" xfId="9000" xr:uid="{ED5E7383-BD9C-4878-A25E-026182F9584C}"/>
    <cellStyle name="Normal 5 2 2 2 2 3 8 2" xfId="21640" xr:uid="{3FF029A1-BA15-4E26-AA48-75E246DAD401}"/>
    <cellStyle name="Normal 5 2 2 2 2 3 9" xfId="17429" xr:uid="{EABB15E5-E1BF-4E77-ADC1-25EB2EAEDE25}"/>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3DDC4484-9664-4DDF-9F4B-6FACF027EFFA}"/>
    <cellStyle name="Normal 5 2 2 2 2 4 2 2 3" xfId="28406" xr:uid="{D54855B4-0657-4BCA-91F8-99D9A94C88C2}"/>
    <cellStyle name="Normal 5 2 2 2 2 4 2 3" xfId="11555" xr:uid="{CF181067-7151-471E-8879-75E5CEB4CDB8}"/>
    <cellStyle name="Normal 5 2 2 2 2 4 2 3 2" xfId="24195" xr:uid="{2BAE1E3D-4EAB-451F-8413-7542EFC24FA9}"/>
    <cellStyle name="Normal 5 2 2 2 2 4 2 4" xfId="19984" xr:uid="{BA860D8B-A628-4289-A568-1372A7D5E8C5}"/>
    <cellStyle name="Normal 5 2 2 2 2 4 3" xfId="5199" xr:uid="{00000000-0005-0000-0000-000037170000}"/>
    <cellStyle name="Normal 5 2 2 2 2 4 3 2" xfId="13628" xr:uid="{1AE526CB-7320-4AF6-84FA-93E46C18C507}"/>
    <cellStyle name="Normal 5 2 2 2 2 4 3 3" xfId="26261" xr:uid="{BF2079F4-A36A-451A-B2F2-E7A04AF321F1}"/>
    <cellStyle name="Normal 5 2 2 2 2 4 4" xfId="9410" xr:uid="{9DCC974E-56FE-4C08-BF24-46378E747D51}"/>
    <cellStyle name="Normal 5 2 2 2 2 4 4 2" xfId="22050" xr:uid="{AA3671B2-0B6A-45D3-9DF5-C5AB55E2A653}"/>
    <cellStyle name="Normal 5 2 2 2 2 4 5" xfId="17839" xr:uid="{ED0DFC8B-A271-4102-B3FF-2286135F18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E0309113-12FE-419A-B253-3F4C7CA72ACA}"/>
    <cellStyle name="Normal 5 2 2 2 2 5 2 2 3" xfId="28819" xr:uid="{2FD1A941-1721-43CD-AE3F-9E779A3A0B3F}"/>
    <cellStyle name="Normal 5 2 2 2 2 5 2 3" xfId="11968" xr:uid="{0BF09DFD-3668-49E1-89C5-ADDEF6B3F400}"/>
    <cellStyle name="Normal 5 2 2 2 2 5 2 3 2" xfId="24608" xr:uid="{1DCEC8A2-BCD3-4C34-A681-AF2998CD327A}"/>
    <cellStyle name="Normal 5 2 2 2 2 5 2 4" xfId="20397" xr:uid="{476462E4-25E6-4BB2-B1D9-4F9266C0821C}"/>
    <cellStyle name="Normal 5 2 2 2 2 5 3" xfId="5612" xr:uid="{00000000-0005-0000-0000-00003B170000}"/>
    <cellStyle name="Normal 5 2 2 2 2 5 3 2" xfId="14041" xr:uid="{A02C320E-EC93-49A9-B5AB-C107E40AF9D8}"/>
    <cellStyle name="Normal 5 2 2 2 2 5 3 3" xfId="26674" xr:uid="{2AFBC2A1-959A-4027-92CA-B6A22788A607}"/>
    <cellStyle name="Normal 5 2 2 2 2 5 4" xfId="9823" xr:uid="{94BDD8BC-D1D7-423A-99F1-BFAC00126020}"/>
    <cellStyle name="Normal 5 2 2 2 2 5 4 2" xfId="22463" xr:uid="{56DB9042-FDA9-4049-B0FA-B043F4CCB97B}"/>
    <cellStyle name="Normal 5 2 2 2 2 5 5" xfId="18252" xr:uid="{A84E6D1C-0647-42C2-B1E7-72F39F7A406B}"/>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ECD2A9ED-3A52-4FA2-8080-30313D24ABC4}"/>
    <cellStyle name="Normal 5 2 2 2 2 6 2 2 3" xfId="29232" xr:uid="{18CC72AC-9763-4617-8CDB-243C93389C63}"/>
    <cellStyle name="Normal 5 2 2 2 2 6 2 3" xfId="12381" xr:uid="{80E38F95-B130-4091-A109-0AEA97BB655A}"/>
    <cellStyle name="Normal 5 2 2 2 2 6 2 3 2" xfId="25021" xr:uid="{952CF6DA-627B-4038-B226-6E18DAE09F6A}"/>
    <cellStyle name="Normal 5 2 2 2 2 6 2 4" xfId="20810" xr:uid="{01519654-439B-4CF5-8C45-E208D75AEA9C}"/>
    <cellStyle name="Normal 5 2 2 2 2 6 3" xfId="6025" xr:uid="{00000000-0005-0000-0000-00003F170000}"/>
    <cellStyle name="Normal 5 2 2 2 2 6 3 2" xfId="14454" xr:uid="{057E6B80-6822-4AEB-AFD7-65898DE28737}"/>
    <cellStyle name="Normal 5 2 2 2 2 6 3 3" xfId="27087" xr:uid="{7BC2F7DD-2AC5-43BE-9784-10BCE672B410}"/>
    <cellStyle name="Normal 5 2 2 2 2 6 4" xfId="10236" xr:uid="{A01F6254-17A0-4925-8D00-C3CD1BD38C5F}"/>
    <cellStyle name="Normal 5 2 2 2 2 6 4 2" xfId="22876" xr:uid="{1FFA6477-B776-4180-B36D-0307A7915176}"/>
    <cellStyle name="Normal 5 2 2 2 2 6 5" xfId="18665" xr:uid="{53AC17C2-D537-4612-AE04-997D341DEC46}"/>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759D546D-4DA3-4A73-83DE-B5CB318014F8}"/>
    <cellStyle name="Normal 5 2 2 2 2 7 2 2 3" xfId="29645" xr:uid="{94EEF9CD-0A77-44AB-8ACE-04ACF917A5DE}"/>
    <cellStyle name="Normal 5 2 2 2 2 7 2 3" xfId="12794" xr:uid="{BD1E6521-C64B-453F-A200-CA85132D06FC}"/>
    <cellStyle name="Normal 5 2 2 2 2 7 2 3 2" xfId="25434" xr:uid="{EE6CA55E-752F-4B6C-BCBA-B6E012608FDE}"/>
    <cellStyle name="Normal 5 2 2 2 2 7 2 4" xfId="21223" xr:uid="{66BBE65C-781C-45B3-9071-F32CC74D23D9}"/>
    <cellStyle name="Normal 5 2 2 2 2 7 3" xfId="6438" xr:uid="{00000000-0005-0000-0000-000043170000}"/>
    <cellStyle name="Normal 5 2 2 2 2 7 3 2" xfId="14867" xr:uid="{02FFF7E5-FD39-463D-8FA0-39CEC829209C}"/>
    <cellStyle name="Normal 5 2 2 2 2 7 3 3" xfId="27500" xr:uid="{70E489C0-AC1A-43E1-92C3-CCEE5FA3E453}"/>
    <cellStyle name="Normal 5 2 2 2 2 7 4" xfId="10649" xr:uid="{9C31D8E5-B4A7-4292-966A-5131C8A3DBCC}"/>
    <cellStyle name="Normal 5 2 2 2 2 7 4 2" xfId="23289" xr:uid="{02236207-175B-438D-8829-A0EBC41154DA}"/>
    <cellStyle name="Normal 5 2 2 2 2 7 5" xfId="19078" xr:uid="{D2A5734C-46A9-4A76-9D27-660E9C1EAA85}"/>
    <cellStyle name="Normal 5 2 2 2 2 8" xfId="2566" xr:uid="{00000000-0005-0000-0000-000044170000}"/>
    <cellStyle name="Normal 5 2 2 2 2 8 2" xfId="6851" xr:uid="{00000000-0005-0000-0000-000045170000}"/>
    <cellStyle name="Normal 5 2 2 2 2 8 2 2" xfId="15280" xr:uid="{D7C5A87D-98A6-4CC5-B85B-6E652821250F}"/>
    <cellStyle name="Normal 5 2 2 2 2 8 2 3" xfId="27913" xr:uid="{87A81BE3-3E71-4F72-8FA0-C290BAADA6B8}"/>
    <cellStyle name="Normal 5 2 2 2 2 8 3" xfId="11062" xr:uid="{6ECECC0C-F056-4F15-B691-C81AFAB4229B}"/>
    <cellStyle name="Normal 5 2 2 2 2 8 3 2" xfId="23702" xr:uid="{BBB463CB-285C-4AFB-9D2D-574081782020}"/>
    <cellStyle name="Normal 5 2 2 2 2 8 4" xfId="19491" xr:uid="{661959D1-F154-4B5B-85E5-42313A9361E8}"/>
    <cellStyle name="Normal 5 2 2 2 2 9" xfId="4786" xr:uid="{00000000-0005-0000-0000-000046170000}"/>
    <cellStyle name="Normal 5 2 2 2 2 9 2" xfId="13215" xr:uid="{C1251B80-35DD-4140-8377-D99002344A3C}"/>
    <cellStyle name="Normal 5 2 2 2 2 9 3" xfId="25848" xr:uid="{47B7D1E4-805B-4E30-8E1F-172E19ABD204}"/>
    <cellStyle name="Normal 5 2 2 2 3" xfId="414" xr:uid="{00000000-0005-0000-0000-000047170000}"/>
    <cellStyle name="Normal 5 2 2 2 3 10" xfId="17430" xr:uid="{CD08E2B4-FAF4-4AB6-81A6-B7E01F31D8F9}"/>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5DE3F7E6-8F6F-41C4-AADB-35CA0E8C0A68}"/>
    <cellStyle name="Normal 5 2 2 2 3 2 2 2 2 3" xfId="28411" xr:uid="{A418924B-7F85-4B9E-845E-5A142395B3D2}"/>
    <cellStyle name="Normal 5 2 2 2 3 2 2 2 3" xfId="11560" xr:uid="{AB3F134B-017C-4961-9C26-3F629ACA564C}"/>
    <cellStyle name="Normal 5 2 2 2 3 2 2 2 3 2" xfId="24200" xr:uid="{4EDD55E8-F8CD-49FF-A7AD-00BBB146F4BF}"/>
    <cellStyle name="Normal 5 2 2 2 3 2 2 2 4" xfId="19989" xr:uid="{C85ABAF7-19CD-4207-8B6E-8A82886DFB5A}"/>
    <cellStyle name="Normal 5 2 2 2 3 2 2 3" xfId="5204" xr:uid="{00000000-0005-0000-0000-00004C170000}"/>
    <cellStyle name="Normal 5 2 2 2 3 2 2 3 2" xfId="13633" xr:uid="{00D91073-38E3-4C16-8B38-4B7A7391327E}"/>
    <cellStyle name="Normal 5 2 2 2 3 2 2 3 3" xfId="26266" xr:uid="{9BE2B394-386E-48F0-99C3-3DFB4E457361}"/>
    <cellStyle name="Normal 5 2 2 2 3 2 2 4" xfId="9415" xr:uid="{D86B2A0B-2061-42E1-902B-DBB5CC086E2A}"/>
    <cellStyle name="Normal 5 2 2 2 3 2 2 4 2" xfId="22055" xr:uid="{70326135-8934-4761-B33D-40F29A8D1177}"/>
    <cellStyle name="Normal 5 2 2 2 3 2 2 5" xfId="17844" xr:uid="{01C60089-881E-4EA0-9046-1722DF3C00D9}"/>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5C3B4793-434F-40E2-A9BB-817D6B0B5185}"/>
    <cellStyle name="Normal 5 2 2 2 3 2 3 2 2 3" xfId="28824" xr:uid="{63F7C46C-C579-4C6A-B19E-05118B02510F}"/>
    <cellStyle name="Normal 5 2 2 2 3 2 3 2 3" xfId="11973" xr:uid="{EABCD3CF-D184-4ED4-8EFD-60CEA795F128}"/>
    <cellStyle name="Normal 5 2 2 2 3 2 3 2 3 2" xfId="24613" xr:uid="{B50F0D09-53CA-49D9-8C76-1D7FBA47A75D}"/>
    <cellStyle name="Normal 5 2 2 2 3 2 3 2 4" xfId="20402" xr:uid="{5E9C56BF-7B2B-4878-BE14-515FB58B9469}"/>
    <cellStyle name="Normal 5 2 2 2 3 2 3 3" xfId="5617" xr:uid="{00000000-0005-0000-0000-000050170000}"/>
    <cellStyle name="Normal 5 2 2 2 3 2 3 3 2" xfId="14046" xr:uid="{AB9CECFC-8C60-4566-8908-93D4792F9D3C}"/>
    <cellStyle name="Normal 5 2 2 2 3 2 3 3 3" xfId="26679" xr:uid="{AFD3D11F-FACF-4EA0-8DA4-47293E76A6CD}"/>
    <cellStyle name="Normal 5 2 2 2 3 2 3 4" xfId="9828" xr:uid="{82A6973A-AFB9-40AB-B046-4A56AE018A48}"/>
    <cellStyle name="Normal 5 2 2 2 3 2 3 4 2" xfId="22468" xr:uid="{3DD2E1E2-34C5-449A-BB8F-93A152530F8D}"/>
    <cellStyle name="Normal 5 2 2 2 3 2 3 5" xfId="18257" xr:uid="{CFEB3225-945E-4E6A-B1EF-2D064E70E3C5}"/>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C2998DA2-E0BF-482B-BEA7-8D1111BEF9A4}"/>
    <cellStyle name="Normal 5 2 2 2 3 2 4 2 2 3" xfId="29237" xr:uid="{E8AB5C25-02DA-4205-A985-6A6C770A5EA5}"/>
    <cellStyle name="Normal 5 2 2 2 3 2 4 2 3" xfId="12386" xr:uid="{DB1E1B6D-2837-4E35-AB3A-FD8AC6480319}"/>
    <cellStyle name="Normal 5 2 2 2 3 2 4 2 3 2" xfId="25026" xr:uid="{9BCAEE65-6513-4E7B-928C-6AA4FEFC8E4F}"/>
    <cellStyle name="Normal 5 2 2 2 3 2 4 2 4" xfId="20815" xr:uid="{DD2DD8A9-AE47-4AAA-B66A-CE502E86AC51}"/>
    <cellStyle name="Normal 5 2 2 2 3 2 4 3" xfId="6030" xr:uid="{00000000-0005-0000-0000-000054170000}"/>
    <cellStyle name="Normal 5 2 2 2 3 2 4 3 2" xfId="14459" xr:uid="{D42BA9E2-242C-4214-809F-1B5D84121434}"/>
    <cellStyle name="Normal 5 2 2 2 3 2 4 3 3" xfId="27092" xr:uid="{0C643FEE-CB42-4E5D-8845-093E9CE001C3}"/>
    <cellStyle name="Normal 5 2 2 2 3 2 4 4" xfId="10241" xr:uid="{C6B49A19-C9E6-4172-B3B4-1DE8EC7C9668}"/>
    <cellStyle name="Normal 5 2 2 2 3 2 4 4 2" xfId="22881" xr:uid="{CFB7B809-F2CB-4B58-B380-B480027CF2F2}"/>
    <cellStyle name="Normal 5 2 2 2 3 2 4 5" xfId="18670" xr:uid="{2D601E2A-B573-4703-A493-98A78222851F}"/>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95A4DB5D-9AE9-4612-98A3-ED957A41E244}"/>
    <cellStyle name="Normal 5 2 2 2 3 2 5 2 2 3" xfId="29650" xr:uid="{D8A90EC8-7347-4A0C-87DD-8FC21847E2A2}"/>
    <cellStyle name="Normal 5 2 2 2 3 2 5 2 3" xfId="12799" xr:uid="{9492DFA9-F0E3-432E-BAEE-0BF7BEB76322}"/>
    <cellStyle name="Normal 5 2 2 2 3 2 5 2 3 2" xfId="25439" xr:uid="{F2475C42-0A31-40FB-ABC4-C713ADA92CBF}"/>
    <cellStyle name="Normal 5 2 2 2 3 2 5 2 4" xfId="21228" xr:uid="{B0B14AD0-6F16-4406-B414-3BE02C7F3840}"/>
    <cellStyle name="Normal 5 2 2 2 3 2 5 3" xfId="6443" xr:uid="{00000000-0005-0000-0000-000058170000}"/>
    <cellStyle name="Normal 5 2 2 2 3 2 5 3 2" xfId="14872" xr:uid="{A89F1FF4-5E87-4BBC-9BB3-1A430CAC3098}"/>
    <cellStyle name="Normal 5 2 2 2 3 2 5 3 3" xfId="27505" xr:uid="{8AC665AA-26B1-473C-8EF5-D822AE1E9D3C}"/>
    <cellStyle name="Normal 5 2 2 2 3 2 5 4" xfId="10654" xr:uid="{03BC50B1-BA60-4970-9801-D4F5EECEA2F1}"/>
    <cellStyle name="Normal 5 2 2 2 3 2 5 4 2" xfId="23294" xr:uid="{46EA6347-F38D-4E8F-B35E-24DFEDCB2BEB}"/>
    <cellStyle name="Normal 5 2 2 2 3 2 5 5" xfId="19083" xr:uid="{028B6AF7-721F-4372-BD2D-19DDCD5A58E0}"/>
    <cellStyle name="Normal 5 2 2 2 3 2 6" xfId="2571" xr:uid="{00000000-0005-0000-0000-000059170000}"/>
    <cellStyle name="Normal 5 2 2 2 3 2 6 2" xfId="6856" xr:uid="{00000000-0005-0000-0000-00005A170000}"/>
    <cellStyle name="Normal 5 2 2 2 3 2 6 2 2" xfId="15285" xr:uid="{E8F389E8-2B04-42ED-BD6D-257EDBE79A75}"/>
    <cellStyle name="Normal 5 2 2 2 3 2 6 2 3" xfId="27918" xr:uid="{9642A0D0-AF4B-4967-83AD-F304CF469198}"/>
    <cellStyle name="Normal 5 2 2 2 3 2 6 3" xfId="11067" xr:uid="{0EC28603-878F-4654-B478-192C9B7D6C84}"/>
    <cellStyle name="Normal 5 2 2 2 3 2 6 3 2" xfId="23707" xr:uid="{3F8F25E2-0D62-4309-89E3-3E3861B7A111}"/>
    <cellStyle name="Normal 5 2 2 2 3 2 6 4" xfId="19496" xr:uid="{856F494A-8734-4902-B487-D9920C3CA4E8}"/>
    <cellStyle name="Normal 5 2 2 2 3 2 7" xfId="4791" xr:uid="{00000000-0005-0000-0000-00005B170000}"/>
    <cellStyle name="Normal 5 2 2 2 3 2 7 2" xfId="13220" xr:uid="{6223135B-B74E-40A2-A7DB-E8E5FB19F530}"/>
    <cellStyle name="Normal 5 2 2 2 3 2 7 3" xfId="25853" xr:uid="{7614F4B9-8ADD-40B5-AE12-6FB62B56F149}"/>
    <cellStyle name="Normal 5 2 2 2 3 2 8" xfId="9002" xr:uid="{B444F5DE-6E64-4750-B797-642082068485}"/>
    <cellStyle name="Normal 5 2 2 2 3 2 8 2" xfId="21642" xr:uid="{23F66D63-4938-49C4-A583-AD371A8FDFA2}"/>
    <cellStyle name="Normal 5 2 2 2 3 2 9" xfId="17431" xr:uid="{4C37D331-6DE6-4D9E-B973-8034B94607A3}"/>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DD56D8E1-882F-4DE4-BE98-AB5754F44261}"/>
    <cellStyle name="Normal 5 2 2 2 3 3 2 2 3" xfId="28410" xr:uid="{F25CADB9-6C5C-4953-982B-0D01CC8B1222}"/>
    <cellStyle name="Normal 5 2 2 2 3 3 2 3" xfId="11559" xr:uid="{025873CE-D54F-41D9-8CF5-42AD4F8F8F20}"/>
    <cellStyle name="Normal 5 2 2 2 3 3 2 3 2" xfId="24199" xr:uid="{6A5DC431-C60F-4781-A97F-63CC633594A0}"/>
    <cellStyle name="Normal 5 2 2 2 3 3 2 4" xfId="19988" xr:uid="{6EA8ACD6-FF16-47E0-9266-2A1FD2E04D26}"/>
    <cellStyle name="Normal 5 2 2 2 3 3 3" xfId="5203" xr:uid="{00000000-0005-0000-0000-00005F170000}"/>
    <cellStyle name="Normal 5 2 2 2 3 3 3 2" xfId="13632" xr:uid="{385C2D4B-5009-4820-AA75-27942799918C}"/>
    <cellStyle name="Normal 5 2 2 2 3 3 3 3" xfId="26265" xr:uid="{C48DD0A3-1E83-44F6-81BE-8849E5071ED5}"/>
    <cellStyle name="Normal 5 2 2 2 3 3 4" xfId="9414" xr:uid="{A0101081-C2FF-47DA-922F-F0907A8C18EB}"/>
    <cellStyle name="Normal 5 2 2 2 3 3 4 2" xfId="22054" xr:uid="{09D56F04-F69F-4DFB-8EBF-25F16EE765A2}"/>
    <cellStyle name="Normal 5 2 2 2 3 3 5" xfId="17843" xr:uid="{BDBB901E-69E6-4E6F-9083-3CAF0586EE01}"/>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3C6DB364-B2CB-44D4-8E24-4C5228F2D22E}"/>
    <cellStyle name="Normal 5 2 2 2 3 4 2 2 3" xfId="28823" xr:uid="{2162662A-065E-4DAB-9923-014484852DC3}"/>
    <cellStyle name="Normal 5 2 2 2 3 4 2 3" xfId="11972" xr:uid="{62921411-94FF-4F94-A53B-688FA503BC4B}"/>
    <cellStyle name="Normal 5 2 2 2 3 4 2 3 2" xfId="24612" xr:uid="{816749EC-0C39-48C3-87DF-C598430AA1A0}"/>
    <cellStyle name="Normal 5 2 2 2 3 4 2 4" xfId="20401" xr:uid="{BA3FC0C1-3631-402A-9E49-A2B34DA80AEC}"/>
    <cellStyle name="Normal 5 2 2 2 3 4 3" xfId="5616" xr:uid="{00000000-0005-0000-0000-000063170000}"/>
    <cellStyle name="Normal 5 2 2 2 3 4 3 2" xfId="14045" xr:uid="{BE1452A1-994F-466B-9A53-10CF303EC9CF}"/>
    <cellStyle name="Normal 5 2 2 2 3 4 3 3" xfId="26678" xr:uid="{175665F5-B35E-4AF5-8788-E4FF124DC3B5}"/>
    <cellStyle name="Normal 5 2 2 2 3 4 4" xfId="9827" xr:uid="{7CD3B692-AF18-451E-A63B-72D905F2F6C3}"/>
    <cellStyle name="Normal 5 2 2 2 3 4 4 2" xfId="22467" xr:uid="{0B1D284F-2B9F-4F98-9626-30185EFB9DF5}"/>
    <cellStyle name="Normal 5 2 2 2 3 4 5" xfId="18256" xr:uid="{D7B1263D-A5E8-4A4D-8AB6-9966D424F8C3}"/>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1AAE2A6A-4C21-4A3E-9108-FB6D00A3118F}"/>
    <cellStyle name="Normal 5 2 2 2 3 5 2 2 3" xfId="29236" xr:uid="{DFB8DB8B-FBBA-42A2-9572-E083A96EAB01}"/>
    <cellStyle name="Normal 5 2 2 2 3 5 2 3" xfId="12385" xr:uid="{82E7EAE4-0AD5-41D8-A1C8-212361846B08}"/>
    <cellStyle name="Normal 5 2 2 2 3 5 2 3 2" xfId="25025" xr:uid="{80A3ADDD-B590-46D4-865F-760AC285667B}"/>
    <cellStyle name="Normal 5 2 2 2 3 5 2 4" xfId="20814" xr:uid="{B64CCDCA-39DF-4972-A7CD-709DC6BFB389}"/>
    <cellStyle name="Normal 5 2 2 2 3 5 3" xfId="6029" xr:uid="{00000000-0005-0000-0000-000067170000}"/>
    <cellStyle name="Normal 5 2 2 2 3 5 3 2" xfId="14458" xr:uid="{0B59F9D5-FF8E-4CA9-955B-5681018676A7}"/>
    <cellStyle name="Normal 5 2 2 2 3 5 3 3" xfId="27091" xr:uid="{A55E5C39-BFE3-42CC-8AE2-0597358145C3}"/>
    <cellStyle name="Normal 5 2 2 2 3 5 4" xfId="10240" xr:uid="{DCF7BFD3-5D20-461B-A1D4-46118AFEED7E}"/>
    <cellStyle name="Normal 5 2 2 2 3 5 4 2" xfId="22880" xr:uid="{ABD971FF-AACC-4EA2-BBF6-9BB99C334E33}"/>
    <cellStyle name="Normal 5 2 2 2 3 5 5" xfId="18669" xr:uid="{DEEB2707-1CC1-4BE5-886E-DD0C6F627904}"/>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7F75E0E7-CAD0-4D40-BEE3-7430FE5EA3E9}"/>
    <cellStyle name="Normal 5 2 2 2 3 6 2 2 3" xfId="29649" xr:uid="{9EF63036-6945-4E40-AEFC-7ED242A7CBEA}"/>
    <cellStyle name="Normal 5 2 2 2 3 6 2 3" xfId="12798" xr:uid="{AA988B50-E660-41FF-AEAD-EC043158120B}"/>
    <cellStyle name="Normal 5 2 2 2 3 6 2 3 2" xfId="25438" xr:uid="{DDF72EAF-8EC5-4AC2-B24B-E67F6A0A1676}"/>
    <cellStyle name="Normal 5 2 2 2 3 6 2 4" xfId="21227" xr:uid="{50B053B6-0278-4A70-BEE9-A5BF3DA641F9}"/>
    <cellStyle name="Normal 5 2 2 2 3 6 3" xfId="6442" xr:uid="{00000000-0005-0000-0000-00006B170000}"/>
    <cellStyle name="Normal 5 2 2 2 3 6 3 2" xfId="14871" xr:uid="{1C976EF2-0457-4506-9C23-9125A99D9AB1}"/>
    <cellStyle name="Normal 5 2 2 2 3 6 3 3" xfId="27504" xr:uid="{7A0227B5-AB08-4301-88DE-C7A52EEC7C22}"/>
    <cellStyle name="Normal 5 2 2 2 3 6 4" xfId="10653" xr:uid="{179C6489-C51A-4EFE-AB6C-BB347B031430}"/>
    <cellStyle name="Normal 5 2 2 2 3 6 4 2" xfId="23293" xr:uid="{F3193CFD-4214-4BC4-AEF6-05BE3633DA6F}"/>
    <cellStyle name="Normal 5 2 2 2 3 6 5" xfId="19082" xr:uid="{531D5DAB-76C3-4058-BB90-110A38B11C71}"/>
    <cellStyle name="Normal 5 2 2 2 3 7" xfId="2570" xr:uid="{00000000-0005-0000-0000-00006C170000}"/>
    <cellStyle name="Normal 5 2 2 2 3 7 2" xfId="6855" xr:uid="{00000000-0005-0000-0000-00006D170000}"/>
    <cellStyle name="Normal 5 2 2 2 3 7 2 2" xfId="15284" xr:uid="{CD9CE1F9-EE98-462F-B0F1-AF36C6898BEE}"/>
    <cellStyle name="Normal 5 2 2 2 3 7 2 3" xfId="27917" xr:uid="{5975D131-0F21-4F83-8307-B86BBE003858}"/>
    <cellStyle name="Normal 5 2 2 2 3 7 3" xfId="11066" xr:uid="{6138CBC8-9ABC-43A0-A81A-207336740422}"/>
    <cellStyle name="Normal 5 2 2 2 3 7 3 2" xfId="23706" xr:uid="{4AB67EEA-BCD6-48C1-ABA1-592CEEA173DF}"/>
    <cellStyle name="Normal 5 2 2 2 3 7 4" xfId="19495" xr:uid="{79089BD9-B7AB-4FAA-B376-8B90A82DDF09}"/>
    <cellStyle name="Normal 5 2 2 2 3 8" xfId="4790" xr:uid="{00000000-0005-0000-0000-00006E170000}"/>
    <cellStyle name="Normal 5 2 2 2 3 8 2" xfId="13219" xr:uid="{750E6B7A-E515-4F53-920F-60ECEA6130F3}"/>
    <cellStyle name="Normal 5 2 2 2 3 8 3" xfId="25852" xr:uid="{3CEF4E6C-DE00-408B-82CD-DD1946497B3E}"/>
    <cellStyle name="Normal 5 2 2 2 3 9" xfId="9001" xr:uid="{88CDD884-78F7-4A05-9734-5EAB70658ED3}"/>
    <cellStyle name="Normal 5 2 2 2 3 9 2" xfId="21641" xr:uid="{7C75E89B-80AD-40AE-9381-E2B34B59F16C}"/>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D9B21C2A-F2DF-4C4E-8404-F79DB3E1C1B1}"/>
    <cellStyle name="Normal 5 2 2 2 4 2 2 2 3" xfId="28412" xr:uid="{E48DA33D-873E-4B3E-B063-76C9503C06DC}"/>
    <cellStyle name="Normal 5 2 2 2 4 2 2 3" xfId="11561" xr:uid="{74FB51D6-F8A5-4098-9588-9BEE0F323D6F}"/>
    <cellStyle name="Normal 5 2 2 2 4 2 2 3 2" xfId="24201" xr:uid="{E336C82C-4E4E-4C35-8B87-6D9BF925FC8A}"/>
    <cellStyle name="Normal 5 2 2 2 4 2 2 4" xfId="19990" xr:uid="{44ED2D53-41C6-4405-AB4D-04B8F0F878C9}"/>
    <cellStyle name="Normal 5 2 2 2 4 2 3" xfId="5205" xr:uid="{00000000-0005-0000-0000-000073170000}"/>
    <cellStyle name="Normal 5 2 2 2 4 2 3 2" xfId="13634" xr:uid="{DE0A1991-2377-4B07-AF51-AB3045DF4D91}"/>
    <cellStyle name="Normal 5 2 2 2 4 2 3 3" xfId="26267" xr:uid="{BC1E73FD-B7E4-443E-8050-A03943CEF804}"/>
    <cellStyle name="Normal 5 2 2 2 4 2 4" xfId="9416" xr:uid="{5B09ACD0-C8FF-495F-B9F3-3F0AE4479850}"/>
    <cellStyle name="Normal 5 2 2 2 4 2 4 2" xfId="22056" xr:uid="{53FD87D7-8EF9-418B-B471-4892056D7D61}"/>
    <cellStyle name="Normal 5 2 2 2 4 2 5" xfId="17845" xr:uid="{E8BE7456-C3DF-4128-8A04-ABBC714FFB86}"/>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CA7A1A82-4104-470C-A412-6F8950DB6FBC}"/>
    <cellStyle name="Normal 5 2 2 2 4 3 2 2 3" xfId="28825" xr:uid="{8CD7B528-9F4E-4280-B8E4-E870F4FE7E96}"/>
    <cellStyle name="Normal 5 2 2 2 4 3 2 3" xfId="11974" xr:uid="{40AAA529-5C51-48F1-A0C0-4725E30215F6}"/>
    <cellStyle name="Normal 5 2 2 2 4 3 2 3 2" xfId="24614" xr:uid="{1D758E8E-BCE8-4DB6-9195-0166F666FC4F}"/>
    <cellStyle name="Normal 5 2 2 2 4 3 2 4" xfId="20403" xr:uid="{FA8EABFC-410A-47DB-AC81-1887E5973591}"/>
    <cellStyle name="Normal 5 2 2 2 4 3 3" xfId="5618" xr:uid="{00000000-0005-0000-0000-000077170000}"/>
    <cellStyle name="Normal 5 2 2 2 4 3 3 2" xfId="14047" xr:uid="{DF8212C6-5713-48BC-A658-8F4C9F063D91}"/>
    <cellStyle name="Normal 5 2 2 2 4 3 3 3" xfId="26680" xr:uid="{889BEAC9-A081-41B6-BB93-DE3539A4BAD6}"/>
    <cellStyle name="Normal 5 2 2 2 4 3 4" xfId="9829" xr:uid="{FCF1E887-687F-42EE-B5A5-0C0A87627295}"/>
    <cellStyle name="Normal 5 2 2 2 4 3 4 2" xfId="22469" xr:uid="{1F30187F-A915-4923-A3A2-576EA86BB952}"/>
    <cellStyle name="Normal 5 2 2 2 4 3 5" xfId="18258" xr:uid="{10D34412-A58D-498B-A93B-69A046EDFB42}"/>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2422E94E-478F-4369-873E-41F7C11B3012}"/>
    <cellStyle name="Normal 5 2 2 2 4 4 2 2 3" xfId="29238" xr:uid="{C62A4901-9FF6-4B2A-8A84-28568B9C1A9B}"/>
    <cellStyle name="Normal 5 2 2 2 4 4 2 3" xfId="12387" xr:uid="{B3EC4C44-E6D4-4B4C-84F6-D1EEA20F131D}"/>
    <cellStyle name="Normal 5 2 2 2 4 4 2 3 2" xfId="25027" xr:uid="{ECB3F31A-667D-4F59-B2B7-420D8CF1CD9A}"/>
    <cellStyle name="Normal 5 2 2 2 4 4 2 4" xfId="20816" xr:uid="{2C1F6FFF-48C1-4F56-A511-46E236804F9C}"/>
    <cellStyle name="Normal 5 2 2 2 4 4 3" xfId="6031" xr:uid="{00000000-0005-0000-0000-00007B170000}"/>
    <cellStyle name="Normal 5 2 2 2 4 4 3 2" xfId="14460" xr:uid="{692D38D1-A2DE-4DCF-9B4D-7A86A1B9A5C8}"/>
    <cellStyle name="Normal 5 2 2 2 4 4 3 3" xfId="27093" xr:uid="{65B6BB71-117A-41A1-AB71-8DAC39B691AC}"/>
    <cellStyle name="Normal 5 2 2 2 4 4 4" xfId="10242" xr:uid="{510F6120-88A1-4BFA-89AC-0AAA0609A900}"/>
    <cellStyle name="Normal 5 2 2 2 4 4 4 2" xfId="22882" xr:uid="{E39A30C8-6305-4530-91C4-180DB2444881}"/>
    <cellStyle name="Normal 5 2 2 2 4 4 5" xfId="18671" xr:uid="{3D3A203B-EEE2-4F11-8563-62EBF957929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4235184B-017C-455F-8237-3BFBB8BAE32B}"/>
    <cellStyle name="Normal 5 2 2 2 4 5 2 2 3" xfId="29651" xr:uid="{A116C1C3-49EA-493E-8833-3CF3D2EE5164}"/>
    <cellStyle name="Normal 5 2 2 2 4 5 2 3" xfId="12800" xr:uid="{359879F3-2369-435A-A117-8DFDB128D3D3}"/>
    <cellStyle name="Normal 5 2 2 2 4 5 2 3 2" xfId="25440" xr:uid="{E82238E8-1A2F-433C-85AB-8AA822047B17}"/>
    <cellStyle name="Normal 5 2 2 2 4 5 2 4" xfId="21229" xr:uid="{4D864556-C299-4DBE-B987-41656FFC8EB2}"/>
    <cellStyle name="Normal 5 2 2 2 4 5 3" xfId="6444" xr:uid="{00000000-0005-0000-0000-00007F170000}"/>
    <cellStyle name="Normal 5 2 2 2 4 5 3 2" xfId="14873" xr:uid="{C5111650-65BD-46A9-A271-6AEDD4017DBD}"/>
    <cellStyle name="Normal 5 2 2 2 4 5 3 3" xfId="27506" xr:uid="{33284A57-6106-4AEE-AB6C-7C99BE185E9B}"/>
    <cellStyle name="Normal 5 2 2 2 4 5 4" xfId="10655" xr:uid="{BED8B0C4-9B73-4DFC-9C9C-5BB1CE71ED92}"/>
    <cellStyle name="Normal 5 2 2 2 4 5 4 2" xfId="23295" xr:uid="{78DFCA5C-167F-4F93-B6B2-78ECF3A5C637}"/>
    <cellStyle name="Normal 5 2 2 2 4 5 5" xfId="19084" xr:uid="{3352EA05-2F69-4DED-A6D9-8CE90F7F0259}"/>
    <cellStyle name="Normal 5 2 2 2 4 6" xfId="2572" xr:uid="{00000000-0005-0000-0000-000080170000}"/>
    <cellStyle name="Normal 5 2 2 2 4 6 2" xfId="6857" xr:uid="{00000000-0005-0000-0000-000081170000}"/>
    <cellStyle name="Normal 5 2 2 2 4 6 2 2" xfId="15286" xr:uid="{716C09BD-D27B-4258-AAA8-E96A06A36552}"/>
    <cellStyle name="Normal 5 2 2 2 4 6 2 3" xfId="27919" xr:uid="{F4460667-C624-4FA8-B551-37446E35A6DB}"/>
    <cellStyle name="Normal 5 2 2 2 4 6 3" xfId="11068" xr:uid="{93F761A8-110B-487F-ADC7-1C8BC509A327}"/>
    <cellStyle name="Normal 5 2 2 2 4 6 3 2" xfId="23708" xr:uid="{824AD02F-8EE7-4A9F-A18A-B660255D10C9}"/>
    <cellStyle name="Normal 5 2 2 2 4 6 4" xfId="19497" xr:uid="{CFF97649-BB2E-4EF9-BBD2-045902BD2464}"/>
    <cellStyle name="Normal 5 2 2 2 4 7" xfId="4792" xr:uid="{00000000-0005-0000-0000-000082170000}"/>
    <cellStyle name="Normal 5 2 2 2 4 7 2" xfId="13221" xr:uid="{A00F0060-DDD1-43B7-A155-1D98DD7EBC76}"/>
    <cellStyle name="Normal 5 2 2 2 4 7 3" xfId="25854" xr:uid="{B6C7C1A7-F6A6-42D1-9E7E-87ACC47CC2BA}"/>
    <cellStyle name="Normal 5 2 2 2 4 8" xfId="9003" xr:uid="{15D16128-5A71-419C-BDE7-B180DFDC87FA}"/>
    <cellStyle name="Normal 5 2 2 2 4 8 2" xfId="21643" xr:uid="{0D9A741F-AC02-40E8-9998-346519C2FA56}"/>
    <cellStyle name="Normal 5 2 2 2 4 9" xfId="17432" xr:uid="{1122974C-8737-4B91-AFB0-3099791B0C38}"/>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191DCDCF-704E-466B-BB17-AFE09CF91384}"/>
    <cellStyle name="Normal 5 2 2 2 5 2 2 3" xfId="28405" xr:uid="{DD5C8B99-7DBC-4E18-BFB8-53B73EDCCF1E}"/>
    <cellStyle name="Normal 5 2 2 2 5 2 3" xfId="11554" xr:uid="{59271B98-3DA8-41AE-9E93-9410B9C64CCC}"/>
    <cellStyle name="Normal 5 2 2 2 5 2 3 2" xfId="24194" xr:uid="{78212940-779D-4B84-B75B-8981002E8432}"/>
    <cellStyle name="Normal 5 2 2 2 5 2 4" xfId="19983" xr:uid="{6DA82DC8-27E8-40E3-BA82-10F8BBA4FCA0}"/>
    <cellStyle name="Normal 5 2 2 2 5 3" xfId="5198" xr:uid="{00000000-0005-0000-0000-000086170000}"/>
    <cellStyle name="Normal 5 2 2 2 5 3 2" xfId="13627" xr:uid="{E0A52EA7-8C48-41C7-A258-AED981A16618}"/>
    <cellStyle name="Normal 5 2 2 2 5 3 3" xfId="26260" xr:uid="{F828E70F-2B5D-413F-AAFD-035E6ED7314C}"/>
    <cellStyle name="Normal 5 2 2 2 5 4" xfId="9409" xr:uid="{C9967D58-964B-4DBF-BEC5-FB8E713E543C}"/>
    <cellStyle name="Normal 5 2 2 2 5 4 2" xfId="22049" xr:uid="{3AD10BF7-B661-48FE-81E2-B4FC40596D6F}"/>
    <cellStyle name="Normal 5 2 2 2 5 5" xfId="17838" xr:uid="{ADB4ECF5-505A-4AD6-BB60-436C3B08C3C1}"/>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1ADC9259-122C-43AC-9F5A-10FDCF46CBDB}"/>
    <cellStyle name="Normal 5 2 2 2 6 2 2 3" xfId="28818" xr:uid="{46332F86-FEA6-42E3-8A57-FA3670C03830}"/>
    <cellStyle name="Normal 5 2 2 2 6 2 3" xfId="11967" xr:uid="{3F275569-4AE3-42D3-9086-206D2B6DE2A9}"/>
    <cellStyle name="Normal 5 2 2 2 6 2 3 2" xfId="24607" xr:uid="{903C5E1E-1AAC-4DAD-B61B-74262D112B05}"/>
    <cellStyle name="Normal 5 2 2 2 6 2 4" xfId="20396" xr:uid="{C79A77AB-89BB-46BE-9757-3E0E3BF5E65D}"/>
    <cellStyle name="Normal 5 2 2 2 6 3" xfId="5611" xr:uid="{00000000-0005-0000-0000-00008A170000}"/>
    <cellStyle name="Normal 5 2 2 2 6 3 2" xfId="14040" xr:uid="{4146CBE3-F66F-4292-8BC5-05B5FC5469DD}"/>
    <cellStyle name="Normal 5 2 2 2 6 3 3" xfId="26673" xr:uid="{F91C2BA7-5B56-4012-8A1B-86DCA54B7F8B}"/>
    <cellStyle name="Normal 5 2 2 2 6 4" xfId="9822" xr:uid="{3CAD433A-6A7C-49F1-B915-1663769522F7}"/>
    <cellStyle name="Normal 5 2 2 2 6 4 2" xfId="22462" xr:uid="{161035F2-75ED-46B7-88D5-3EE829421C2E}"/>
    <cellStyle name="Normal 5 2 2 2 6 5" xfId="18251" xr:uid="{3704AFE0-D113-4F19-99BF-B4DF0C3FC916}"/>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CF401F53-8678-4497-9922-5CD861CC8E29}"/>
    <cellStyle name="Normal 5 2 2 2 7 2 2 3" xfId="29231" xr:uid="{0EBF5A1C-17DA-4F58-80DA-E4EC9C7FB5E7}"/>
    <cellStyle name="Normal 5 2 2 2 7 2 3" xfId="12380" xr:uid="{61EBDD20-63FF-4CB3-AEC6-F5A5A40402AF}"/>
    <cellStyle name="Normal 5 2 2 2 7 2 3 2" xfId="25020" xr:uid="{68788B7C-AEBA-4F53-AD4E-BF8FDE374FDF}"/>
    <cellStyle name="Normal 5 2 2 2 7 2 4" xfId="20809" xr:uid="{95882575-5471-4592-8D5C-49ABAEA53D4C}"/>
    <cellStyle name="Normal 5 2 2 2 7 3" xfId="6024" xr:uid="{00000000-0005-0000-0000-00008E170000}"/>
    <cellStyle name="Normal 5 2 2 2 7 3 2" xfId="14453" xr:uid="{F7988672-72AC-4FF8-89D7-444A5728BF56}"/>
    <cellStyle name="Normal 5 2 2 2 7 3 3" xfId="27086" xr:uid="{85C48318-30AE-437C-BFF4-B89C2DD48473}"/>
    <cellStyle name="Normal 5 2 2 2 7 4" xfId="10235" xr:uid="{0701D0D4-C147-44BB-86B8-11B4D2FD665E}"/>
    <cellStyle name="Normal 5 2 2 2 7 4 2" xfId="22875" xr:uid="{DBF02636-441A-4FAF-83C6-75A48C6F8086}"/>
    <cellStyle name="Normal 5 2 2 2 7 5" xfId="18664" xr:uid="{98071AEC-E8D0-4E05-805E-85163AA35AFA}"/>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4E7B4AFB-7F3D-4DD0-B129-52CE0CCA242F}"/>
    <cellStyle name="Normal 5 2 2 2 8 2 2 3" xfId="29644" xr:uid="{ED535488-C522-4BFF-82DE-DFD7AEE31455}"/>
    <cellStyle name="Normal 5 2 2 2 8 2 3" xfId="12793" xr:uid="{FA13AF00-9D7A-4702-B8E2-E7DF1FBEFF48}"/>
    <cellStyle name="Normal 5 2 2 2 8 2 3 2" xfId="25433" xr:uid="{8A1054D8-4DE1-4264-8E2E-78904805A4F9}"/>
    <cellStyle name="Normal 5 2 2 2 8 2 4" xfId="21222" xr:uid="{810924A1-5470-47DB-BF77-46ABAB91B93A}"/>
    <cellStyle name="Normal 5 2 2 2 8 3" xfId="6437" xr:uid="{00000000-0005-0000-0000-000092170000}"/>
    <cellStyle name="Normal 5 2 2 2 8 3 2" xfId="14866" xr:uid="{9B4AAA0E-34CB-44D4-BF7C-03F6F5D3E988}"/>
    <cellStyle name="Normal 5 2 2 2 8 3 3" xfId="27499" xr:uid="{97EE0516-EFAA-48A0-97BE-6295905899EC}"/>
    <cellStyle name="Normal 5 2 2 2 8 4" xfId="10648" xr:uid="{948AEB8C-98A3-47D4-A9DA-8399C119541A}"/>
    <cellStyle name="Normal 5 2 2 2 8 4 2" xfId="23288" xr:uid="{EFDBEE17-D2F5-4E33-8A45-8DC3FB55C64A}"/>
    <cellStyle name="Normal 5 2 2 2 8 5" xfId="19077" xr:uid="{9FD8FF66-3F52-40CA-A8FF-7C63B6D79004}"/>
    <cellStyle name="Normal 5 2 2 2 9" xfId="2565" xr:uid="{00000000-0005-0000-0000-000093170000}"/>
    <cellStyle name="Normal 5 2 2 2 9 2" xfId="6850" xr:uid="{00000000-0005-0000-0000-000094170000}"/>
    <cellStyle name="Normal 5 2 2 2 9 2 2" xfId="15279" xr:uid="{D54FD7BF-67BF-4FEC-B02D-AABAC7F5D79E}"/>
    <cellStyle name="Normal 5 2 2 2 9 2 3" xfId="27912" xr:uid="{4D4D3528-F3D3-4EF2-8489-71DF9F5DE976}"/>
    <cellStyle name="Normal 5 2 2 2 9 3" xfId="11061" xr:uid="{3FDB01D3-4BC8-4ADF-BB11-739CB8536DBE}"/>
    <cellStyle name="Normal 5 2 2 2 9 3 2" xfId="23701" xr:uid="{97E97877-1B51-460E-90B0-8FDC700E1817}"/>
    <cellStyle name="Normal 5 2 2 2 9 4" xfId="19490" xr:uid="{D367EE34-102A-4898-97C8-4FA1D9D88841}"/>
    <cellStyle name="Normal 5 2 2 3" xfId="417" xr:uid="{00000000-0005-0000-0000-000095170000}"/>
    <cellStyle name="Normal 5 2 2 3 10" xfId="9004" xr:uid="{AACC7ABB-38C6-4C25-A257-13F53F35D648}"/>
    <cellStyle name="Normal 5 2 2 3 10 2" xfId="21644" xr:uid="{AD9C77C1-FA2D-4959-9683-6326C6B3A837}"/>
    <cellStyle name="Normal 5 2 2 3 11" xfId="17433" xr:uid="{9590B9B4-C127-4E6C-8B70-BBCEDD0A5306}"/>
    <cellStyle name="Normal 5 2 2 3 2" xfId="418" xr:uid="{00000000-0005-0000-0000-000096170000}"/>
    <cellStyle name="Normal 5 2 2 3 2 10" xfId="17434" xr:uid="{61535075-6BDF-45BD-9775-32699B0C8B4F}"/>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61330B18-A7CD-4CD4-A834-3EACD4EAFD8D}"/>
    <cellStyle name="Normal 5 2 2 3 2 2 2 2 2 3" xfId="28415" xr:uid="{30D81BE6-299F-490B-B435-FF7C7FE7ED60}"/>
    <cellStyle name="Normal 5 2 2 3 2 2 2 2 3" xfId="11564" xr:uid="{8A76AC70-C828-473A-B1B4-11FBEB369EF2}"/>
    <cellStyle name="Normal 5 2 2 3 2 2 2 2 3 2" xfId="24204" xr:uid="{FDF0A2FC-1AB3-4EB1-A30B-8ED02EC4FAD8}"/>
    <cellStyle name="Normal 5 2 2 3 2 2 2 2 4" xfId="19993" xr:uid="{1ACEF91A-11CE-49D6-A718-027B9139D7C2}"/>
    <cellStyle name="Normal 5 2 2 3 2 2 2 3" xfId="5208" xr:uid="{00000000-0005-0000-0000-00009B170000}"/>
    <cellStyle name="Normal 5 2 2 3 2 2 2 3 2" xfId="13637" xr:uid="{9E626196-B060-4B07-9DD3-B697DE909722}"/>
    <cellStyle name="Normal 5 2 2 3 2 2 2 3 3" xfId="26270" xr:uid="{10DE06A6-EFA2-49EF-B274-78D739F0F11B}"/>
    <cellStyle name="Normal 5 2 2 3 2 2 2 4" xfId="9419" xr:uid="{12F1F533-6459-44D5-98E9-61D97A6110BE}"/>
    <cellStyle name="Normal 5 2 2 3 2 2 2 4 2" xfId="22059" xr:uid="{FD33DFA5-52A7-4A53-A82E-0D3FBA4BB8EC}"/>
    <cellStyle name="Normal 5 2 2 3 2 2 2 5" xfId="17848" xr:uid="{1AB4DF90-C092-44A7-86DC-5E7B799D011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AEC18B0C-0FA8-4645-80E2-3C5AB22468A2}"/>
    <cellStyle name="Normal 5 2 2 3 2 2 3 2 2 3" xfId="28828" xr:uid="{B8F734AC-3FDF-42F7-960F-780A8EBA0AF2}"/>
    <cellStyle name="Normal 5 2 2 3 2 2 3 2 3" xfId="11977" xr:uid="{8A58EDFF-442F-44B4-A8EF-2E587B6EF368}"/>
    <cellStyle name="Normal 5 2 2 3 2 2 3 2 3 2" xfId="24617" xr:uid="{7A768331-97EE-458A-BD08-DD50C7B44EB0}"/>
    <cellStyle name="Normal 5 2 2 3 2 2 3 2 4" xfId="20406" xr:uid="{8C382000-787C-4E2E-B4FA-08E04F9211CE}"/>
    <cellStyle name="Normal 5 2 2 3 2 2 3 3" xfId="5621" xr:uid="{00000000-0005-0000-0000-00009F170000}"/>
    <cellStyle name="Normal 5 2 2 3 2 2 3 3 2" xfId="14050" xr:uid="{D933EF14-B4A1-470D-AB32-C0677D995245}"/>
    <cellStyle name="Normal 5 2 2 3 2 2 3 3 3" xfId="26683" xr:uid="{942A73AB-45A6-42CB-B8DF-5232C103C784}"/>
    <cellStyle name="Normal 5 2 2 3 2 2 3 4" xfId="9832" xr:uid="{3095D824-F6D9-44AF-8306-6A6B001B43F3}"/>
    <cellStyle name="Normal 5 2 2 3 2 2 3 4 2" xfId="22472" xr:uid="{08378669-7185-4E93-BCC3-AF152F38A057}"/>
    <cellStyle name="Normal 5 2 2 3 2 2 3 5" xfId="18261" xr:uid="{DA50D1F2-26BB-4000-B6BE-44D350AA2129}"/>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FD74AC75-C5A7-43B7-8DE0-1DC4109232CD}"/>
    <cellStyle name="Normal 5 2 2 3 2 2 4 2 2 3" xfId="29241" xr:uid="{570B3CC7-3143-4AF5-93F4-9A2A97F00384}"/>
    <cellStyle name="Normal 5 2 2 3 2 2 4 2 3" xfId="12390" xr:uid="{B03B92C3-24B3-4730-A615-CE8F979A5057}"/>
    <cellStyle name="Normal 5 2 2 3 2 2 4 2 3 2" xfId="25030" xr:uid="{B00E0686-08BC-462C-B960-B9D1A6B811E9}"/>
    <cellStyle name="Normal 5 2 2 3 2 2 4 2 4" xfId="20819" xr:uid="{1468FA26-2B52-4296-A8B4-F2DCB5DD72C6}"/>
    <cellStyle name="Normal 5 2 2 3 2 2 4 3" xfId="6034" xr:uid="{00000000-0005-0000-0000-0000A3170000}"/>
    <cellStyle name="Normal 5 2 2 3 2 2 4 3 2" xfId="14463" xr:uid="{BAEE2BCB-36CF-4426-9BF4-E985D06F6DA6}"/>
    <cellStyle name="Normal 5 2 2 3 2 2 4 3 3" xfId="27096" xr:uid="{A234D6BC-DAF1-44BE-ACEA-9746AA57BDE2}"/>
    <cellStyle name="Normal 5 2 2 3 2 2 4 4" xfId="10245" xr:uid="{6465AF57-88C4-4005-B139-D424FACE61B8}"/>
    <cellStyle name="Normal 5 2 2 3 2 2 4 4 2" xfId="22885" xr:uid="{D786CC7B-5F79-4642-BCAE-917464FFF52F}"/>
    <cellStyle name="Normal 5 2 2 3 2 2 4 5" xfId="18674" xr:uid="{E5CC015A-B5E4-41FE-9A5C-10862523F86A}"/>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2D66C2A8-D440-4C64-9545-202E1CEF342C}"/>
    <cellStyle name="Normal 5 2 2 3 2 2 5 2 2 3" xfId="29654" xr:uid="{774301F2-6752-47F0-8E77-3162CE239EBA}"/>
    <cellStyle name="Normal 5 2 2 3 2 2 5 2 3" xfId="12803" xr:uid="{7DA6AC05-81E0-432F-9B24-8749CF00C6FD}"/>
    <cellStyle name="Normal 5 2 2 3 2 2 5 2 3 2" xfId="25443" xr:uid="{A7669C89-531C-4970-A3DB-725D19F1455C}"/>
    <cellStyle name="Normal 5 2 2 3 2 2 5 2 4" xfId="21232" xr:uid="{DEBE1A66-8233-4B51-BDCC-10E484956578}"/>
    <cellStyle name="Normal 5 2 2 3 2 2 5 3" xfId="6447" xr:uid="{00000000-0005-0000-0000-0000A7170000}"/>
    <cellStyle name="Normal 5 2 2 3 2 2 5 3 2" xfId="14876" xr:uid="{932A60C4-FF2D-4077-8580-99DE2AFFDEB1}"/>
    <cellStyle name="Normal 5 2 2 3 2 2 5 3 3" xfId="27509" xr:uid="{F641E413-B7C1-4DFB-95A7-02A5060BD27B}"/>
    <cellStyle name="Normal 5 2 2 3 2 2 5 4" xfId="10658" xr:uid="{20C1EDD5-8710-4C9A-878B-E40E2D94DC7B}"/>
    <cellStyle name="Normal 5 2 2 3 2 2 5 4 2" xfId="23298" xr:uid="{965A6197-3092-4880-8383-B80E5B669473}"/>
    <cellStyle name="Normal 5 2 2 3 2 2 5 5" xfId="19087" xr:uid="{32844E88-CBA1-44BF-9687-4F5029C30EF1}"/>
    <cellStyle name="Normal 5 2 2 3 2 2 6" xfId="2575" xr:uid="{00000000-0005-0000-0000-0000A8170000}"/>
    <cellStyle name="Normal 5 2 2 3 2 2 6 2" xfId="6860" xr:uid="{00000000-0005-0000-0000-0000A9170000}"/>
    <cellStyle name="Normal 5 2 2 3 2 2 6 2 2" xfId="15289" xr:uid="{87D747FF-D80A-410B-893D-2D4BF614ACCD}"/>
    <cellStyle name="Normal 5 2 2 3 2 2 6 2 3" xfId="27922" xr:uid="{0E10B5D9-8F55-45C0-B1BD-ABD94A26D0EA}"/>
    <cellStyle name="Normal 5 2 2 3 2 2 6 3" xfId="11071" xr:uid="{581261F5-1946-4D5B-9B55-C8C43D3C8E85}"/>
    <cellStyle name="Normal 5 2 2 3 2 2 6 3 2" xfId="23711" xr:uid="{ABF78749-A8EE-4897-A9E5-7803B9D081BE}"/>
    <cellStyle name="Normal 5 2 2 3 2 2 6 4" xfId="19500" xr:uid="{64B71148-EB08-4F7E-8D25-DAF2D1A55AA1}"/>
    <cellStyle name="Normal 5 2 2 3 2 2 7" xfId="4795" xr:uid="{00000000-0005-0000-0000-0000AA170000}"/>
    <cellStyle name="Normal 5 2 2 3 2 2 7 2" xfId="13224" xr:uid="{6874E64A-0EF9-4931-9E57-D4252D419EB1}"/>
    <cellStyle name="Normal 5 2 2 3 2 2 7 3" xfId="25857" xr:uid="{9519408D-F561-447E-8C35-DF17CFD0815B}"/>
    <cellStyle name="Normal 5 2 2 3 2 2 8" xfId="9006" xr:uid="{DCA438C6-ACAD-41BE-983A-689E84CD7AD5}"/>
    <cellStyle name="Normal 5 2 2 3 2 2 8 2" xfId="21646" xr:uid="{1787BBA3-D965-4273-8D99-0F2DADABAAEE}"/>
    <cellStyle name="Normal 5 2 2 3 2 2 9" xfId="17435" xr:uid="{E3AF90BF-F4D6-40E3-A286-292C1E02A9EC}"/>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5749E803-9661-4771-A87F-C497AE47F37B}"/>
    <cellStyle name="Normal 5 2 2 3 2 3 2 2 3" xfId="28414" xr:uid="{9F3E8BB9-6052-437A-BBE3-A4DC3E9FD459}"/>
    <cellStyle name="Normal 5 2 2 3 2 3 2 3" xfId="11563" xr:uid="{0F15A4C7-DAF7-48D2-A7E2-D2E7307B75E5}"/>
    <cellStyle name="Normal 5 2 2 3 2 3 2 3 2" xfId="24203" xr:uid="{569AFEA4-9E6B-43D3-9C91-D6AD1329CA4C}"/>
    <cellStyle name="Normal 5 2 2 3 2 3 2 4" xfId="19992" xr:uid="{7B293FE6-BF11-4BA7-B62F-76172F6DEADF}"/>
    <cellStyle name="Normal 5 2 2 3 2 3 3" xfId="5207" xr:uid="{00000000-0005-0000-0000-0000AE170000}"/>
    <cellStyle name="Normal 5 2 2 3 2 3 3 2" xfId="13636" xr:uid="{B05EAEC3-02A0-4194-AB2E-2953189D35C8}"/>
    <cellStyle name="Normal 5 2 2 3 2 3 3 3" xfId="26269" xr:uid="{6D0D95D8-6D22-4A04-8B28-DA4CA5402603}"/>
    <cellStyle name="Normal 5 2 2 3 2 3 4" xfId="9418" xr:uid="{794520D6-52F3-4EF4-B438-ADD87A50C584}"/>
    <cellStyle name="Normal 5 2 2 3 2 3 4 2" xfId="22058" xr:uid="{7DE0742C-D0C5-4DDA-8DCD-FBB36EBBB6B1}"/>
    <cellStyle name="Normal 5 2 2 3 2 3 5" xfId="17847" xr:uid="{0813D2AE-3282-4BCE-BFCD-B73079DE3647}"/>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7AE1B138-E595-4F9E-8B13-26BDF1231E26}"/>
    <cellStyle name="Normal 5 2 2 3 2 4 2 2 3" xfId="28827" xr:uid="{BDA0E815-CE22-4D96-B2DA-0FD3DC94C640}"/>
    <cellStyle name="Normal 5 2 2 3 2 4 2 3" xfId="11976" xr:uid="{85353EEE-65A3-49F9-ABAC-D9E1CB68F4DD}"/>
    <cellStyle name="Normal 5 2 2 3 2 4 2 3 2" xfId="24616" xr:uid="{340AF17E-D280-40F7-A2D6-35C3A22DA39D}"/>
    <cellStyle name="Normal 5 2 2 3 2 4 2 4" xfId="20405" xr:uid="{7442129B-7335-41ED-A616-276DAE5F0CDA}"/>
    <cellStyle name="Normal 5 2 2 3 2 4 3" xfId="5620" xr:uid="{00000000-0005-0000-0000-0000B2170000}"/>
    <cellStyle name="Normal 5 2 2 3 2 4 3 2" xfId="14049" xr:uid="{C4EA598D-514B-4C6D-B62C-268942C69E02}"/>
    <cellStyle name="Normal 5 2 2 3 2 4 3 3" xfId="26682" xr:uid="{4B97CF56-9152-4BB0-B439-83C3FAE7B967}"/>
    <cellStyle name="Normal 5 2 2 3 2 4 4" xfId="9831" xr:uid="{B35CF172-2354-4D8C-892D-BE8A277F4BAC}"/>
    <cellStyle name="Normal 5 2 2 3 2 4 4 2" xfId="22471" xr:uid="{5E5EDAAE-CA28-4150-A629-E4DCC30A3E33}"/>
    <cellStyle name="Normal 5 2 2 3 2 4 5" xfId="18260" xr:uid="{25E4111C-5305-4D93-BD3D-EF24F3043F25}"/>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9C252D8F-AB56-488C-90F6-AE43D65542DD}"/>
    <cellStyle name="Normal 5 2 2 3 2 5 2 2 3" xfId="29240" xr:uid="{940DA223-3019-4E7C-B6A2-B190B6888B54}"/>
    <cellStyle name="Normal 5 2 2 3 2 5 2 3" xfId="12389" xr:uid="{485457F9-83E2-4007-9960-2D7AF7EBAEFE}"/>
    <cellStyle name="Normal 5 2 2 3 2 5 2 3 2" xfId="25029" xr:uid="{4993AAD9-ACE7-479F-A3A6-48572AE4BC7D}"/>
    <cellStyle name="Normal 5 2 2 3 2 5 2 4" xfId="20818" xr:uid="{A74EBBFF-3A1A-4B0B-AEE3-5988E4C061AD}"/>
    <cellStyle name="Normal 5 2 2 3 2 5 3" xfId="6033" xr:uid="{00000000-0005-0000-0000-0000B6170000}"/>
    <cellStyle name="Normal 5 2 2 3 2 5 3 2" xfId="14462" xr:uid="{7D5111BB-246E-4B10-B26E-0484DA11A9EE}"/>
    <cellStyle name="Normal 5 2 2 3 2 5 3 3" xfId="27095" xr:uid="{4A63DF3D-D1E7-4606-8160-2181BDC8FB7B}"/>
    <cellStyle name="Normal 5 2 2 3 2 5 4" xfId="10244" xr:uid="{F296F2FB-CF4D-4DE7-9A77-67E348CFEDB3}"/>
    <cellStyle name="Normal 5 2 2 3 2 5 4 2" xfId="22884" xr:uid="{B4D3D6EC-E824-4911-B224-A4B5CB304993}"/>
    <cellStyle name="Normal 5 2 2 3 2 5 5" xfId="18673" xr:uid="{66535F0F-B523-4CB8-A33B-91B8E4989F5F}"/>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E3292537-8818-4FAE-A211-4A9A71AED308}"/>
    <cellStyle name="Normal 5 2 2 3 2 6 2 2 3" xfId="29653" xr:uid="{572A45AB-B6FA-4605-BB62-8377EC989AA0}"/>
    <cellStyle name="Normal 5 2 2 3 2 6 2 3" xfId="12802" xr:uid="{56A93C05-9987-4A77-8E8C-6C41EA0DFA35}"/>
    <cellStyle name="Normal 5 2 2 3 2 6 2 3 2" xfId="25442" xr:uid="{5F8F8650-A395-446E-937C-7C20FC2C4CC6}"/>
    <cellStyle name="Normal 5 2 2 3 2 6 2 4" xfId="21231" xr:uid="{ECEE457E-BCDA-4A02-8CA5-18370D9925A3}"/>
    <cellStyle name="Normal 5 2 2 3 2 6 3" xfId="6446" xr:uid="{00000000-0005-0000-0000-0000BA170000}"/>
    <cellStyle name="Normal 5 2 2 3 2 6 3 2" xfId="14875" xr:uid="{055DA5CC-3FD7-4AFA-81BA-AF6548E4B101}"/>
    <cellStyle name="Normal 5 2 2 3 2 6 3 3" xfId="27508" xr:uid="{AA8B9DD2-A3F5-47D4-B28B-70215B12EDF9}"/>
    <cellStyle name="Normal 5 2 2 3 2 6 4" xfId="10657" xr:uid="{11D14A4D-BCC3-4506-BA86-6B0877B268DC}"/>
    <cellStyle name="Normal 5 2 2 3 2 6 4 2" xfId="23297" xr:uid="{335241BA-9A61-4790-BE60-DCFCC78E91A8}"/>
    <cellStyle name="Normal 5 2 2 3 2 6 5" xfId="19086" xr:uid="{9D246C9D-270E-4AE1-A73B-94112DF74CEE}"/>
    <cellStyle name="Normal 5 2 2 3 2 7" xfId="2574" xr:uid="{00000000-0005-0000-0000-0000BB170000}"/>
    <cellStyle name="Normal 5 2 2 3 2 7 2" xfId="6859" xr:uid="{00000000-0005-0000-0000-0000BC170000}"/>
    <cellStyle name="Normal 5 2 2 3 2 7 2 2" xfId="15288" xr:uid="{E6C3E808-BCE0-4D4B-97D3-961897F13156}"/>
    <cellStyle name="Normal 5 2 2 3 2 7 2 3" xfId="27921" xr:uid="{AF45DAA2-B5EE-42E4-8FB0-316ADA4DA835}"/>
    <cellStyle name="Normal 5 2 2 3 2 7 3" xfId="11070" xr:uid="{53438567-66B6-49AE-9FC8-5CDBD9BB873F}"/>
    <cellStyle name="Normal 5 2 2 3 2 7 3 2" xfId="23710" xr:uid="{31E32128-35DB-458B-9B91-212FB997F7B1}"/>
    <cellStyle name="Normal 5 2 2 3 2 7 4" xfId="19499" xr:uid="{A8115FFB-0B9F-44D7-BD4D-C3C270030965}"/>
    <cellStyle name="Normal 5 2 2 3 2 8" xfId="4794" xr:uid="{00000000-0005-0000-0000-0000BD170000}"/>
    <cellStyle name="Normal 5 2 2 3 2 8 2" xfId="13223" xr:uid="{B1BE5312-55DD-476E-A390-FC29F770339D}"/>
    <cellStyle name="Normal 5 2 2 3 2 8 3" xfId="25856" xr:uid="{935CBAF4-7673-4331-BC8E-EF98940152C1}"/>
    <cellStyle name="Normal 5 2 2 3 2 9" xfId="9005" xr:uid="{4A82F2F0-D4D6-4663-B125-BE291C856A1C}"/>
    <cellStyle name="Normal 5 2 2 3 2 9 2" xfId="21645" xr:uid="{AD7F7D88-DE32-4F09-9633-34909C285495}"/>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FCBF1A20-1D8A-4837-B5E5-8AC9AEAB9C54}"/>
    <cellStyle name="Normal 5 2 2 3 3 2 2 2 3" xfId="28416" xr:uid="{388FDE18-3A8E-4079-B25E-7D3CE0BA8107}"/>
    <cellStyle name="Normal 5 2 2 3 3 2 2 3" xfId="11565" xr:uid="{61AC10A8-8C53-4DA5-85D8-879CEE11C368}"/>
    <cellStyle name="Normal 5 2 2 3 3 2 2 3 2" xfId="24205" xr:uid="{40775801-826A-4D0B-937A-910AD8349DB0}"/>
    <cellStyle name="Normal 5 2 2 3 3 2 2 4" xfId="19994" xr:uid="{E72CF1AC-82ED-42B1-92FB-F4194B1667A5}"/>
    <cellStyle name="Normal 5 2 2 3 3 2 3" xfId="5209" xr:uid="{00000000-0005-0000-0000-0000C2170000}"/>
    <cellStyle name="Normal 5 2 2 3 3 2 3 2" xfId="13638" xr:uid="{492807A2-1FF4-4894-9031-05692182CD18}"/>
    <cellStyle name="Normal 5 2 2 3 3 2 3 3" xfId="26271" xr:uid="{05CEF979-D804-4A7B-899F-8106C7E43FDC}"/>
    <cellStyle name="Normal 5 2 2 3 3 2 4" xfId="9420" xr:uid="{F1FF6CC1-B390-4B5B-B7AB-E6EF1D412A44}"/>
    <cellStyle name="Normal 5 2 2 3 3 2 4 2" xfId="22060" xr:uid="{B977B671-4FE8-4706-A7A0-EA91B5168169}"/>
    <cellStyle name="Normal 5 2 2 3 3 2 5" xfId="17849" xr:uid="{36221332-26CE-4ACC-AAD7-42127680F56F}"/>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432D27B4-271C-459F-B998-8D1439CCCADE}"/>
    <cellStyle name="Normal 5 2 2 3 3 3 2 2 3" xfId="28829" xr:uid="{9DC1960A-BF4B-4E06-9415-AFBF16B3BFEA}"/>
    <cellStyle name="Normal 5 2 2 3 3 3 2 3" xfId="11978" xr:uid="{409E2AC9-B6B3-44F2-B9E2-0E192EB7EFB9}"/>
    <cellStyle name="Normal 5 2 2 3 3 3 2 3 2" xfId="24618" xr:uid="{8E867CA4-6D5D-4CE2-B3E9-BA1B3B195F65}"/>
    <cellStyle name="Normal 5 2 2 3 3 3 2 4" xfId="20407" xr:uid="{0A097CC0-ADEE-499E-A7BE-12993E022E9C}"/>
    <cellStyle name="Normal 5 2 2 3 3 3 3" xfId="5622" xr:uid="{00000000-0005-0000-0000-0000C6170000}"/>
    <cellStyle name="Normal 5 2 2 3 3 3 3 2" xfId="14051" xr:uid="{A4F9EE19-3B3E-481E-82F8-80979208D948}"/>
    <cellStyle name="Normal 5 2 2 3 3 3 3 3" xfId="26684" xr:uid="{845E21F2-56FB-4E9E-B8C9-4AF2C0F44270}"/>
    <cellStyle name="Normal 5 2 2 3 3 3 4" xfId="9833" xr:uid="{E83CAEFF-7224-43B6-8549-43A4BF550CA7}"/>
    <cellStyle name="Normal 5 2 2 3 3 3 4 2" xfId="22473" xr:uid="{BB73F35B-F57C-4C58-8EA1-E42361F1B50E}"/>
    <cellStyle name="Normal 5 2 2 3 3 3 5" xfId="18262" xr:uid="{2D023E6C-4B31-4ED2-9F6D-B879AB150242}"/>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0AC780DD-FC2C-417C-A5E7-42B191AB00C0}"/>
    <cellStyle name="Normal 5 2 2 3 3 4 2 2 3" xfId="29242" xr:uid="{A12BA015-0FB3-40BD-B058-03493C752DE7}"/>
    <cellStyle name="Normal 5 2 2 3 3 4 2 3" xfId="12391" xr:uid="{A126055C-3549-4534-BD27-0B05C3C1A9CA}"/>
    <cellStyle name="Normal 5 2 2 3 3 4 2 3 2" xfId="25031" xr:uid="{33F5B141-699E-44FB-B456-FDDAE45624F4}"/>
    <cellStyle name="Normal 5 2 2 3 3 4 2 4" xfId="20820" xr:uid="{C4A188FB-4573-49EC-B925-0B235F8C61D0}"/>
    <cellStyle name="Normal 5 2 2 3 3 4 3" xfId="6035" xr:uid="{00000000-0005-0000-0000-0000CA170000}"/>
    <cellStyle name="Normal 5 2 2 3 3 4 3 2" xfId="14464" xr:uid="{2774F0C1-5DB7-4126-81CA-A65EBB46058C}"/>
    <cellStyle name="Normal 5 2 2 3 3 4 3 3" xfId="27097" xr:uid="{70A48BA5-819E-4BA3-A0CB-CF91C343FBD8}"/>
    <cellStyle name="Normal 5 2 2 3 3 4 4" xfId="10246" xr:uid="{D827DDB4-FD83-4349-BAA0-B45A2BC09A1B}"/>
    <cellStyle name="Normal 5 2 2 3 3 4 4 2" xfId="22886" xr:uid="{5F9A2CDC-5547-48B1-B1DE-1EA00F3C7AC0}"/>
    <cellStyle name="Normal 5 2 2 3 3 4 5" xfId="18675" xr:uid="{705A3EEE-D553-4927-A08F-3B65881BA1AC}"/>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8572A771-FDD3-48BF-8CC2-106C0C4A8A87}"/>
    <cellStyle name="Normal 5 2 2 3 3 5 2 2 3" xfId="29655" xr:uid="{12B5282B-F105-4210-A8DD-B938D2D92119}"/>
    <cellStyle name="Normal 5 2 2 3 3 5 2 3" xfId="12804" xr:uid="{C7DCD961-C48B-42D7-84AB-106349A0A27C}"/>
    <cellStyle name="Normal 5 2 2 3 3 5 2 3 2" xfId="25444" xr:uid="{23CFEDB0-7F3E-4CA7-9B21-8F3E5938FE70}"/>
    <cellStyle name="Normal 5 2 2 3 3 5 2 4" xfId="21233" xr:uid="{04694B0B-38F9-4204-97FF-EAD03A0B7F1A}"/>
    <cellStyle name="Normal 5 2 2 3 3 5 3" xfId="6448" xr:uid="{00000000-0005-0000-0000-0000CE170000}"/>
    <cellStyle name="Normal 5 2 2 3 3 5 3 2" xfId="14877" xr:uid="{ACB03CBD-6EF8-4764-9FF1-E0E13B55DF81}"/>
    <cellStyle name="Normal 5 2 2 3 3 5 3 3" xfId="27510" xr:uid="{08CAD6F1-6FA1-42F7-96D9-83726B87BCFD}"/>
    <cellStyle name="Normal 5 2 2 3 3 5 4" xfId="10659" xr:uid="{A0050DD8-04E1-46BF-8926-FADE73A90101}"/>
    <cellStyle name="Normal 5 2 2 3 3 5 4 2" xfId="23299" xr:uid="{53C119D3-342A-420B-9861-A6877DB1955B}"/>
    <cellStyle name="Normal 5 2 2 3 3 5 5" xfId="19088" xr:uid="{E2E4CBEF-7F15-40C7-BA1A-10DC90304A31}"/>
    <cellStyle name="Normal 5 2 2 3 3 6" xfId="2576" xr:uid="{00000000-0005-0000-0000-0000CF170000}"/>
    <cellStyle name="Normal 5 2 2 3 3 6 2" xfId="6861" xr:uid="{00000000-0005-0000-0000-0000D0170000}"/>
    <cellStyle name="Normal 5 2 2 3 3 6 2 2" xfId="15290" xr:uid="{2DEE5BD3-7120-4E3B-97BB-4B5C1031B489}"/>
    <cellStyle name="Normal 5 2 2 3 3 6 2 3" xfId="27923" xr:uid="{4FA2C393-0266-455C-8D76-A914EB542BB3}"/>
    <cellStyle name="Normal 5 2 2 3 3 6 3" xfId="11072" xr:uid="{E7B734C8-144C-4016-B1A1-8FC9C2DF79E6}"/>
    <cellStyle name="Normal 5 2 2 3 3 6 3 2" xfId="23712" xr:uid="{4D9E4A40-3AD8-4AAA-96F2-C69D226BD945}"/>
    <cellStyle name="Normal 5 2 2 3 3 6 4" xfId="19501" xr:uid="{AB9233C8-D8B6-4AAB-B88B-AF8ABC995934}"/>
    <cellStyle name="Normal 5 2 2 3 3 7" xfId="4796" xr:uid="{00000000-0005-0000-0000-0000D1170000}"/>
    <cellStyle name="Normal 5 2 2 3 3 7 2" xfId="13225" xr:uid="{A7573131-2023-47C1-A6E0-18105C041C5B}"/>
    <cellStyle name="Normal 5 2 2 3 3 7 3" xfId="25858" xr:uid="{910E02EB-5C47-437E-B8CD-AE0C5053C02C}"/>
    <cellStyle name="Normal 5 2 2 3 3 8" xfId="9007" xr:uid="{E7D70264-7D48-40D4-92AF-879D37DEF494}"/>
    <cellStyle name="Normal 5 2 2 3 3 8 2" xfId="21647" xr:uid="{1E92BF3B-5699-4964-8A1C-4F9BF19FEF1E}"/>
    <cellStyle name="Normal 5 2 2 3 3 9" xfId="17436" xr:uid="{4E5C34C3-C2BA-462C-B9E2-0DB9AA510CB7}"/>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8BB1F0D2-B449-4706-AA6D-8602876928AC}"/>
    <cellStyle name="Normal 5 2 2 3 4 2 2 3" xfId="28413" xr:uid="{A3E2C59E-B9D1-42B1-90D8-F9CC52194B92}"/>
    <cellStyle name="Normal 5 2 2 3 4 2 3" xfId="11562" xr:uid="{E571CFFC-B1DC-4948-9D40-62F2298879BA}"/>
    <cellStyle name="Normal 5 2 2 3 4 2 3 2" xfId="24202" xr:uid="{6DA9C0EA-7E8C-4398-80DF-6C92453A1AC0}"/>
    <cellStyle name="Normal 5 2 2 3 4 2 4" xfId="19991" xr:uid="{61D318B8-8DA0-459A-8D00-AC957CE8F0FB}"/>
    <cellStyle name="Normal 5 2 2 3 4 3" xfId="5206" xr:uid="{00000000-0005-0000-0000-0000D5170000}"/>
    <cellStyle name="Normal 5 2 2 3 4 3 2" xfId="13635" xr:uid="{8C564771-B3A4-4817-8FD5-C365510470EC}"/>
    <cellStyle name="Normal 5 2 2 3 4 3 3" xfId="26268" xr:uid="{35EC2201-BA57-450C-967D-1E02E1C9E1A8}"/>
    <cellStyle name="Normal 5 2 2 3 4 4" xfId="9417" xr:uid="{29385993-5317-4434-8E35-0847C9D32576}"/>
    <cellStyle name="Normal 5 2 2 3 4 4 2" xfId="22057" xr:uid="{3604EE95-75EE-4987-A0C9-A4AF9F9BC8D3}"/>
    <cellStyle name="Normal 5 2 2 3 4 5" xfId="17846" xr:uid="{13B4965C-A0DB-4F61-BF51-8B76AFCC874E}"/>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5DB4326D-DCB1-441F-AE11-25F119F4E0A6}"/>
    <cellStyle name="Normal 5 2 2 3 5 2 2 3" xfId="28826" xr:uid="{2CBBBA82-C213-433E-A54E-9031F65ACFAD}"/>
    <cellStyle name="Normal 5 2 2 3 5 2 3" xfId="11975" xr:uid="{70E8F331-CC29-4CD6-8965-8E0AAB91F9E7}"/>
    <cellStyle name="Normal 5 2 2 3 5 2 3 2" xfId="24615" xr:uid="{72E198E3-04BE-4104-99AD-8777E151801A}"/>
    <cellStyle name="Normal 5 2 2 3 5 2 4" xfId="20404" xr:uid="{BC8F3E68-C821-4696-8351-C327DE859F8D}"/>
    <cellStyle name="Normal 5 2 2 3 5 3" xfId="5619" xr:uid="{00000000-0005-0000-0000-0000D9170000}"/>
    <cellStyle name="Normal 5 2 2 3 5 3 2" xfId="14048" xr:uid="{5BA493EC-378B-46FC-80E5-D7F2334E43F0}"/>
    <cellStyle name="Normal 5 2 2 3 5 3 3" xfId="26681" xr:uid="{E1793379-C228-466D-859C-C94544529141}"/>
    <cellStyle name="Normal 5 2 2 3 5 4" xfId="9830" xr:uid="{13FDC687-E8C3-4F6D-9BD5-D7C528F6F321}"/>
    <cellStyle name="Normal 5 2 2 3 5 4 2" xfId="22470" xr:uid="{871738A6-F71B-47D4-80DB-4A1138A4917B}"/>
    <cellStyle name="Normal 5 2 2 3 5 5" xfId="18259" xr:uid="{E77BBFC8-2617-4950-A7E9-B468322167D2}"/>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1D187751-2A6F-4BB3-BC38-A44B5E93640B}"/>
    <cellStyle name="Normal 5 2 2 3 6 2 2 3" xfId="29239" xr:uid="{B0B20B00-F5FF-4255-9FE2-AB3FD1A9BE5C}"/>
    <cellStyle name="Normal 5 2 2 3 6 2 3" xfId="12388" xr:uid="{A98A3DF9-DAFD-4DE7-A1C6-6C2483FA44CD}"/>
    <cellStyle name="Normal 5 2 2 3 6 2 3 2" xfId="25028" xr:uid="{EF448A25-F446-4004-A8B2-8A7C9BC44DCC}"/>
    <cellStyle name="Normal 5 2 2 3 6 2 4" xfId="20817" xr:uid="{8CCDF791-BF62-4B26-AA40-B34B4D1874B0}"/>
    <cellStyle name="Normal 5 2 2 3 6 3" xfId="6032" xr:uid="{00000000-0005-0000-0000-0000DD170000}"/>
    <cellStyle name="Normal 5 2 2 3 6 3 2" xfId="14461" xr:uid="{C1C2BA35-E471-4650-8C11-4AFB6FE7FC63}"/>
    <cellStyle name="Normal 5 2 2 3 6 3 3" xfId="27094" xr:uid="{7F000390-B257-4BD7-AB6D-9F8F873CE7E3}"/>
    <cellStyle name="Normal 5 2 2 3 6 4" xfId="10243" xr:uid="{0B7B6CD7-19DC-4989-B47E-99C7398986B2}"/>
    <cellStyle name="Normal 5 2 2 3 6 4 2" xfId="22883" xr:uid="{150F94DB-ACA5-445F-8338-B77B6E30E163}"/>
    <cellStyle name="Normal 5 2 2 3 6 5" xfId="18672" xr:uid="{DF8D6AEE-AAE3-4D14-B3AF-93E9DB47CE01}"/>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ECB3EF51-3B9C-4EB6-8B1F-8B5F10D97905}"/>
    <cellStyle name="Normal 5 2 2 3 7 2 2 3" xfId="29652" xr:uid="{A3894DCC-1EDC-4659-954E-118975A55425}"/>
    <cellStyle name="Normal 5 2 2 3 7 2 3" xfId="12801" xr:uid="{2418F2FD-33C1-4C06-9D65-5C9B7F24161D}"/>
    <cellStyle name="Normal 5 2 2 3 7 2 3 2" xfId="25441" xr:uid="{EFB3CBEC-5701-46C9-AD65-DDEDD2895CF5}"/>
    <cellStyle name="Normal 5 2 2 3 7 2 4" xfId="21230" xr:uid="{AF6CFB12-A064-4662-A765-3A08A720EED4}"/>
    <cellStyle name="Normal 5 2 2 3 7 3" xfId="6445" xr:uid="{00000000-0005-0000-0000-0000E1170000}"/>
    <cellStyle name="Normal 5 2 2 3 7 3 2" xfId="14874" xr:uid="{038F91A8-DDC1-452D-91D6-6AE4B62A9FEE}"/>
    <cellStyle name="Normal 5 2 2 3 7 3 3" xfId="27507" xr:uid="{D204FA47-CCE5-4461-BF79-FE345C554AF9}"/>
    <cellStyle name="Normal 5 2 2 3 7 4" xfId="10656" xr:uid="{19AD9FBE-8A72-41C0-8E21-70309FA2E854}"/>
    <cellStyle name="Normal 5 2 2 3 7 4 2" xfId="23296" xr:uid="{ABE5D1CC-118E-4270-AE9F-053489DE782E}"/>
    <cellStyle name="Normal 5 2 2 3 7 5" xfId="19085" xr:uid="{C8C3FA59-DC89-458F-A54A-A5E03BC75EB5}"/>
    <cellStyle name="Normal 5 2 2 3 8" xfId="2573" xr:uid="{00000000-0005-0000-0000-0000E2170000}"/>
    <cellStyle name="Normal 5 2 2 3 8 2" xfId="6858" xr:uid="{00000000-0005-0000-0000-0000E3170000}"/>
    <cellStyle name="Normal 5 2 2 3 8 2 2" xfId="15287" xr:uid="{93273602-C452-4297-817F-1592C23F8DA1}"/>
    <cellStyle name="Normal 5 2 2 3 8 2 3" xfId="27920" xr:uid="{F224C1B3-7053-4762-8EC8-580A8D38E4E4}"/>
    <cellStyle name="Normal 5 2 2 3 8 3" xfId="11069" xr:uid="{12257B49-E1D1-4979-AF10-3D3CAD69E3FF}"/>
    <cellStyle name="Normal 5 2 2 3 8 3 2" xfId="23709" xr:uid="{941597E0-22B3-481F-81C9-FC88EA3F2AB4}"/>
    <cellStyle name="Normal 5 2 2 3 8 4" xfId="19498" xr:uid="{814B1246-205B-4CB7-8BD2-5B3ACC049787}"/>
    <cellStyle name="Normal 5 2 2 3 9" xfId="4793" xr:uid="{00000000-0005-0000-0000-0000E4170000}"/>
    <cellStyle name="Normal 5 2 2 3 9 2" xfId="13222" xr:uid="{437ED122-FF93-4031-BDDE-AB425DA1225A}"/>
    <cellStyle name="Normal 5 2 2 3 9 3" xfId="25855" xr:uid="{010DF64A-6D71-434A-8E08-0BE175867674}"/>
    <cellStyle name="Normal 5 2 2 4" xfId="421" xr:uid="{00000000-0005-0000-0000-0000E5170000}"/>
    <cellStyle name="Normal 5 2 2 4 10" xfId="17437" xr:uid="{55F62814-D70C-47EF-B7EC-90762514A90B}"/>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692E9E8A-6090-4936-82FF-2B5C54E3AFA7}"/>
    <cellStyle name="Normal 5 2 2 4 2 2 2 2 3" xfId="28418" xr:uid="{BAF2F3CF-59E0-4171-B7CB-00FE0CD116AC}"/>
    <cellStyle name="Normal 5 2 2 4 2 2 2 3" xfId="11567" xr:uid="{E7F5E996-6F9F-46CD-B38C-88B224D708F0}"/>
    <cellStyle name="Normal 5 2 2 4 2 2 2 3 2" xfId="24207" xr:uid="{E75675C0-8FC6-4758-80B2-C28C5BC04E42}"/>
    <cellStyle name="Normal 5 2 2 4 2 2 2 4" xfId="19996" xr:uid="{6FBF32E3-35E1-48E5-BACC-6F3238ADBC47}"/>
    <cellStyle name="Normal 5 2 2 4 2 2 3" xfId="5211" xr:uid="{00000000-0005-0000-0000-0000EA170000}"/>
    <cellStyle name="Normal 5 2 2 4 2 2 3 2" xfId="13640" xr:uid="{107982BC-EF32-4212-A86A-1B67E927C24E}"/>
    <cellStyle name="Normal 5 2 2 4 2 2 3 3" xfId="26273" xr:uid="{7377572D-06FF-4F8B-B1F6-56677A595C93}"/>
    <cellStyle name="Normal 5 2 2 4 2 2 4" xfId="9422" xr:uid="{18C8A4AF-8414-4C54-9826-95A8AEB7269A}"/>
    <cellStyle name="Normal 5 2 2 4 2 2 4 2" xfId="22062" xr:uid="{76E843CC-2F91-4EE0-BB5D-1B908B84250A}"/>
    <cellStyle name="Normal 5 2 2 4 2 2 5" xfId="17851" xr:uid="{498BE976-B44E-49CA-A282-547D4FB2C2CB}"/>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9F775C08-4B7E-4DAA-85C0-D70649CFF36D}"/>
    <cellStyle name="Normal 5 2 2 4 2 3 2 2 3" xfId="28831" xr:uid="{FD7EC498-18B3-4FBF-8548-D94B4B9B8201}"/>
    <cellStyle name="Normal 5 2 2 4 2 3 2 3" xfId="11980" xr:uid="{68B5AA19-0CDC-49F8-ADFC-61493DDC792D}"/>
    <cellStyle name="Normal 5 2 2 4 2 3 2 3 2" xfId="24620" xr:uid="{0A3C58BB-2D47-436E-AE57-A98AC90BC73F}"/>
    <cellStyle name="Normal 5 2 2 4 2 3 2 4" xfId="20409" xr:uid="{A02577F1-E60E-4D66-9F85-4345CE3BE113}"/>
    <cellStyle name="Normal 5 2 2 4 2 3 3" xfId="5624" xr:uid="{00000000-0005-0000-0000-0000EE170000}"/>
    <cellStyle name="Normal 5 2 2 4 2 3 3 2" xfId="14053" xr:uid="{0E0BB82F-307B-43A0-8348-112A0CFA7E37}"/>
    <cellStyle name="Normal 5 2 2 4 2 3 3 3" xfId="26686" xr:uid="{9E135A27-9337-4A0E-B169-580615BEE275}"/>
    <cellStyle name="Normal 5 2 2 4 2 3 4" xfId="9835" xr:uid="{0777C5AE-9371-44B9-AA90-5FC6E0E99F17}"/>
    <cellStyle name="Normal 5 2 2 4 2 3 4 2" xfId="22475" xr:uid="{69E1C564-28C5-4A44-B02B-3A1ECEA97AB0}"/>
    <cellStyle name="Normal 5 2 2 4 2 3 5" xfId="18264" xr:uid="{BBDA7685-79CC-4673-8820-7A7BAE466D05}"/>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83CAA057-3A70-4BE1-B97E-B4C7947830DF}"/>
    <cellStyle name="Normal 5 2 2 4 2 4 2 2 3" xfId="29244" xr:uid="{4A68D335-7DA2-4554-A5FC-BD53C5B62F91}"/>
    <cellStyle name="Normal 5 2 2 4 2 4 2 3" xfId="12393" xr:uid="{6FCDA488-894E-4C44-A4F4-CB2DB60D41A1}"/>
    <cellStyle name="Normal 5 2 2 4 2 4 2 3 2" xfId="25033" xr:uid="{6FAEAE7A-0E50-45A4-9E4E-472887310143}"/>
    <cellStyle name="Normal 5 2 2 4 2 4 2 4" xfId="20822" xr:uid="{9350B63B-BB06-4A40-8C81-A8B08A247116}"/>
    <cellStyle name="Normal 5 2 2 4 2 4 3" xfId="6037" xr:uid="{00000000-0005-0000-0000-0000F2170000}"/>
    <cellStyle name="Normal 5 2 2 4 2 4 3 2" xfId="14466" xr:uid="{1C6B29AB-9C5F-4881-91CD-C6BF8F8850BD}"/>
    <cellStyle name="Normal 5 2 2 4 2 4 3 3" xfId="27099" xr:uid="{167B77CF-C2CA-4C47-AD6F-122A7A8ABA88}"/>
    <cellStyle name="Normal 5 2 2 4 2 4 4" xfId="10248" xr:uid="{EF1EFEE7-80AB-463E-9A5C-A26943448596}"/>
    <cellStyle name="Normal 5 2 2 4 2 4 4 2" xfId="22888" xr:uid="{8210B342-FC08-409C-A827-C79D9EEABEEB}"/>
    <cellStyle name="Normal 5 2 2 4 2 4 5" xfId="18677" xr:uid="{D89CE9FD-007D-4EE4-BE1A-5C2AC515679D}"/>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9A004444-F774-4F2B-B3B3-3E1ED721CAF2}"/>
    <cellStyle name="Normal 5 2 2 4 2 5 2 2 3" xfId="29657" xr:uid="{A0AD054F-A95A-4B9E-B094-B7C6CD22E1EB}"/>
    <cellStyle name="Normal 5 2 2 4 2 5 2 3" xfId="12806" xr:uid="{81B9505F-739E-48A9-9422-01AC6AD42BAC}"/>
    <cellStyle name="Normal 5 2 2 4 2 5 2 3 2" xfId="25446" xr:uid="{0DC67711-104F-4A20-9D27-023A8D3A8DE3}"/>
    <cellStyle name="Normal 5 2 2 4 2 5 2 4" xfId="21235" xr:uid="{36E73D55-3935-42F3-B764-C03C667771AD}"/>
    <cellStyle name="Normal 5 2 2 4 2 5 3" xfId="6450" xr:uid="{00000000-0005-0000-0000-0000F6170000}"/>
    <cellStyle name="Normal 5 2 2 4 2 5 3 2" xfId="14879" xr:uid="{0B46176B-BF92-444F-823C-5843F4912E98}"/>
    <cellStyle name="Normal 5 2 2 4 2 5 3 3" xfId="27512" xr:uid="{A0FD09AF-F20B-437B-AACB-EC712CA1D803}"/>
    <cellStyle name="Normal 5 2 2 4 2 5 4" xfId="10661" xr:uid="{BC72FA04-A152-4C4C-A54B-F7BC85A3AC13}"/>
    <cellStyle name="Normal 5 2 2 4 2 5 4 2" xfId="23301" xr:uid="{23809452-2397-4C2E-864A-5C42AE1A9187}"/>
    <cellStyle name="Normal 5 2 2 4 2 5 5" xfId="19090" xr:uid="{A08DCBCD-5B29-4EB3-92B5-9E5C4CB02E59}"/>
    <cellStyle name="Normal 5 2 2 4 2 6" xfId="2578" xr:uid="{00000000-0005-0000-0000-0000F7170000}"/>
    <cellStyle name="Normal 5 2 2 4 2 6 2" xfId="6863" xr:uid="{00000000-0005-0000-0000-0000F8170000}"/>
    <cellStyle name="Normal 5 2 2 4 2 6 2 2" xfId="15292" xr:uid="{46FEA8E0-75D3-46F8-A7F7-92F27397AF29}"/>
    <cellStyle name="Normal 5 2 2 4 2 6 2 3" xfId="27925" xr:uid="{B5195B69-8374-4117-852A-14549842DD1B}"/>
    <cellStyle name="Normal 5 2 2 4 2 6 3" xfId="11074" xr:uid="{CF71F3C7-EFFF-461E-9D02-9A41CF7980E4}"/>
    <cellStyle name="Normal 5 2 2 4 2 6 3 2" xfId="23714" xr:uid="{EAFD0C5E-692B-41A9-967D-C68ADB5DE3E7}"/>
    <cellStyle name="Normal 5 2 2 4 2 6 4" xfId="19503" xr:uid="{B15B218E-AC62-4EDF-9D3B-FAB6A8A2238A}"/>
    <cellStyle name="Normal 5 2 2 4 2 7" xfId="4798" xr:uid="{00000000-0005-0000-0000-0000F9170000}"/>
    <cellStyle name="Normal 5 2 2 4 2 7 2" xfId="13227" xr:uid="{57E9DBAA-4F17-4D23-BC62-EA8B992821B9}"/>
    <cellStyle name="Normal 5 2 2 4 2 7 3" xfId="25860" xr:uid="{AEB15B08-399F-417B-A0C0-13EF433921D9}"/>
    <cellStyle name="Normal 5 2 2 4 2 8" xfId="9009" xr:uid="{CD9068DD-C882-40DE-BB4C-B036B4CD540B}"/>
    <cellStyle name="Normal 5 2 2 4 2 8 2" xfId="21649" xr:uid="{5FF46076-1B76-4C21-B8DB-628AE7ED660D}"/>
    <cellStyle name="Normal 5 2 2 4 2 9" xfId="17438" xr:uid="{B0DA0A4E-2A3B-480F-A174-2CEEB499FCF9}"/>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187DA146-2ECB-478A-B56C-996CB882D527}"/>
    <cellStyle name="Normal 5 2 2 4 3 2 2 3" xfId="28417" xr:uid="{98EE2636-07D8-4A11-A123-507A76D4B58A}"/>
    <cellStyle name="Normal 5 2 2 4 3 2 3" xfId="11566" xr:uid="{A497E7C3-7D27-4B0A-9CCD-D92F1E5CC050}"/>
    <cellStyle name="Normal 5 2 2 4 3 2 3 2" xfId="24206" xr:uid="{54D5476C-EBB8-41CB-BDD9-706BEF3898E0}"/>
    <cellStyle name="Normal 5 2 2 4 3 2 4" xfId="19995" xr:uid="{A299AB5D-E39F-4006-8C09-C2213EFB56C6}"/>
    <cellStyle name="Normal 5 2 2 4 3 3" xfId="5210" xr:uid="{00000000-0005-0000-0000-0000FD170000}"/>
    <cellStyle name="Normal 5 2 2 4 3 3 2" xfId="13639" xr:uid="{97CED78E-65EA-4315-8873-ED30D8956D66}"/>
    <cellStyle name="Normal 5 2 2 4 3 3 3" xfId="26272" xr:uid="{03755E7E-10BE-43C9-B028-4EDAB4F1512B}"/>
    <cellStyle name="Normal 5 2 2 4 3 4" xfId="9421" xr:uid="{B65EABBD-1AD2-4622-B23A-FB759916A061}"/>
    <cellStyle name="Normal 5 2 2 4 3 4 2" xfId="22061" xr:uid="{93FAB255-CA88-4606-AE6B-EB10AB7645D4}"/>
    <cellStyle name="Normal 5 2 2 4 3 5" xfId="17850" xr:uid="{8278B7CC-85AA-4127-B8E2-18CE28255AAE}"/>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DEBC111A-9E4A-4EAB-B0FE-A9F46B3BBD38}"/>
    <cellStyle name="Normal 5 2 2 4 4 2 2 3" xfId="28830" xr:uid="{E2600B2A-E95A-435B-8D2E-743CD661B681}"/>
    <cellStyle name="Normal 5 2 2 4 4 2 3" xfId="11979" xr:uid="{456E53EC-A0A9-4262-99D8-D9FF0B7FC9EB}"/>
    <cellStyle name="Normal 5 2 2 4 4 2 3 2" xfId="24619" xr:uid="{A8E68766-EF65-4D1D-9BB5-36170326F338}"/>
    <cellStyle name="Normal 5 2 2 4 4 2 4" xfId="20408" xr:uid="{B85C4801-90A5-4AEF-94DD-AB8FFC73EB98}"/>
    <cellStyle name="Normal 5 2 2 4 4 3" xfId="5623" xr:uid="{00000000-0005-0000-0000-000001180000}"/>
    <cellStyle name="Normal 5 2 2 4 4 3 2" xfId="14052" xr:uid="{05DB31BC-B865-467C-8131-E03F5F7E9E91}"/>
    <cellStyle name="Normal 5 2 2 4 4 3 3" xfId="26685" xr:uid="{B00BB423-736B-460B-920D-7C23AC87A329}"/>
    <cellStyle name="Normal 5 2 2 4 4 4" xfId="9834" xr:uid="{D137F8C2-13E5-42DB-9CF1-36ED721CABD4}"/>
    <cellStyle name="Normal 5 2 2 4 4 4 2" xfId="22474" xr:uid="{77EC4001-6ED7-4670-801A-C700BCDA9ADF}"/>
    <cellStyle name="Normal 5 2 2 4 4 5" xfId="18263" xr:uid="{9B3D3218-5111-41E3-B3F6-3A6D13EF9F11}"/>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40C1B091-4A07-4F08-950D-E2498179C3DC}"/>
    <cellStyle name="Normal 5 2 2 4 5 2 2 3" xfId="29243" xr:uid="{35ABEE03-CA63-4501-B31B-724D5E00C497}"/>
    <cellStyle name="Normal 5 2 2 4 5 2 3" xfId="12392" xr:uid="{9C6A7EFA-1821-48CC-B795-DDE732B09197}"/>
    <cellStyle name="Normal 5 2 2 4 5 2 3 2" xfId="25032" xr:uid="{32473D5F-1824-4A5E-ABF5-8CBC586760FC}"/>
    <cellStyle name="Normal 5 2 2 4 5 2 4" xfId="20821" xr:uid="{5A4F8C29-B6A3-4D63-8013-C1947FCED414}"/>
    <cellStyle name="Normal 5 2 2 4 5 3" xfId="6036" xr:uid="{00000000-0005-0000-0000-000005180000}"/>
    <cellStyle name="Normal 5 2 2 4 5 3 2" xfId="14465" xr:uid="{85B00BF3-48E9-4991-951B-5895D9DD8FE8}"/>
    <cellStyle name="Normal 5 2 2 4 5 3 3" xfId="27098" xr:uid="{6F65794D-765E-4F83-A073-EC4A60BACAC1}"/>
    <cellStyle name="Normal 5 2 2 4 5 4" xfId="10247" xr:uid="{16AEC0E7-0851-4480-BA70-5D0BEC16C1A3}"/>
    <cellStyle name="Normal 5 2 2 4 5 4 2" xfId="22887" xr:uid="{68721DC6-99C5-47C4-BA5C-B90B4A784462}"/>
    <cellStyle name="Normal 5 2 2 4 5 5" xfId="18676" xr:uid="{D21E0DB0-605D-402F-8F48-7F81709AD1CB}"/>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265E4C34-EBAE-4A9B-A0AC-B797D005D841}"/>
    <cellStyle name="Normal 5 2 2 4 6 2 2 3" xfId="29656" xr:uid="{0E754C91-7C1B-4F27-9F79-9BC93BB903BA}"/>
    <cellStyle name="Normal 5 2 2 4 6 2 3" xfId="12805" xr:uid="{A1423F8A-C1CC-48B1-8685-03EB0EC0836B}"/>
    <cellStyle name="Normal 5 2 2 4 6 2 3 2" xfId="25445" xr:uid="{D3C48ABA-1128-4456-88F3-8085860E6BEB}"/>
    <cellStyle name="Normal 5 2 2 4 6 2 4" xfId="21234" xr:uid="{9E7D4336-7FBA-4B4A-8E77-6F882678C4D5}"/>
    <cellStyle name="Normal 5 2 2 4 6 3" xfId="6449" xr:uid="{00000000-0005-0000-0000-000009180000}"/>
    <cellStyle name="Normal 5 2 2 4 6 3 2" xfId="14878" xr:uid="{388997CB-17C9-4B55-9BF4-B2A8CBF838F3}"/>
    <cellStyle name="Normal 5 2 2 4 6 3 3" xfId="27511" xr:uid="{EDC4EA60-C0F1-4395-A01D-59155BA63668}"/>
    <cellStyle name="Normal 5 2 2 4 6 4" xfId="10660" xr:uid="{5073B454-1867-40A9-9C8F-53D9C2250917}"/>
    <cellStyle name="Normal 5 2 2 4 6 4 2" xfId="23300" xr:uid="{97A191E1-4FC8-4E64-8C71-F5E92BD66293}"/>
    <cellStyle name="Normal 5 2 2 4 6 5" xfId="19089" xr:uid="{449CB07B-460B-451D-A5BF-5CA1BEF6AC61}"/>
    <cellStyle name="Normal 5 2 2 4 7" xfId="2577" xr:uid="{00000000-0005-0000-0000-00000A180000}"/>
    <cellStyle name="Normal 5 2 2 4 7 2" xfId="6862" xr:uid="{00000000-0005-0000-0000-00000B180000}"/>
    <cellStyle name="Normal 5 2 2 4 7 2 2" xfId="15291" xr:uid="{D16DBC2B-1893-4544-8693-2522041EA9A9}"/>
    <cellStyle name="Normal 5 2 2 4 7 2 3" xfId="27924" xr:uid="{00BB2D09-B865-4F8C-9BAB-3BEE226EDB60}"/>
    <cellStyle name="Normal 5 2 2 4 7 3" xfId="11073" xr:uid="{BFE0532E-29E1-48CF-AC00-4519A10308DE}"/>
    <cellStyle name="Normal 5 2 2 4 7 3 2" xfId="23713" xr:uid="{BD57578D-A6A4-4D95-9333-5C327ED86925}"/>
    <cellStyle name="Normal 5 2 2 4 7 4" xfId="19502" xr:uid="{1D1C8C12-F626-4AD8-BB7F-9B34AF8F4E73}"/>
    <cellStyle name="Normal 5 2 2 4 8" xfId="4797" xr:uid="{00000000-0005-0000-0000-00000C180000}"/>
    <cellStyle name="Normal 5 2 2 4 8 2" xfId="13226" xr:uid="{7EC26A80-29CC-4481-96F4-87FA88BD8F04}"/>
    <cellStyle name="Normal 5 2 2 4 8 3" xfId="25859" xr:uid="{128A0B8E-BBB7-4E58-B83F-98263688FF01}"/>
    <cellStyle name="Normal 5 2 2 4 9" xfId="9008" xr:uid="{0748E5B8-1155-4AED-A8CE-49A6E0230DB2}"/>
    <cellStyle name="Normal 5 2 2 4 9 2" xfId="21648" xr:uid="{336FED44-2765-4AFC-9B73-E2808B7A45C2}"/>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72F65CCE-9ED5-4431-9E79-137EE62E5ABD}"/>
    <cellStyle name="Normal 5 2 2 5 2 2 2 3" xfId="28419" xr:uid="{D17ED9B0-B509-496A-AE0F-FC6FC1413F68}"/>
    <cellStyle name="Normal 5 2 2 5 2 2 3" xfId="11568" xr:uid="{96CECDBA-EC7A-47F7-A70E-9FA9627F992E}"/>
    <cellStyle name="Normal 5 2 2 5 2 2 3 2" xfId="24208" xr:uid="{A83030F9-DA6F-42D7-B58B-7BD77A78464E}"/>
    <cellStyle name="Normal 5 2 2 5 2 2 4" xfId="19997" xr:uid="{58F85372-DAF5-42A2-AC66-05130B1FE50F}"/>
    <cellStyle name="Normal 5 2 2 5 2 3" xfId="5212" xr:uid="{00000000-0005-0000-0000-000011180000}"/>
    <cellStyle name="Normal 5 2 2 5 2 3 2" xfId="13641" xr:uid="{78181907-0265-4528-B000-51B125434023}"/>
    <cellStyle name="Normal 5 2 2 5 2 3 3" xfId="26274" xr:uid="{0CFA9C62-CFA0-462F-A1DB-8205B61F5074}"/>
    <cellStyle name="Normal 5 2 2 5 2 4" xfId="9423" xr:uid="{F9224FD4-F27B-42E5-95DE-6B025F9DE83C}"/>
    <cellStyle name="Normal 5 2 2 5 2 4 2" xfId="22063" xr:uid="{6568B3E7-67A9-485C-AB33-E5212743387A}"/>
    <cellStyle name="Normal 5 2 2 5 2 5" xfId="17852" xr:uid="{7BBEC785-9C02-4010-BE2E-C739397263E7}"/>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893F31CA-3466-4DDE-87CB-BE92E07A97CC}"/>
    <cellStyle name="Normal 5 2 2 5 3 2 2 3" xfId="28832" xr:uid="{99BF8B0C-8393-4334-84D9-617E41A8248B}"/>
    <cellStyle name="Normal 5 2 2 5 3 2 3" xfId="11981" xr:uid="{37740100-D610-4C30-8878-FDAD1E24150B}"/>
    <cellStyle name="Normal 5 2 2 5 3 2 3 2" xfId="24621" xr:uid="{AFA25932-B666-4D8E-A7E7-3FF6F469DD25}"/>
    <cellStyle name="Normal 5 2 2 5 3 2 4" xfId="20410" xr:uid="{B04E138F-35FB-4A4B-84EC-346542F04F4A}"/>
    <cellStyle name="Normal 5 2 2 5 3 3" xfId="5625" xr:uid="{00000000-0005-0000-0000-000015180000}"/>
    <cellStyle name="Normal 5 2 2 5 3 3 2" xfId="14054" xr:uid="{DE55C0DF-F89C-41FC-AC8E-913924EAFBBD}"/>
    <cellStyle name="Normal 5 2 2 5 3 3 3" xfId="26687" xr:uid="{C9DDABBE-09FF-46D8-91E8-9AF4C59BBD38}"/>
    <cellStyle name="Normal 5 2 2 5 3 4" xfId="9836" xr:uid="{7B3C13B7-AB2D-45ED-AA57-A1753C2D3CA9}"/>
    <cellStyle name="Normal 5 2 2 5 3 4 2" xfId="22476" xr:uid="{09CEC7A7-937E-452F-A9E8-E5ACADD5E044}"/>
    <cellStyle name="Normal 5 2 2 5 3 5" xfId="18265" xr:uid="{D431EBC9-B59A-4AE0-A1EA-EAB8E0E7B982}"/>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B3B5B027-957B-4BB5-8497-873F320EFB4E}"/>
    <cellStyle name="Normal 5 2 2 5 4 2 2 3" xfId="29245" xr:uid="{03D009C0-EDA5-4BB7-8B67-27526E63DA69}"/>
    <cellStyle name="Normal 5 2 2 5 4 2 3" xfId="12394" xr:uid="{BDC2C041-B55F-4B75-AAB9-B309467BAF98}"/>
    <cellStyle name="Normal 5 2 2 5 4 2 3 2" xfId="25034" xr:uid="{1B27A009-4EA8-49A2-8726-2A5EC69CA867}"/>
    <cellStyle name="Normal 5 2 2 5 4 2 4" xfId="20823" xr:uid="{8D94E690-3914-4FD5-86CA-51CA13372742}"/>
    <cellStyle name="Normal 5 2 2 5 4 3" xfId="6038" xr:uid="{00000000-0005-0000-0000-000019180000}"/>
    <cellStyle name="Normal 5 2 2 5 4 3 2" xfId="14467" xr:uid="{12F5A12E-284D-4B59-AB25-FE57D1FD8140}"/>
    <cellStyle name="Normal 5 2 2 5 4 3 3" xfId="27100" xr:uid="{B55D6F19-DB85-47ED-BE1E-12FAC33D9AC0}"/>
    <cellStyle name="Normal 5 2 2 5 4 4" xfId="10249" xr:uid="{51041ED3-4FFB-4E4D-A056-C10FE9DE2848}"/>
    <cellStyle name="Normal 5 2 2 5 4 4 2" xfId="22889" xr:uid="{1D697CC5-1C0E-4523-87E2-2B82E3F5EC3B}"/>
    <cellStyle name="Normal 5 2 2 5 4 5" xfId="18678" xr:uid="{01F133A6-F52C-493C-8EF0-14BAACC1121C}"/>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7B0931CA-E6EA-43FD-9B2F-4021D2EB276C}"/>
    <cellStyle name="Normal 5 2 2 5 5 2 2 3" xfId="29658" xr:uid="{A84FF044-D42B-4189-B9F1-2E7EEFF08A97}"/>
    <cellStyle name="Normal 5 2 2 5 5 2 3" xfId="12807" xr:uid="{8B781944-0C6C-4702-8D88-1F9A81233285}"/>
    <cellStyle name="Normal 5 2 2 5 5 2 3 2" xfId="25447" xr:uid="{F8ACD75C-B398-46C9-A43B-8FE0BC4CEA22}"/>
    <cellStyle name="Normal 5 2 2 5 5 2 4" xfId="21236" xr:uid="{6A8279F3-5F59-4392-B3A3-0BFD23A077E4}"/>
    <cellStyle name="Normal 5 2 2 5 5 3" xfId="6451" xr:uid="{00000000-0005-0000-0000-00001D180000}"/>
    <cellStyle name="Normal 5 2 2 5 5 3 2" xfId="14880" xr:uid="{5126258D-8465-4603-8DC7-2E567393AD06}"/>
    <cellStyle name="Normal 5 2 2 5 5 3 3" xfId="27513" xr:uid="{DFAC0799-3576-46FC-A919-3DAA099683F2}"/>
    <cellStyle name="Normal 5 2 2 5 5 4" xfId="10662" xr:uid="{36D544B4-1F9A-4D7D-A2E8-00DCA573A795}"/>
    <cellStyle name="Normal 5 2 2 5 5 4 2" xfId="23302" xr:uid="{B1CED392-8932-4112-98F3-A00963E59655}"/>
    <cellStyle name="Normal 5 2 2 5 5 5" xfId="19091" xr:uid="{C61F447D-B6B1-4E06-8B8C-8B783A32AED2}"/>
    <cellStyle name="Normal 5 2 2 5 6" xfId="2579" xr:uid="{00000000-0005-0000-0000-00001E180000}"/>
    <cellStyle name="Normal 5 2 2 5 6 2" xfId="6864" xr:uid="{00000000-0005-0000-0000-00001F180000}"/>
    <cellStyle name="Normal 5 2 2 5 6 2 2" xfId="15293" xr:uid="{EAC4B64A-2CD7-471C-824D-F1B9B4E824CC}"/>
    <cellStyle name="Normal 5 2 2 5 6 2 3" xfId="27926" xr:uid="{48FB7BB7-D302-4628-A080-A03336109718}"/>
    <cellStyle name="Normal 5 2 2 5 6 3" xfId="11075" xr:uid="{5FE5AC3E-B9EB-4870-A822-A19936A39174}"/>
    <cellStyle name="Normal 5 2 2 5 6 3 2" xfId="23715" xr:uid="{EBF045F1-8EB1-4621-AD18-F65B8989D548}"/>
    <cellStyle name="Normal 5 2 2 5 6 4" xfId="19504" xr:uid="{055BBFC2-0473-404B-ABCC-093C1360382E}"/>
    <cellStyle name="Normal 5 2 2 5 7" xfId="4799" xr:uid="{00000000-0005-0000-0000-000020180000}"/>
    <cellStyle name="Normal 5 2 2 5 7 2" xfId="13228" xr:uid="{0F1F273E-225A-44C1-B8D5-DFA80E479AB6}"/>
    <cellStyle name="Normal 5 2 2 5 7 3" xfId="25861" xr:uid="{D55D44CF-3628-4040-8210-140F326B81A1}"/>
    <cellStyle name="Normal 5 2 2 5 8" xfId="9010" xr:uid="{258D945F-BE49-4EE4-9E72-4715D22515B5}"/>
    <cellStyle name="Normal 5 2 2 5 8 2" xfId="21650" xr:uid="{06B0AFF2-4139-454C-9DB8-553632A47306}"/>
    <cellStyle name="Normal 5 2 2 5 9" xfId="17439" xr:uid="{2F5976D8-4558-4A32-AE65-A8D328AE5851}"/>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2D590BF7-A5F0-4C77-9A5A-8E72948EA3C7}"/>
    <cellStyle name="Normal 5 2 2 6 2 2 3" xfId="28404" xr:uid="{E92FE79E-0EEF-4525-B932-E21C0A799FAF}"/>
    <cellStyle name="Normal 5 2 2 6 2 3" xfId="11553" xr:uid="{D4F0CA0D-8CE7-4F42-9073-707C89911625}"/>
    <cellStyle name="Normal 5 2 2 6 2 3 2" xfId="24193" xr:uid="{69CC4075-4422-4D9A-9EFB-6C2C87DFA926}"/>
    <cellStyle name="Normal 5 2 2 6 2 4" xfId="19982" xr:uid="{1534DCCA-6057-494F-81DC-B420A2BE7EA3}"/>
    <cellStyle name="Normal 5 2 2 6 3" xfId="5197" xr:uid="{00000000-0005-0000-0000-000024180000}"/>
    <cellStyle name="Normal 5 2 2 6 3 2" xfId="13626" xr:uid="{8595DC48-6991-4D54-B8DF-6FEA3C38FC53}"/>
    <cellStyle name="Normal 5 2 2 6 3 3" xfId="26259" xr:uid="{62EA9CA2-4FB5-4C8C-89BB-E917A989C986}"/>
    <cellStyle name="Normal 5 2 2 6 4" xfId="9408" xr:uid="{8DB9E9EE-6F80-4F34-8E24-C19262126B37}"/>
    <cellStyle name="Normal 5 2 2 6 4 2" xfId="22048" xr:uid="{A00D2520-CEF6-4A73-B138-958318D79619}"/>
    <cellStyle name="Normal 5 2 2 6 5" xfId="17837" xr:uid="{ECB57A4F-23F3-4D06-BCBA-055B354AFD2E}"/>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92538617-85B1-4553-B87E-E05CB00F8AC2}"/>
    <cellStyle name="Normal 5 2 2 7 2 2 3" xfId="28817" xr:uid="{1AC22916-AED7-4A17-9A79-C31D886C7DFC}"/>
    <cellStyle name="Normal 5 2 2 7 2 3" xfId="11966" xr:uid="{D5D69E19-C88E-4528-B0DD-A5CFCB792BE6}"/>
    <cellStyle name="Normal 5 2 2 7 2 3 2" xfId="24606" xr:uid="{11192841-F099-4844-AFB6-4B3FB058C1A1}"/>
    <cellStyle name="Normal 5 2 2 7 2 4" xfId="20395" xr:uid="{75B23192-06EE-4316-B280-5A7F374BFA9F}"/>
    <cellStyle name="Normal 5 2 2 7 3" xfId="5610" xr:uid="{00000000-0005-0000-0000-000028180000}"/>
    <cellStyle name="Normal 5 2 2 7 3 2" xfId="14039" xr:uid="{784D87B1-8219-4700-8D20-C38D43E021AD}"/>
    <cellStyle name="Normal 5 2 2 7 3 3" xfId="26672" xr:uid="{68DDB7A1-BC7A-4DC2-B8C0-FD4A6E5614B2}"/>
    <cellStyle name="Normal 5 2 2 7 4" xfId="9821" xr:uid="{EFB99640-F270-415F-85D6-B1586732D0DE}"/>
    <cellStyle name="Normal 5 2 2 7 4 2" xfId="22461" xr:uid="{A208F24C-7A4C-4DD9-B55C-8E51C410704B}"/>
    <cellStyle name="Normal 5 2 2 7 5" xfId="18250" xr:uid="{05BA96D0-75E4-4F57-ACF6-D007D49914C8}"/>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F47EC92D-BDAB-4B18-BC64-020E763F3578}"/>
    <cellStyle name="Normal 5 2 2 8 2 2 3" xfId="29230" xr:uid="{E28D17A0-404C-46E3-9464-9946B1A838C2}"/>
    <cellStyle name="Normal 5 2 2 8 2 3" xfId="12379" xr:uid="{74D6FE67-0ADA-4120-B8FE-50D796A6D927}"/>
    <cellStyle name="Normal 5 2 2 8 2 3 2" xfId="25019" xr:uid="{2A450046-9D94-48C2-A5D9-24BEB1FD7780}"/>
    <cellStyle name="Normal 5 2 2 8 2 4" xfId="20808" xr:uid="{3BD6E993-57D0-4782-81BF-5395ED352909}"/>
    <cellStyle name="Normal 5 2 2 8 3" xfId="6023" xr:uid="{00000000-0005-0000-0000-00002C180000}"/>
    <cellStyle name="Normal 5 2 2 8 3 2" xfId="14452" xr:uid="{E7EDEB09-1297-481A-8E22-9466C8788C51}"/>
    <cellStyle name="Normal 5 2 2 8 3 3" xfId="27085" xr:uid="{A9CB5E44-E595-4216-906C-394F84B1C705}"/>
    <cellStyle name="Normal 5 2 2 8 4" xfId="10234" xr:uid="{DCDAE8DE-CE70-4E2B-8FCB-46EDB69FFAB3}"/>
    <cellStyle name="Normal 5 2 2 8 4 2" xfId="22874" xr:uid="{640B95EC-36D5-41C8-9092-2EDA2B2394A3}"/>
    <cellStyle name="Normal 5 2 2 8 5" xfId="18663" xr:uid="{1C9D111D-6272-4905-A944-AED56BC553C7}"/>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4BCA3885-C5EF-4A8E-9DDB-A8770C16D634}"/>
    <cellStyle name="Normal 5 2 2 9 2 2 3" xfId="29643" xr:uid="{B8E28C8F-025B-4DE1-A65B-9FE6145CD8C4}"/>
    <cellStyle name="Normal 5 2 2 9 2 3" xfId="12792" xr:uid="{BE40DE77-1EF3-4CB2-B196-F822EFE814EC}"/>
    <cellStyle name="Normal 5 2 2 9 2 3 2" xfId="25432" xr:uid="{9CC92BEC-4388-4CD9-9127-251D683FC7DB}"/>
    <cellStyle name="Normal 5 2 2 9 2 4" xfId="21221" xr:uid="{09A66C76-732A-4BA8-B5AA-87F3C428326C}"/>
    <cellStyle name="Normal 5 2 2 9 3" xfId="6436" xr:uid="{00000000-0005-0000-0000-000030180000}"/>
    <cellStyle name="Normal 5 2 2 9 3 2" xfId="14865" xr:uid="{00D13C6C-1C0A-438C-B03B-40819D6B6115}"/>
    <cellStyle name="Normal 5 2 2 9 3 3" xfId="27498" xr:uid="{7D0715E2-D6EF-4950-A5AA-0945E7EC32F7}"/>
    <cellStyle name="Normal 5 2 2 9 4" xfId="10647" xr:uid="{8EED45C0-BC08-4CB4-8FE2-332F5A045A88}"/>
    <cellStyle name="Normal 5 2 2 9 4 2" xfId="23287" xr:uid="{8D32DF01-F945-4582-AF1A-0B7682D7E2CD}"/>
    <cellStyle name="Normal 5 2 2 9 5" xfId="19076" xr:uid="{693F84BD-CB7B-496D-9FB3-8C74A7C79644}"/>
    <cellStyle name="Normal 5 2 3" xfId="424" xr:uid="{00000000-0005-0000-0000-000031180000}"/>
    <cellStyle name="Normal 5 2 3 10" xfId="4800" xr:uid="{00000000-0005-0000-0000-000032180000}"/>
    <cellStyle name="Normal 5 2 3 10 2" xfId="13229" xr:uid="{B957F768-8822-4589-A123-F76A68472333}"/>
    <cellStyle name="Normal 5 2 3 10 3" xfId="25862" xr:uid="{6A29A4B2-55A2-4AE4-A337-80261A371A76}"/>
    <cellStyle name="Normal 5 2 3 11" xfId="9011" xr:uid="{F4FFAE33-5FDB-4EA7-A5A0-7639D22C58B9}"/>
    <cellStyle name="Normal 5 2 3 11 2" xfId="21651" xr:uid="{4E7A3947-AA34-402A-A339-16F55401F20A}"/>
    <cellStyle name="Normal 5 2 3 12" xfId="17440" xr:uid="{4A8A52DA-6EDE-47B5-9AEE-A47FC998060B}"/>
    <cellStyle name="Normal 5 2 3 2" xfId="425" xr:uid="{00000000-0005-0000-0000-000033180000}"/>
    <cellStyle name="Normal 5 2 3 2 10" xfId="9012" xr:uid="{059662F7-2655-466C-9989-56133ABD7F76}"/>
    <cellStyle name="Normal 5 2 3 2 10 2" xfId="21652" xr:uid="{BB20CD61-E8C6-49AC-B638-59DB87CF9351}"/>
    <cellStyle name="Normal 5 2 3 2 11" xfId="17441" xr:uid="{7F78307C-AC54-4C11-9621-DF29E78D233C}"/>
    <cellStyle name="Normal 5 2 3 2 2" xfId="426" xr:uid="{00000000-0005-0000-0000-000034180000}"/>
    <cellStyle name="Normal 5 2 3 2 2 10" xfId="17442" xr:uid="{1749E590-38C2-477F-963B-94B124C48421}"/>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7DBC7492-BAA7-4D8D-BB87-F12F7266E44E}"/>
    <cellStyle name="Normal 5 2 3 2 2 2 2 2 2 3" xfId="28423" xr:uid="{217EF9CA-14B4-47A3-B191-1D00E4386755}"/>
    <cellStyle name="Normal 5 2 3 2 2 2 2 2 3" xfId="11572" xr:uid="{DABC4CF6-22F5-4D5F-BD2E-C8B805782454}"/>
    <cellStyle name="Normal 5 2 3 2 2 2 2 2 3 2" xfId="24212" xr:uid="{80A3D8D9-1886-46FC-B41A-AB6DC4D5399C}"/>
    <cellStyle name="Normal 5 2 3 2 2 2 2 2 4" xfId="20001" xr:uid="{EA90F30C-0C18-4DE0-BA10-9D7B5ADE20BA}"/>
    <cellStyle name="Normal 5 2 3 2 2 2 2 3" xfId="5216" xr:uid="{00000000-0005-0000-0000-000039180000}"/>
    <cellStyle name="Normal 5 2 3 2 2 2 2 3 2" xfId="13645" xr:uid="{CBC60722-6AFA-47C5-966A-8ED973D7FC51}"/>
    <cellStyle name="Normal 5 2 3 2 2 2 2 3 3" xfId="26278" xr:uid="{51D47C2A-C5FB-4627-9899-44807A1D7A65}"/>
    <cellStyle name="Normal 5 2 3 2 2 2 2 4" xfId="9427" xr:uid="{66F453D0-74FF-4B93-9B70-B3C4DCA7785E}"/>
    <cellStyle name="Normal 5 2 3 2 2 2 2 4 2" xfId="22067" xr:uid="{5FEFA895-C740-4A4F-B321-3F5D037B0A55}"/>
    <cellStyle name="Normal 5 2 3 2 2 2 2 5" xfId="17856" xr:uid="{F58AD682-B76B-4BC2-88C4-FA35063C8173}"/>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CE60DE33-2A04-4201-B3B8-115491AB40DA}"/>
    <cellStyle name="Normal 5 2 3 2 2 2 3 2 2 3" xfId="28836" xr:uid="{84586CF2-66F8-475A-8C21-CCDB03CA0C3A}"/>
    <cellStyle name="Normal 5 2 3 2 2 2 3 2 3" xfId="11985" xr:uid="{3F829BD0-EEE0-4797-88FA-C7BFB50B6D03}"/>
    <cellStyle name="Normal 5 2 3 2 2 2 3 2 3 2" xfId="24625" xr:uid="{41579BDC-605A-4E15-9EC1-B93720EAAA23}"/>
    <cellStyle name="Normal 5 2 3 2 2 2 3 2 4" xfId="20414" xr:uid="{4E48DD8A-6A42-4666-841B-1526D69D6948}"/>
    <cellStyle name="Normal 5 2 3 2 2 2 3 3" xfId="5629" xr:uid="{00000000-0005-0000-0000-00003D180000}"/>
    <cellStyle name="Normal 5 2 3 2 2 2 3 3 2" xfId="14058" xr:uid="{E97EB001-9A8E-429A-A018-86E1EBD68949}"/>
    <cellStyle name="Normal 5 2 3 2 2 2 3 3 3" xfId="26691" xr:uid="{5EDFF56C-A922-476E-82CF-37F96D3322A1}"/>
    <cellStyle name="Normal 5 2 3 2 2 2 3 4" xfId="9840" xr:uid="{6A7A9DDD-513F-4360-8582-76362D180E6B}"/>
    <cellStyle name="Normal 5 2 3 2 2 2 3 4 2" xfId="22480" xr:uid="{9F02660B-7B1D-4615-A342-25D78D59ADE5}"/>
    <cellStyle name="Normal 5 2 3 2 2 2 3 5" xfId="18269" xr:uid="{C1317E29-085C-4D11-972C-BF63A6790BDE}"/>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12850A28-20E4-495A-A776-2DEEABE76CC8}"/>
    <cellStyle name="Normal 5 2 3 2 2 2 4 2 2 3" xfId="29249" xr:uid="{81E42187-C5C4-4AFB-8587-FC877A3E47FC}"/>
    <cellStyle name="Normal 5 2 3 2 2 2 4 2 3" xfId="12398" xr:uid="{EA53B270-43E3-4A41-91AC-79361C5906A5}"/>
    <cellStyle name="Normal 5 2 3 2 2 2 4 2 3 2" xfId="25038" xr:uid="{F5C07DDA-A4CD-4E55-B48D-F6D450721144}"/>
    <cellStyle name="Normal 5 2 3 2 2 2 4 2 4" xfId="20827" xr:uid="{649C8A8E-145C-4A01-996A-A3916A05FB75}"/>
    <cellStyle name="Normal 5 2 3 2 2 2 4 3" xfId="6042" xr:uid="{00000000-0005-0000-0000-000041180000}"/>
    <cellStyle name="Normal 5 2 3 2 2 2 4 3 2" xfId="14471" xr:uid="{0D5419A3-EAE0-4B27-88B1-D5B017D056CF}"/>
    <cellStyle name="Normal 5 2 3 2 2 2 4 3 3" xfId="27104" xr:uid="{C64C3CC8-B782-428B-92CE-FBCC00D823B6}"/>
    <cellStyle name="Normal 5 2 3 2 2 2 4 4" xfId="10253" xr:uid="{2D3D1C19-44CA-4128-956F-1C134725ADBF}"/>
    <cellStyle name="Normal 5 2 3 2 2 2 4 4 2" xfId="22893" xr:uid="{8AC48AAB-0E8D-47F4-8296-1B746ABA6395}"/>
    <cellStyle name="Normal 5 2 3 2 2 2 4 5" xfId="18682" xr:uid="{5C4D0EA3-8F3C-44D2-984A-D37346F90CEB}"/>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356ECE1D-F3EB-4972-813D-D5C4325F8CA1}"/>
    <cellStyle name="Normal 5 2 3 2 2 2 5 2 2 3" xfId="29662" xr:uid="{8C5A6811-0840-4468-84A3-5A396E3A68BD}"/>
    <cellStyle name="Normal 5 2 3 2 2 2 5 2 3" xfId="12811" xr:uid="{D0A0C7A3-F73E-4329-9785-95F8D0FA5957}"/>
    <cellStyle name="Normal 5 2 3 2 2 2 5 2 3 2" xfId="25451" xr:uid="{3DDC1376-8463-4EF4-8650-47D620C1ABF1}"/>
    <cellStyle name="Normal 5 2 3 2 2 2 5 2 4" xfId="21240" xr:uid="{9E864DA6-9E3B-4600-98E8-30B9C6E64AFE}"/>
    <cellStyle name="Normal 5 2 3 2 2 2 5 3" xfId="6455" xr:uid="{00000000-0005-0000-0000-000045180000}"/>
    <cellStyle name="Normal 5 2 3 2 2 2 5 3 2" xfId="14884" xr:uid="{923BA4F5-8381-4385-931C-1A2958B23A0B}"/>
    <cellStyle name="Normal 5 2 3 2 2 2 5 3 3" xfId="27517" xr:uid="{1AA1FD61-470D-4E0C-AE0E-78BC9D71B2B8}"/>
    <cellStyle name="Normal 5 2 3 2 2 2 5 4" xfId="10666" xr:uid="{6206AB69-CD9A-43D9-9C6E-00E54160C47C}"/>
    <cellStyle name="Normal 5 2 3 2 2 2 5 4 2" xfId="23306" xr:uid="{E80EC688-73F7-4B8E-A4F0-CC4E6F891ADB}"/>
    <cellStyle name="Normal 5 2 3 2 2 2 5 5" xfId="19095" xr:uid="{F345EFF0-7723-4751-A0AF-1AAF57FF20C4}"/>
    <cellStyle name="Normal 5 2 3 2 2 2 6" xfId="2583" xr:uid="{00000000-0005-0000-0000-000046180000}"/>
    <cellStyle name="Normal 5 2 3 2 2 2 6 2" xfId="6868" xr:uid="{00000000-0005-0000-0000-000047180000}"/>
    <cellStyle name="Normal 5 2 3 2 2 2 6 2 2" xfId="15297" xr:uid="{3A807DED-5B98-419D-9970-93F74C5C5737}"/>
    <cellStyle name="Normal 5 2 3 2 2 2 6 2 3" xfId="27930" xr:uid="{EB361F9F-2F17-4E86-B475-B029509CE0BF}"/>
    <cellStyle name="Normal 5 2 3 2 2 2 6 3" xfId="11079" xr:uid="{ECFFB2DB-FA03-4D3F-91EC-E873F958CDE4}"/>
    <cellStyle name="Normal 5 2 3 2 2 2 6 3 2" xfId="23719" xr:uid="{4E793CA0-5BB9-4EA2-A167-ED5B6C59E6E4}"/>
    <cellStyle name="Normal 5 2 3 2 2 2 6 4" xfId="19508" xr:uid="{86D4EF41-6F9E-4CD1-B48F-6B3DF4E2A325}"/>
    <cellStyle name="Normal 5 2 3 2 2 2 7" xfId="4803" xr:uid="{00000000-0005-0000-0000-000048180000}"/>
    <cellStyle name="Normal 5 2 3 2 2 2 7 2" xfId="13232" xr:uid="{62973E66-5102-404B-AE55-FAE16783B935}"/>
    <cellStyle name="Normal 5 2 3 2 2 2 7 3" xfId="25865" xr:uid="{D6E009F5-F439-4E2D-9216-6EE7A115C572}"/>
    <cellStyle name="Normal 5 2 3 2 2 2 8" xfId="9014" xr:uid="{3AF1247D-CD88-48E8-8EC4-16998D244EF9}"/>
    <cellStyle name="Normal 5 2 3 2 2 2 8 2" xfId="21654" xr:uid="{F9D461D6-C952-4176-910A-365012B38D67}"/>
    <cellStyle name="Normal 5 2 3 2 2 2 9" xfId="17443" xr:uid="{33A49E25-D49D-4EFF-BDA5-3FA1AA3E063C}"/>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B382A18B-C9F6-41FE-B598-BF77BB25942A}"/>
    <cellStyle name="Normal 5 2 3 2 2 3 2 2 3" xfId="28422" xr:uid="{6BA49E35-36D1-455F-94BE-9C01CE1CE451}"/>
    <cellStyle name="Normal 5 2 3 2 2 3 2 3" xfId="11571" xr:uid="{532D8E1B-0055-40CE-BBE3-3E678D81DCE3}"/>
    <cellStyle name="Normal 5 2 3 2 2 3 2 3 2" xfId="24211" xr:uid="{D2808E0E-9918-49AD-8E96-D656FEB0AE76}"/>
    <cellStyle name="Normal 5 2 3 2 2 3 2 4" xfId="20000" xr:uid="{BB5034AE-908E-42F5-A619-0386CB97171D}"/>
    <cellStyle name="Normal 5 2 3 2 2 3 3" xfId="5215" xr:uid="{00000000-0005-0000-0000-00004C180000}"/>
    <cellStyle name="Normal 5 2 3 2 2 3 3 2" xfId="13644" xr:uid="{0BB9D675-B054-4331-B4BB-382EA6275867}"/>
    <cellStyle name="Normal 5 2 3 2 2 3 3 3" xfId="26277" xr:uid="{126524EC-4F8D-4420-AC0D-84D44CEF04C7}"/>
    <cellStyle name="Normal 5 2 3 2 2 3 4" xfId="9426" xr:uid="{9F370D9B-2CE0-4C02-B74C-E650B0AE9E7E}"/>
    <cellStyle name="Normal 5 2 3 2 2 3 4 2" xfId="22066" xr:uid="{F2BA3901-B41F-459A-BCAD-BB8DC2ECC0C4}"/>
    <cellStyle name="Normal 5 2 3 2 2 3 5" xfId="17855" xr:uid="{C500E569-85C9-4D4D-B32E-138ECAFEFA3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093E82E6-2B4E-4226-9110-1DD71ECF7E65}"/>
    <cellStyle name="Normal 5 2 3 2 2 4 2 2 3" xfId="28835" xr:uid="{0216A004-D89F-41ED-8115-BB86857B72EE}"/>
    <cellStyle name="Normal 5 2 3 2 2 4 2 3" xfId="11984" xr:uid="{A627B24F-640F-4513-B3FF-A1C3EEBB0FCF}"/>
    <cellStyle name="Normal 5 2 3 2 2 4 2 3 2" xfId="24624" xr:uid="{8ACDDABC-011D-483A-9784-62223819E597}"/>
    <cellStyle name="Normal 5 2 3 2 2 4 2 4" xfId="20413" xr:uid="{A305607E-F984-4250-8C3D-2474792799CF}"/>
    <cellStyle name="Normal 5 2 3 2 2 4 3" xfId="5628" xr:uid="{00000000-0005-0000-0000-000050180000}"/>
    <cellStyle name="Normal 5 2 3 2 2 4 3 2" xfId="14057" xr:uid="{BF38FA00-2BFD-4EB1-8254-AE06C7E6DC61}"/>
    <cellStyle name="Normal 5 2 3 2 2 4 3 3" xfId="26690" xr:uid="{082046A6-676C-4AD2-99A9-5D822AF10B03}"/>
    <cellStyle name="Normal 5 2 3 2 2 4 4" xfId="9839" xr:uid="{F5490DD1-DEA1-4D2C-A788-B2FBBE0F1925}"/>
    <cellStyle name="Normal 5 2 3 2 2 4 4 2" xfId="22479" xr:uid="{8A5E110A-560E-481B-B5D0-32B4D9D5A18F}"/>
    <cellStyle name="Normal 5 2 3 2 2 4 5" xfId="18268" xr:uid="{3D72C322-685D-4D41-A259-B42104987183}"/>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052B4EBB-740E-4BBE-8DD7-8AD0F8C59834}"/>
    <cellStyle name="Normal 5 2 3 2 2 5 2 2 3" xfId="29248" xr:uid="{716A8246-90AA-47E1-BDDA-E67BD59F0DB5}"/>
    <cellStyle name="Normal 5 2 3 2 2 5 2 3" xfId="12397" xr:uid="{3CC6C8F5-6A53-4E90-B798-3A2405E60762}"/>
    <cellStyle name="Normal 5 2 3 2 2 5 2 3 2" xfId="25037" xr:uid="{71F0040E-1401-408F-B9AB-7AFE7049BC3B}"/>
    <cellStyle name="Normal 5 2 3 2 2 5 2 4" xfId="20826" xr:uid="{192AA10F-721C-4D0A-985A-499EC402857F}"/>
    <cellStyle name="Normal 5 2 3 2 2 5 3" xfId="6041" xr:uid="{00000000-0005-0000-0000-000054180000}"/>
    <cellStyle name="Normal 5 2 3 2 2 5 3 2" xfId="14470" xr:uid="{2AD0C007-D4AC-49AB-BA32-5E232F69692F}"/>
    <cellStyle name="Normal 5 2 3 2 2 5 3 3" xfId="27103" xr:uid="{00AE3881-7CD4-4A52-AE6E-3DFEDC09570A}"/>
    <cellStyle name="Normal 5 2 3 2 2 5 4" xfId="10252" xr:uid="{9538DDE2-2ABC-48FE-A6AD-0804FF2EF6E5}"/>
    <cellStyle name="Normal 5 2 3 2 2 5 4 2" xfId="22892" xr:uid="{BF2A5CFC-1B78-4515-AC18-12386FE483F7}"/>
    <cellStyle name="Normal 5 2 3 2 2 5 5" xfId="18681" xr:uid="{6A8C5766-6EA6-4E2B-8BB2-7126B706C7A1}"/>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DE505F2A-659F-453E-8511-80A78C141EEB}"/>
    <cellStyle name="Normal 5 2 3 2 2 6 2 2 3" xfId="29661" xr:uid="{DC23C37D-31D5-4FB5-8F79-130677FE1029}"/>
    <cellStyle name="Normal 5 2 3 2 2 6 2 3" xfId="12810" xr:uid="{D26B0E1B-3E96-4228-BD24-91D3DD10D0DB}"/>
    <cellStyle name="Normal 5 2 3 2 2 6 2 3 2" xfId="25450" xr:uid="{9B52A1AB-D1F3-4924-A9A9-FE611A33D363}"/>
    <cellStyle name="Normal 5 2 3 2 2 6 2 4" xfId="21239" xr:uid="{6170F428-26BF-4579-A8AE-0EE6B7206219}"/>
    <cellStyle name="Normal 5 2 3 2 2 6 3" xfId="6454" xr:uid="{00000000-0005-0000-0000-000058180000}"/>
    <cellStyle name="Normal 5 2 3 2 2 6 3 2" xfId="14883" xr:uid="{FD1B1A3E-17AE-46F0-9088-DBDDD82858C1}"/>
    <cellStyle name="Normal 5 2 3 2 2 6 3 3" xfId="27516" xr:uid="{05345F49-0EF7-4A8B-B314-DFA9655DDBF9}"/>
    <cellStyle name="Normal 5 2 3 2 2 6 4" xfId="10665" xr:uid="{13D0BB8C-D0B3-4898-8E79-FE6B25A46EA8}"/>
    <cellStyle name="Normal 5 2 3 2 2 6 4 2" xfId="23305" xr:uid="{10432D3E-E894-42C3-9AAC-7F52C4C30B33}"/>
    <cellStyle name="Normal 5 2 3 2 2 6 5" xfId="19094" xr:uid="{BA9B17D7-3466-4A9B-BDC6-4707998233D6}"/>
    <cellStyle name="Normal 5 2 3 2 2 7" xfId="2582" xr:uid="{00000000-0005-0000-0000-000059180000}"/>
    <cellStyle name="Normal 5 2 3 2 2 7 2" xfId="6867" xr:uid="{00000000-0005-0000-0000-00005A180000}"/>
    <cellStyle name="Normal 5 2 3 2 2 7 2 2" xfId="15296" xr:uid="{2C64B647-5F9B-4298-99F1-C3E9A5A30C68}"/>
    <cellStyle name="Normal 5 2 3 2 2 7 2 3" xfId="27929" xr:uid="{32756225-1623-4351-BBEB-3582B858B0A0}"/>
    <cellStyle name="Normal 5 2 3 2 2 7 3" xfId="11078" xr:uid="{0D8723AB-C320-4810-B403-857C6E083A91}"/>
    <cellStyle name="Normal 5 2 3 2 2 7 3 2" xfId="23718" xr:uid="{EEE780EA-46E4-4076-BF2D-FEE1A3C2662E}"/>
    <cellStyle name="Normal 5 2 3 2 2 7 4" xfId="19507" xr:uid="{BF7976F8-6EE0-4989-8541-AD86869317FC}"/>
    <cellStyle name="Normal 5 2 3 2 2 8" xfId="4802" xr:uid="{00000000-0005-0000-0000-00005B180000}"/>
    <cellStyle name="Normal 5 2 3 2 2 8 2" xfId="13231" xr:uid="{FE656BAB-42C2-4280-8650-09F6215F20C1}"/>
    <cellStyle name="Normal 5 2 3 2 2 8 3" xfId="25864" xr:uid="{7FDCA083-DB7C-41CE-B6BD-69E8AA1B7860}"/>
    <cellStyle name="Normal 5 2 3 2 2 9" xfId="9013" xr:uid="{EEB58129-9BAD-4FD9-A7F9-F4C7B39E36ED}"/>
    <cellStyle name="Normal 5 2 3 2 2 9 2" xfId="21653" xr:uid="{F8BE8B8B-17A5-461D-A853-37A9F3E7CE13}"/>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D6991B9F-1D86-4912-B281-50D4C1DF31EC}"/>
    <cellStyle name="Normal 5 2 3 2 3 2 2 2 3" xfId="28424" xr:uid="{F27DC72E-FF16-4B9A-AFB7-47801D643FD6}"/>
    <cellStyle name="Normal 5 2 3 2 3 2 2 3" xfId="11573" xr:uid="{3C48EC59-D957-484C-B7E4-1111BC9B710D}"/>
    <cellStyle name="Normal 5 2 3 2 3 2 2 3 2" xfId="24213" xr:uid="{3ED9D227-F513-4DBA-9EB0-55EC0DF1B38F}"/>
    <cellStyle name="Normal 5 2 3 2 3 2 2 4" xfId="20002" xr:uid="{DA385972-266D-47E3-89DD-CBCB41249836}"/>
    <cellStyle name="Normal 5 2 3 2 3 2 3" xfId="5217" xr:uid="{00000000-0005-0000-0000-000060180000}"/>
    <cellStyle name="Normal 5 2 3 2 3 2 3 2" xfId="13646" xr:uid="{AD61D7C0-E1D5-4AF8-86BE-4F359DB6A00E}"/>
    <cellStyle name="Normal 5 2 3 2 3 2 3 3" xfId="26279" xr:uid="{3D4F659C-D105-49B2-9D3D-0C13718128EA}"/>
    <cellStyle name="Normal 5 2 3 2 3 2 4" xfId="9428" xr:uid="{5283CCC0-FB9A-4F13-A6E4-A256508DC005}"/>
    <cellStyle name="Normal 5 2 3 2 3 2 4 2" xfId="22068" xr:uid="{20A47C48-4636-4E5B-BCF3-F72298337143}"/>
    <cellStyle name="Normal 5 2 3 2 3 2 5" xfId="17857" xr:uid="{9E339BA4-21E2-43CF-B3DD-F7CE1D49DD2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3863C7DE-4699-476E-AC88-8374008ED54D}"/>
    <cellStyle name="Normal 5 2 3 2 3 3 2 2 3" xfId="28837" xr:uid="{99950851-A0F3-456F-9068-7F4CC36C4354}"/>
    <cellStyle name="Normal 5 2 3 2 3 3 2 3" xfId="11986" xr:uid="{67FAF39D-AD1A-41B7-A567-F54CE9BA5FFF}"/>
    <cellStyle name="Normal 5 2 3 2 3 3 2 3 2" xfId="24626" xr:uid="{926D5336-8A5D-405F-96F1-49F9FA5F56D7}"/>
    <cellStyle name="Normal 5 2 3 2 3 3 2 4" xfId="20415" xr:uid="{D7BF8708-5BBF-4A9E-B92C-7A246EB8E190}"/>
    <cellStyle name="Normal 5 2 3 2 3 3 3" xfId="5630" xr:uid="{00000000-0005-0000-0000-000064180000}"/>
    <cellStyle name="Normal 5 2 3 2 3 3 3 2" xfId="14059" xr:uid="{A7AF1F1D-2C6A-4AB6-96F3-B662F947ED91}"/>
    <cellStyle name="Normal 5 2 3 2 3 3 3 3" xfId="26692" xr:uid="{8609FB9A-3963-455D-93CC-2F4DB8E25BF0}"/>
    <cellStyle name="Normal 5 2 3 2 3 3 4" xfId="9841" xr:uid="{8882A3CA-A4AC-4C73-ACBB-AF445C775EA6}"/>
    <cellStyle name="Normal 5 2 3 2 3 3 4 2" xfId="22481" xr:uid="{7D6A5820-F9A9-49A7-A46D-C3BAF27543E2}"/>
    <cellStyle name="Normal 5 2 3 2 3 3 5" xfId="18270" xr:uid="{4D3551F6-E742-492F-839A-AD50F3A761A1}"/>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45A92891-FC05-4496-8C04-3DC7AD2936F0}"/>
    <cellStyle name="Normal 5 2 3 2 3 4 2 2 3" xfId="29250" xr:uid="{70F47177-BB48-4C62-BFD3-3C31E4E9900D}"/>
    <cellStyle name="Normal 5 2 3 2 3 4 2 3" xfId="12399" xr:uid="{7096C053-C469-4A91-822F-A9FAFFBC75BA}"/>
    <cellStyle name="Normal 5 2 3 2 3 4 2 3 2" xfId="25039" xr:uid="{1C168DC1-7A86-4E05-BAEC-E146DE4AA7BD}"/>
    <cellStyle name="Normal 5 2 3 2 3 4 2 4" xfId="20828" xr:uid="{7AF9E5D3-9CE2-46FB-B365-F0D969A9B36B}"/>
    <cellStyle name="Normal 5 2 3 2 3 4 3" xfId="6043" xr:uid="{00000000-0005-0000-0000-000068180000}"/>
    <cellStyle name="Normal 5 2 3 2 3 4 3 2" xfId="14472" xr:uid="{F32B45B6-518F-4725-A41E-603B021E0981}"/>
    <cellStyle name="Normal 5 2 3 2 3 4 3 3" xfId="27105" xr:uid="{3B227C70-F2A5-49F2-BBD9-F3923CED9923}"/>
    <cellStyle name="Normal 5 2 3 2 3 4 4" xfId="10254" xr:uid="{8A6EE82C-F306-42A7-8978-8BDD5EDF2E08}"/>
    <cellStyle name="Normal 5 2 3 2 3 4 4 2" xfId="22894" xr:uid="{9D56EC49-B1DB-4288-B607-BD9A2B6CA76B}"/>
    <cellStyle name="Normal 5 2 3 2 3 4 5" xfId="18683" xr:uid="{86D59315-FF38-4761-9963-D2AAD4A5D715}"/>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E5EC2C6D-15C6-41E3-BE7B-EEA786EBD549}"/>
    <cellStyle name="Normal 5 2 3 2 3 5 2 2 3" xfId="29663" xr:uid="{962FCDEF-CE56-4169-BB61-E16D6975ADA2}"/>
    <cellStyle name="Normal 5 2 3 2 3 5 2 3" xfId="12812" xr:uid="{D81030A1-3807-41A3-A68C-C68C40149E0C}"/>
    <cellStyle name="Normal 5 2 3 2 3 5 2 3 2" xfId="25452" xr:uid="{D09D9B66-F51D-435F-9B7F-08424A87357C}"/>
    <cellStyle name="Normal 5 2 3 2 3 5 2 4" xfId="21241" xr:uid="{089743E9-AD65-4FBF-935C-4DE87B16088E}"/>
    <cellStyle name="Normal 5 2 3 2 3 5 3" xfId="6456" xr:uid="{00000000-0005-0000-0000-00006C180000}"/>
    <cellStyle name="Normal 5 2 3 2 3 5 3 2" xfId="14885" xr:uid="{965C0216-CDF3-4D6A-91B4-9D7FC5A91236}"/>
    <cellStyle name="Normal 5 2 3 2 3 5 3 3" xfId="27518" xr:uid="{D2E1ACA8-ABB9-4DF0-A71E-C0C1F8292621}"/>
    <cellStyle name="Normal 5 2 3 2 3 5 4" xfId="10667" xr:uid="{BCC8DCE2-EC8D-4DBA-9509-E17765B44407}"/>
    <cellStyle name="Normal 5 2 3 2 3 5 4 2" xfId="23307" xr:uid="{6364E2EF-0AC3-4ACE-9AB3-3FFEDF8D0BBA}"/>
    <cellStyle name="Normal 5 2 3 2 3 5 5" xfId="19096" xr:uid="{DBDB4785-29EB-4B4E-B72B-30826B57CC79}"/>
    <cellStyle name="Normal 5 2 3 2 3 6" xfId="2584" xr:uid="{00000000-0005-0000-0000-00006D180000}"/>
    <cellStyle name="Normal 5 2 3 2 3 6 2" xfId="6869" xr:uid="{00000000-0005-0000-0000-00006E180000}"/>
    <cellStyle name="Normal 5 2 3 2 3 6 2 2" xfId="15298" xr:uid="{B4C1915F-2F10-46FA-A5EF-8BD42AFE31F4}"/>
    <cellStyle name="Normal 5 2 3 2 3 6 2 3" xfId="27931" xr:uid="{85DADCD5-5909-4B0A-AF18-6B1E27814F35}"/>
    <cellStyle name="Normal 5 2 3 2 3 6 3" xfId="11080" xr:uid="{EA074EBC-136E-4ADC-BE85-EC4411E58D3A}"/>
    <cellStyle name="Normal 5 2 3 2 3 6 3 2" xfId="23720" xr:uid="{DA837B90-6B50-48D6-9AFD-18223F863CB6}"/>
    <cellStyle name="Normal 5 2 3 2 3 6 4" xfId="19509" xr:uid="{78C9B74B-84FB-451E-BF4D-FDF3661536CF}"/>
    <cellStyle name="Normal 5 2 3 2 3 7" xfId="4804" xr:uid="{00000000-0005-0000-0000-00006F180000}"/>
    <cellStyle name="Normal 5 2 3 2 3 7 2" xfId="13233" xr:uid="{4DB694EF-5EE4-4F8E-96C1-8494E6266A49}"/>
    <cellStyle name="Normal 5 2 3 2 3 7 3" xfId="25866" xr:uid="{6CC56B3D-54EE-4E03-AFAA-EA1C85C1D672}"/>
    <cellStyle name="Normal 5 2 3 2 3 8" xfId="9015" xr:uid="{BB6A3AF1-9750-4722-90DA-0CF593FE1056}"/>
    <cellStyle name="Normal 5 2 3 2 3 8 2" xfId="21655" xr:uid="{85F89AEC-71B4-414C-AF24-8FB65A25CFBA}"/>
    <cellStyle name="Normal 5 2 3 2 3 9" xfId="17444" xr:uid="{31259834-C49D-40C4-A584-7A9A2B2C5E73}"/>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38290B70-3D09-4A50-884D-A026DCE42AE5}"/>
    <cellStyle name="Normal 5 2 3 2 4 2 2 3" xfId="28421" xr:uid="{9A302600-BB31-4CDA-AA8B-637B5453703E}"/>
    <cellStyle name="Normal 5 2 3 2 4 2 3" xfId="11570" xr:uid="{C2827B0C-C0CE-4971-86BB-4242693A6682}"/>
    <cellStyle name="Normal 5 2 3 2 4 2 3 2" xfId="24210" xr:uid="{AE63DD85-6CAA-480B-B4B2-827442B7B71B}"/>
    <cellStyle name="Normal 5 2 3 2 4 2 4" xfId="19999" xr:uid="{5676ABBE-41E1-46D7-8DE3-239FDD4D78F3}"/>
    <cellStyle name="Normal 5 2 3 2 4 3" xfId="5214" xr:uid="{00000000-0005-0000-0000-000073180000}"/>
    <cellStyle name="Normal 5 2 3 2 4 3 2" xfId="13643" xr:uid="{8B5C6423-2599-4564-8771-D20A1D9B7E13}"/>
    <cellStyle name="Normal 5 2 3 2 4 3 3" xfId="26276" xr:uid="{3CE0C1C6-E3C5-455F-B55E-AE62059D9734}"/>
    <cellStyle name="Normal 5 2 3 2 4 4" xfId="9425" xr:uid="{54B5AFCF-05D1-422B-A3A1-6081B5DB3705}"/>
    <cellStyle name="Normal 5 2 3 2 4 4 2" xfId="22065" xr:uid="{8112BA09-46A9-4422-B0D3-EE27B78BBDBE}"/>
    <cellStyle name="Normal 5 2 3 2 4 5" xfId="17854" xr:uid="{4191750B-98B0-4F6D-BEB3-8F28C696FCC9}"/>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E2522E7C-4B53-4176-B324-DB441B91FD3B}"/>
    <cellStyle name="Normal 5 2 3 2 5 2 2 3" xfId="28834" xr:uid="{03DD5018-F4E6-40EA-BABA-51B551647B44}"/>
    <cellStyle name="Normal 5 2 3 2 5 2 3" xfId="11983" xr:uid="{7B25D97B-EE22-4ADD-8B91-40880C7F9B69}"/>
    <cellStyle name="Normal 5 2 3 2 5 2 3 2" xfId="24623" xr:uid="{A4DE61A4-4164-4023-B8AB-8F77C1F30D30}"/>
    <cellStyle name="Normal 5 2 3 2 5 2 4" xfId="20412" xr:uid="{809A61A7-9325-4473-9C9A-F3171475EE5D}"/>
    <cellStyle name="Normal 5 2 3 2 5 3" xfId="5627" xr:uid="{00000000-0005-0000-0000-000077180000}"/>
    <cellStyle name="Normal 5 2 3 2 5 3 2" xfId="14056" xr:uid="{56F980FE-6638-4648-A2C7-AC40AD868DBA}"/>
    <cellStyle name="Normal 5 2 3 2 5 3 3" xfId="26689" xr:uid="{DF2B8E23-846E-4630-A0C8-98B8591190A9}"/>
    <cellStyle name="Normal 5 2 3 2 5 4" xfId="9838" xr:uid="{00AB4DDA-02FE-4706-8C86-3A3AD303E247}"/>
    <cellStyle name="Normal 5 2 3 2 5 4 2" xfId="22478" xr:uid="{23CC30EC-683E-4857-B17E-A660E9BAD8CD}"/>
    <cellStyle name="Normal 5 2 3 2 5 5" xfId="18267" xr:uid="{FF58650E-53AA-4B06-9FAA-C37D6D332E08}"/>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D866D08D-3AB4-4C43-9354-457B47EFDCE5}"/>
    <cellStyle name="Normal 5 2 3 2 6 2 2 3" xfId="29247" xr:uid="{CD63AE66-72B7-45AE-94C6-0294AA9C33DC}"/>
    <cellStyle name="Normal 5 2 3 2 6 2 3" xfId="12396" xr:uid="{2CA534B8-062F-41C5-888F-DC21FB0F0752}"/>
    <cellStyle name="Normal 5 2 3 2 6 2 3 2" xfId="25036" xr:uid="{B4D32518-B242-4CBC-83AA-DAD8CABA7C2E}"/>
    <cellStyle name="Normal 5 2 3 2 6 2 4" xfId="20825" xr:uid="{46697DBC-9AC2-41F8-BED4-88BA66FFC27F}"/>
    <cellStyle name="Normal 5 2 3 2 6 3" xfId="6040" xr:uid="{00000000-0005-0000-0000-00007B180000}"/>
    <cellStyle name="Normal 5 2 3 2 6 3 2" xfId="14469" xr:uid="{D5864FEE-E24D-4EE1-A5CD-05645D31589E}"/>
    <cellStyle name="Normal 5 2 3 2 6 3 3" xfId="27102" xr:uid="{9630167A-7FAD-4A30-8446-F21B4A5CEA13}"/>
    <cellStyle name="Normal 5 2 3 2 6 4" xfId="10251" xr:uid="{3BFCE071-155D-47C6-AAAF-FD66A8D10E89}"/>
    <cellStyle name="Normal 5 2 3 2 6 4 2" xfId="22891" xr:uid="{83B1253B-FE8D-4680-A24E-818EE60DACAD}"/>
    <cellStyle name="Normal 5 2 3 2 6 5" xfId="18680" xr:uid="{7E2FAB2C-907A-4434-885B-F844E03AB13B}"/>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AD04B56D-C194-4BB9-B1C9-44B16EA44CA6}"/>
    <cellStyle name="Normal 5 2 3 2 7 2 2 3" xfId="29660" xr:uid="{A1874549-E2B3-4D33-8F50-E143B82E70D3}"/>
    <cellStyle name="Normal 5 2 3 2 7 2 3" xfId="12809" xr:uid="{378C32AF-0669-488F-998C-A4D383B70CAE}"/>
    <cellStyle name="Normal 5 2 3 2 7 2 3 2" xfId="25449" xr:uid="{B6115B88-01B1-4C20-BE80-8D2AC89B04EE}"/>
    <cellStyle name="Normal 5 2 3 2 7 2 4" xfId="21238" xr:uid="{10996B02-FBCC-4A95-873B-06E01B59C687}"/>
    <cellStyle name="Normal 5 2 3 2 7 3" xfId="6453" xr:uid="{00000000-0005-0000-0000-00007F180000}"/>
    <cellStyle name="Normal 5 2 3 2 7 3 2" xfId="14882" xr:uid="{F60E2BB8-A638-4770-AA55-59557CF5AD42}"/>
    <cellStyle name="Normal 5 2 3 2 7 3 3" xfId="27515" xr:uid="{AC6C94F4-6748-4527-AB3A-ECA4E44A58B3}"/>
    <cellStyle name="Normal 5 2 3 2 7 4" xfId="10664" xr:uid="{49DB62DA-8CEA-4294-9EA5-0E6DBB754891}"/>
    <cellStyle name="Normal 5 2 3 2 7 4 2" xfId="23304" xr:uid="{FB18D642-CBC5-45C0-8C78-71CF90ECC962}"/>
    <cellStyle name="Normal 5 2 3 2 7 5" xfId="19093" xr:uid="{FD9A2154-1489-4129-AE6F-602FB607C2B3}"/>
    <cellStyle name="Normal 5 2 3 2 8" xfId="2581" xr:uid="{00000000-0005-0000-0000-000080180000}"/>
    <cellStyle name="Normal 5 2 3 2 8 2" xfId="6866" xr:uid="{00000000-0005-0000-0000-000081180000}"/>
    <cellStyle name="Normal 5 2 3 2 8 2 2" xfId="15295" xr:uid="{BC4A9BAF-7358-4589-BA7D-72CD76BFA7E9}"/>
    <cellStyle name="Normal 5 2 3 2 8 2 3" xfId="27928" xr:uid="{087F88BE-2AA0-488B-8D27-B2B5DF5C7D7F}"/>
    <cellStyle name="Normal 5 2 3 2 8 3" xfId="11077" xr:uid="{3AC415AD-8661-4684-91E5-F8C3BB3732BB}"/>
    <cellStyle name="Normal 5 2 3 2 8 3 2" xfId="23717" xr:uid="{278FCB15-1037-4225-B404-90F4B7131F4C}"/>
    <cellStyle name="Normal 5 2 3 2 8 4" xfId="19506" xr:uid="{47C63FC8-BE68-4761-A56B-0EE1CB11AB27}"/>
    <cellStyle name="Normal 5 2 3 2 9" xfId="4801" xr:uid="{00000000-0005-0000-0000-000082180000}"/>
    <cellStyle name="Normal 5 2 3 2 9 2" xfId="13230" xr:uid="{74F87B14-A931-4490-8443-176735B86F1E}"/>
    <cellStyle name="Normal 5 2 3 2 9 3" xfId="25863" xr:uid="{E062A9F0-72A8-4988-888E-6B1BAD8427A1}"/>
    <cellStyle name="Normal 5 2 3 3" xfId="429" xr:uid="{00000000-0005-0000-0000-000083180000}"/>
    <cellStyle name="Normal 5 2 3 3 10" xfId="17445" xr:uid="{B213CC4B-3E2C-4EBB-9BBC-ACE529E1F613}"/>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8B858285-8821-45CB-9DC6-5660CB64332B}"/>
    <cellStyle name="Normal 5 2 3 3 2 2 2 2 3" xfId="28426" xr:uid="{33085144-7547-44D3-BF49-5129CA0F7720}"/>
    <cellStyle name="Normal 5 2 3 3 2 2 2 3" xfId="11575" xr:uid="{36AF2EAB-95C4-4E26-8E70-6F66A8DB49AD}"/>
    <cellStyle name="Normal 5 2 3 3 2 2 2 3 2" xfId="24215" xr:uid="{7F7A8F5A-B266-4C61-9E0A-418E448486AE}"/>
    <cellStyle name="Normal 5 2 3 3 2 2 2 4" xfId="20004" xr:uid="{6B19BC53-76BB-481F-A745-90087B448A01}"/>
    <cellStyle name="Normal 5 2 3 3 2 2 3" xfId="5219" xr:uid="{00000000-0005-0000-0000-000088180000}"/>
    <cellStyle name="Normal 5 2 3 3 2 2 3 2" xfId="13648" xr:uid="{996E7918-93E1-4297-AAC5-ED3BB635CA83}"/>
    <cellStyle name="Normal 5 2 3 3 2 2 3 3" xfId="26281" xr:uid="{58330A01-F634-440D-8815-939B0B63AE00}"/>
    <cellStyle name="Normal 5 2 3 3 2 2 4" xfId="9430" xr:uid="{4F54BD9A-0778-4019-88B6-09A24B585F61}"/>
    <cellStyle name="Normal 5 2 3 3 2 2 4 2" xfId="22070" xr:uid="{141BD15D-00F3-44F6-959B-D900FE4F5BEE}"/>
    <cellStyle name="Normal 5 2 3 3 2 2 5" xfId="17859" xr:uid="{94AFC435-95BA-4D84-AD63-ACE6F060829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7E2EAD86-5E1C-451A-9319-FB0F71559304}"/>
    <cellStyle name="Normal 5 2 3 3 2 3 2 2 3" xfId="28839" xr:uid="{1BEA9C0A-0F0F-4AAB-8A6D-779EF5BC1925}"/>
    <cellStyle name="Normal 5 2 3 3 2 3 2 3" xfId="11988" xr:uid="{395E2F24-7D22-4D6C-9044-9F54BF4CB75C}"/>
    <cellStyle name="Normal 5 2 3 3 2 3 2 3 2" xfId="24628" xr:uid="{1D7237D9-2DA2-4430-A099-EEB85D1E2D24}"/>
    <cellStyle name="Normal 5 2 3 3 2 3 2 4" xfId="20417" xr:uid="{4B3AEE18-21A5-4FAB-96AE-5263FB73D856}"/>
    <cellStyle name="Normal 5 2 3 3 2 3 3" xfId="5632" xr:uid="{00000000-0005-0000-0000-00008C180000}"/>
    <cellStyle name="Normal 5 2 3 3 2 3 3 2" xfId="14061" xr:uid="{DA70A837-3550-4A3F-BDA6-27AB99E4C31D}"/>
    <cellStyle name="Normal 5 2 3 3 2 3 3 3" xfId="26694" xr:uid="{6DC22A99-178B-435B-BC94-6BE56FC6ADDD}"/>
    <cellStyle name="Normal 5 2 3 3 2 3 4" xfId="9843" xr:uid="{41339646-13A6-42BF-9BFA-C6D57747069B}"/>
    <cellStyle name="Normal 5 2 3 3 2 3 4 2" xfId="22483" xr:uid="{44CCB7A1-C5D0-4B5F-A99E-AD64A3DE1710}"/>
    <cellStyle name="Normal 5 2 3 3 2 3 5" xfId="18272" xr:uid="{01F00569-A44A-40D0-B9A3-AF44CD285956}"/>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A654D51C-6622-4158-836D-8821E8BAD442}"/>
    <cellStyle name="Normal 5 2 3 3 2 4 2 2 3" xfId="29252" xr:uid="{41D64811-A20E-4C69-BA73-CA5F11BFDC32}"/>
    <cellStyle name="Normal 5 2 3 3 2 4 2 3" xfId="12401" xr:uid="{493721ED-128A-4D3D-96EA-018418D9C4B0}"/>
    <cellStyle name="Normal 5 2 3 3 2 4 2 3 2" xfId="25041" xr:uid="{9D390332-6BC1-4C3F-9B3C-23D3E3B61508}"/>
    <cellStyle name="Normal 5 2 3 3 2 4 2 4" xfId="20830" xr:uid="{C7061621-855B-4359-B1FA-64BE822AED95}"/>
    <cellStyle name="Normal 5 2 3 3 2 4 3" xfId="6045" xr:uid="{00000000-0005-0000-0000-000090180000}"/>
    <cellStyle name="Normal 5 2 3 3 2 4 3 2" xfId="14474" xr:uid="{8E9A3CD4-5823-49AE-96BF-50C851ECE267}"/>
    <cellStyle name="Normal 5 2 3 3 2 4 3 3" xfId="27107" xr:uid="{DBC6554E-FF46-45B8-8CA0-807D66D39169}"/>
    <cellStyle name="Normal 5 2 3 3 2 4 4" xfId="10256" xr:uid="{4A589D35-A85A-4D6F-8F70-77F2BA54BB33}"/>
    <cellStyle name="Normal 5 2 3 3 2 4 4 2" xfId="22896" xr:uid="{9F7923F9-C064-4B72-BF84-B1A7EC60B900}"/>
    <cellStyle name="Normal 5 2 3 3 2 4 5" xfId="18685" xr:uid="{713B4BFE-B2EA-4E39-BE77-DE7F3915227E}"/>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42DADDAD-C891-4E83-816A-17BD69F8BE42}"/>
    <cellStyle name="Normal 5 2 3 3 2 5 2 2 3" xfId="29665" xr:uid="{F23E1F6B-DEEA-4A06-95CA-9677FEB67183}"/>
    <cellStyle name="Normal 5 2 3 3 2 5 2 3" xfId="12814" xr:uid="{F6C29BDF-1673-4EF8-BC9B-06AC302172CD}"/>
    <cellStyle name="Normal 5 2 3 3 2 5 2 3 2" xfId="25454" xr:uid="{B26C19FD-1F14-455B-9106-003DC3A94AE9}"/>
    <cellStyle name="Normal 5 2 3 3 2 5 2 4" xfId="21243" xr:uid="{3D698C56-D2F3-4C3E-B699-5FDD6622C738}"/>
    <cellStyle name="Normal 5 2 3 3 2 5 3" xfId="6458" xr:uid="{00000000-0005-0000-0000-000094180000}"/>
    <cellStyle name="Normal 5 2 3 3 2 5 3 2" xfId="14887" xr:uid="{D07B321E-191F-4747-9FB9-8CD112BF18CE}"/>
    <cellStyle name="Normal 5 2 3 3 2 5 3 3" xfId="27520" xr:uid="{3B7FEAAA-8B42-4E0B-96B6-E008CD1744E6}"/>
    <cellStyle name="Normal 5 2 3 3 2 5 4" xfId="10669" xr:uid="{4590FFA0-D994-486F-97D3-9C6A5460251B}"/>
    <cellStyle name="Normal 5 2 3 3 2 5 4 2" xfId="23309" xr:uid="{F3ADEACC-C6EC-4CE0-9C27-21122BD947DF}"/>
    <cellStyle name="Normal 5 2 3 3 2 5 5" xfId="19098" xr:uid="{B1F5ACB5-9C81-4B64-88AA-662CCC58A344}"/>
    <cellStyle name="Normal 5 2 3 3 2 6" xfId="2586" xr:uid="{00000000-0005-0000-0000-000095180000}"/>
    <cellStyle name="Normal 5 2 3 3 2 6 2" xfId="6871" xr:uid="{00000000-0005-0000-0000-000096180000}"/>
    <cellStyle name="Normal 5 2 3 3 2 6 2 2" xfId="15300" xr:uid="{177E1735-2ACC-49EF-A1D8-DB99D3227571}"/>
    <cellStyle name="Normal 5 2 3 3 2 6 2 3" xfId="27933" xr:uid="{B52ABBA1-B138-4FAD-996E-D3CEA36D5BB3}"/>
    <cellStyle name="Normal 5 2 3 3 2 6 3" xfId="11082" xr:uid="{8C87D3A9-DBC0-44E6-BF49-7144FFC9190B}"/>
    <cellStyle name="Normal 5 2 3 3 2 6 3 2" xfId="23722" xr:uid="{830EFA40-7BCF-4901-8EC3-1D73FF189E76}"/>
    <cellStyle name="Normal 5 2 3 3 2 6 4" xfId="19511" xr:uid="{6D572923-D311-41A6-B13D-92AED68FE2EB}"/>
    <cellStyle name="Normal 5 2 3 3 2 7" xfId="4806" xr:uid="{00000000-0005-0000-0000-000097180000}"/>
    <cellStyle name="Normal 5 2 3 3 2 7 2" xfId="13235" xr:uid="{D2276E14-8DC5-4D30-99D2-D1E7BD6B3AAF}"/>
    <cellStyle name="Normal 5 2 3 3 2 7 3" xfId="25868" xr:uid="{B4CBAD72-BFD6-4B80-A83D-5DED38E5477E}"/>
    <cellStyle name="Normal 5 2 3 3 2 8" xfId="9017" xr:uid="{C2C32E7E-8CD9-4B8A-B66C-BCBF9467552C}"/>
    <cellStyle name="Normal 5 2 3 3 2 8 2" xfId="21657" xr:uid="{D46934BB-5C6F-4E98-A939-7FE164326BBF}"/>
    <cellStyle name="Normal 5 2 3 3 2 9" xfId="17446" xr:uid="{8B413A49-F3C2-4279-A82E-8E7D5A8B0020}"/>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4E1066B4-BA9C-432F-B360-8A00715EFE2E}"/>
    <cellStyle name="Normal 5 2 3 3 3 2 2 3" xfId="28425" xr:uid="{51565D9D-7CC3-48F3-A113-8FAF4944AA31}"/>
    <cellStyle name="Normal 5 2 3 3 3 2 3" xfId="11574" xr:uid="{2E53A6A8-CC8E-4B49-8155-A9E0E3135CF4}"/>
    <cellStyle name="Normal 5 2 3 3 3 2 3 2" xfId="24214" xr:uid="{9C10E444-D828-4534-B1F1-19B895005D0D}"/>
    <cellStyle name="Normal 5 2 3 3 3 2 4" xfId="20003" xr:uid="{9F70D39F-32F6-4A2B-8DEA-CC0134262197}"/>
    <cellStyle name="Normal 5 2 3 3 3 3" xfId="5218" xr:uid="{00000000-0005-0000-0000-00009B180000}"/>
    <cellStyle name="Normal 5 2 3 3 3 3 2" xfId="13647" xr:uid="{C44ECDDA-C9FC-45F6-80F6-E554BEA87F73}"/>
    <cellStyle name="Normal 5 2 3 3 3 3 3" xfId="26280" xr:uid="{C74A4106-527B-416F-A816-691FE375069C}"/>
    <cellStyle name="Normal 5 2 3 3 3 4" xfId="9429" xr:uid="{AB0522D2-D5DA-4881-82B0-D4D09B725AB6}"/>
    <cellStyle name="Normal 5 2 3 3 3 4 2" xfId="22069" xr:uid="{AD9562CD-1654-43EB-85C5-3883900739F3}"/>
    <cellStyle name="Normal 5 2 3 3 3 5" xfId="17858" xr:uid="{3CCCBCCD-88B8-40F4-A22B-8E192B70C459}"/>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7F150067-B67A-4EFE-8062-315EE3C51FA5}"/>
    <cellStyle name="Normal 5 2 3 3 4 2 2 3" xfId="28838" xr:uid="{2BD2AEDB-EDE6-4404-B408-38534568F755}"/>
    <cellStyle name="Normal 5 2 3 3 4 2 3" xfId="11987" xr:uid="{30137F17-59BC-46B8-AB79-D9901E1D1F6D}"/>
    <cellStyle name="Normal 5 2 3 3 4 2 3 2" xfId="24627" xr:uid="{47D96592-51F8-4DDE-95C8-AB9603D5CE1C}"/>
    <cellStyle name="Normal 5 2 3 3 4 2 4" xfId="20416" xr:uid="{5A8F529E-7146-44CB-9C92-DDCBD4B73679}"/>
    <cellStyle name="Normal 5 2 3 3 4 3" xfId="5631" xr:uid="{00000000-0005-0000-0000-00009F180000}"/>
    <cellStyle name="Normal 5 2 3 3 4 3 2" xfId="14060" xr:uid="{671A1B72-07A4-4D36-A6D6-5346C820AA98}"/>
    <cellStyle name="Normal 5 2 3 3 4 3 3" xfId="26693" xr:uid="{43144C14-965B-47E1-BFEF-9D42B8016963}"/>
    <cellStyle name="Normal 5 2 3 3 4 4" xfId="9842" xr:uid="{FB05D897-AFF5-40DD-B7E9-57E56503C2EC}"/>
    <cellStyle name="Normal 5 2 3 3 4 4 2" xfId="22482" xr:uid="{B2D789F2-7ED0-47FF-AEC0-AD9AA0AAA5C1}"/>
    <cellStyle name="Normal 5 2 3 3 4 5" xfId="18271" xr:uid="{D17B337E-29DF-4F24-92BF-9F0116B0E0F7}"/>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9C790056-3AC3-4D12-A3DC-1023FA7350C1}"/>
    <cellStyle name="Normal 5 2 3 3 5 2 2 3" xfId="29251" xr:uid="{0BEC76EF-7AE5-4103-94BA-C7B58568CA6C}"/>
    <cellStyle name="Normal 5 2 3 3 5 2 3" xfId="12400" xr:uid="{A3C1D6DA-7817-4CF4-826B-42B8A4B80C94}"/>
    <cellStyle name="Normal 5 2 3 3 5 2 3 2" xfId="25040" xr:uid="{0882C105-DDF8-4634-BC1D-85EE2A70575B}"/>
    <cellStyle name="Normal 5 2 3 3 5 2 4" xfId="20829" xr:uid="{7EF05D5D-1323-4F80-88B6-0867A189BA01}"/>
    <cellStyle name="Normal 5 2 3 3 5 3" xfId="6044" xr:uid="{00000000-0005-0000-0000-0000A3180000}"/>
    <cellStyle name="Normal 5 2 3 3 5 3 2" xfId="14473" xr:uid="{812C7911-891F-419C-B545-8D6DFD2053BF}"/>
    <cellStyle name="Normal 5 2 3 3 5 3 3" xfId="27106" xr:uid="{A85B5564-918D-4752-8B97-F57E736D0FF5}"/>
    <cellStyle name="Normal 5 2 3 3 5 4" xfId="10255" xr:uid="{CBA5A3FF-C2A4-4C95-BB2D-642CC83BADAD}"/>
    <cellStyle name="Normal 5 2 3 3 5 4 2" xfId="22895" xr:uid="{A0D30534-01E9-444A-8A65-4E703877C7C9}"/>
    <cellStyle name="Normal 5 2 3 3 5 5" xfId="18684" xr:uid="{CC545661-D28A-44B5-A26B-320D1A4265FE}"/>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416D7A24-43B6-459A-AA0B-41ED11932EB6}"/>
    <cellStyle name="Normal 5 2 3 3 6 2 2 3" xfId="29664" xr:uid="{67A03562-31DC-4831-A92D-D766A09153D9}"/>
    <cellStyle name="Normal 5 2 3 3 6 2 3" xfId="12813" xr:uid="{FF5853F4-30CB-4E2D-9C84-F5679D0C348C}"/>
    <cellStyle name="Normal 5 2 3 3 6 2 3 2" xfId="25453" xr:uid="{65E6F31D-70A0-4270-AA23-D0770167A67E}"/>
    <cellStyle name="Normal 5 2 3 3 6 2 4" xfId="21242" xr:uid="{0958B8F4-51A3-43CC-86B1-1C2F43DF1416}"/>
    <cellStyle name="Normal 5 2 3 3 6 3" xfId="6457" xr:uid="{00000000-0005-0000-0000-0000A7180000}"/>
    <cellStyle name="Normal 5 2 3 3 6 3 2" xfId="14886" xr:uid="{03CF08BD-73B7-4E7A-86B1-1A1D4F0C885E}"/>
    <cellStyle name="Normal 5 2 3 3 6 3 3" xfId="27519" xr:uid="{00EBB709-89C6-46FA-B94E-4FBB6DB014F5}"/>
    <cellStyle name="Normal 5 2 3 3 6 4" xfId="10668" xr:uid="{33C07FD0-11C1-42AD-AEA0-4C0B47DE32F6}"/>
    <cellStyle name="Normal 5 2 3 3 6 4 2" xfId="23308" xr:uid="{1A583C34-EB4E-4650-9193-4445DEF81166}"/>
    <cellStyle name="Normal 5 2 3 3 6 5" xfId="19097" xr:uid="{394CE455-BFCD-43A3-9EB7-80A75955ABF0}"/>
    <cellStyle name="Normal 5 2 3 3 7" xfId="2585" xr:uid="{00000000-0005-0000-0000-0000A8180000}"/>
    <cellStyle name="Normal 5 2 3 3 7 2" xfId="6870" xr:uid="{00000000-0005-0000-0000-0000A9180000}"/>
    <cellStyle name="Normal 5 2 3 3 7 2 2" xfId="15299" xr:uid="{7D2CF00A-3C0E-4656-A979-E097CD7B1EA3}"/>
    <cellStyle name="Normal 5 2 3 3 7 2 3" xfId="27932" xr:uid="{FD2A69E4-DDCE-46CB-9403-A86699984910}"/>
    <cellStyle name="Normal 5 2 3 3 7 3" xfId="11081" xr:uid="{FCC9471F-3DF4-4144-8B3E-8BFD40E59428}"/>
    <cellStyle name="Normal 5 2 3 3 7 3 2" xfId="23721" xr:uid="{D069042E-1539-46FE-B45F-60559FC25473}"/>
    <cellStyle name="Normal 5 2 3 3 7 4" xfId="19510" xr:uid="{E81BD311-769B-4F81-8127-D1B155D04F89}"/>
    <cellStyle name="Normal 5 2 3 3 8" xfId="4805" xr:uid="{00000000-0005-0000-0000-0000AA180000}"/>
    <cellStyle name="Normal 5 2 3 3 8 2" xfId="13234" xr:uid="{6C340D18-C0CE-4CDB-9880-B4E029092A1F}"/>
    <cellStyle name="Normal 5 2 3 3 8 3" xfId="25867" xr:uid="{031C1B73-175F-4662-9590-A8EBA1D754BF}"/>
    <cellStyle name="Normal 5 2 3 3 9" xfId="9016" xr:uid="{F2F2BA5D-28A1-45C5-8CF3-286A70CD2C63}"/>
    <cellStyle name="Normal 5 2 3 3 9 2" xfId="21656" xr:uid="{EABC7EE9-2B20-4425-858A-15CDC568C94A}"/>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5E038F72-29EE-432B-8EC6-EE217DF93D16}"/>
    <cellStyle name="Normal 5 2 3 4 2 2 2 3" xfId="28427" xr:uid="{EBC0642E-9733-4B6A-AF9C-A1941C1310C8}"/>
    <cellStyle name="Normal 5 2 3 4 2 2 3" xfId="11576" xr:uid="{727D0CDE-48BA-4563-AC39-33A7BBFD6A21}"/>
    <cellStyle name="Normal 5 2 3 4 2 2 3 2" xfId="24216" xr:uid="{DFD07D4D-FB20-49B2-9F15-319CCBF20EFC}"/>
    <cellStyle name="Normal 5 2 3 4 2 2 4" xfId="20005" xr:uid="{5B545643-796D-42ED-AC81-39D166B557BF}"/>
    <cellStyle name="Normal 5 2 3 4 2 3" xfId="5220" xr:uid="{00000000-0005-0000-0000-0000AF180000}"/>
    <cellStyle name="Normal 5 2 3 4 2 3 2" xfId="13649" xr:uid="{A61AF009-0C5C-4D90-B563-36AB45095B6C}"/>
    <cellStyle name="Normal 5 2 3 4 2 3 3" xfId="26282" xr:uid="{D80F5426-8449-4501-BED0-DE8E8DE525C8}"/>
    <cellStyle name="Normal 5 2 3 4 2 4" xfId="9431" xr:uid="{1B74079A-EE9A-488B-8A3B-D6027145E065}"/>
    <cellStyle name="Normal 5 2 3 4 2 4 2" xfId="22071" xr:uid="{D5031C79-B9E3-407F-92A6-53575F959165}"/>
    <cellStyle name="Normal 5 2 3 4 2 5" xfId="17860" xr:uid="{7E1B7BE5-04E4-4206-B591-F1D813903858}"/>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E0DD8B97-479A-4F72-9FD6-1A69A6C497B4}"/>
    <cellStyle name="Normal 5 2 3 4 3 2 2 3" xfId="28840" xr:uid="{071E5A92-B660-415D-8DB1-03B26C1E7E0F}"/>
    <cellStyle name="Normal 5 2 3 4 3 2 3" xfId="11989" xr:uid="{D9735403-DAF7-4693-848F-3D58566759CD}"/>
    <cellStyle name="Normal 5 2 3 4 3 2 3 2" xfId="24629" xr:uid="{F90359D6-DF51-4AA3-8EF9-379100FB51E7}"/>
    <cellStyle name="Normal 5 2 3 4 3 2 4" xfId="20418" xr:uid="{26C922CA-A38B-461A-BCE6-993B854F36B2}"/>
    <cellStyle name="Normal 5 2 3 4 3 3" xfId="5633" xr:uid="{00000000-0005-0000-0000-0000B3180000}"/>
    <cellStyle name="Normal 5 2 3 4 3 3 2" xfId="14062" xr:uid="{0197B61F-CB05-4C64-A460-D7BAD7D8B3D6}"/>
    <cellStyle name="Normal 5 2 3 4 3 3 3" xfId="26695" xr:uid="{3BE3E31F-9DBC-4A85-886A-9486B121B0B9}"/>
    <cellStyle name="Normal 5 2 3 4 3 4" xfId="9844" xr:uid="{CD15548D-0A52-46D8-8D90-8D38AD3FEEB7}"/>
    <cellStyle name="Normal 5 2 3 4 3 4 2" xfId="22484" xr:uid="{70BDA761-2B61-4264-B5D1-B2A5E6B7E544}"/>
    <cellStyle name="Normal 5 2 3 4 3 5" xfId="18273" xr:uid="{F0181CA0-A492-498A-9025-0003951FAAF3}"/>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677C360B-1B68-41FA-8B7C-4E0F23C78EFA}"/>
    <cellStyle name="Normal 5 2 3 4 4 2 2 3" xfId="29253" xr:uid="{276E1113-0F24-4C95-B6C2-FED79F1DF4A2}"/>
    <cellStyle name="Normal 5 2 3 4 4 2 3" xfId="12402" xr:uid="{ED7E022E-4F59-4FF4-9974-55119B5A576C}"/>
    <cellStyle name="Normal 5 2 3 4 4 2 3 2" xfId="25042" xr:uid="{68999895-D3DA-430A-B4F9-73C9F9812FDD}"/>
    <cellStyle name="Normal 5 2 3 4 4 2 4" xfId="20831" xr:uid="{5019DE06-A46C-4D66-A321-ADA49714C958}"/>
    <cellStyle name="Normal 5 2 3 4 4 3" xfId="6046" xr:uid="{00000000-0005-0000-0000-0000B7180000}"/>
    <cellStyle name="Normal 5 2 3 4 4 3 2" xfId="14475" xr:uid="{94ABE1D0-D48A-472D-AE07-3E15EFCE6BE2}"/>
    <cellStyle name="Normal 5 2 3 4 4 3 3" xfId="27108" xr:uid="{A6A9AE5A-AAFF-401B-B362-C1F237B6FF98}"/>
    <cellStyle name="Normal 5 2 3 4 4 4" xfId="10257" xr:uid="{8D51A413-B372-49AA-BB75-4BE74A83E3AE}"/>
    <cellStyle name="Normal 5 2 3 4 4 4 2" xfId="22897" xr:uid="{69C9774C-8E63-4B32-807C-F1FEB76CB702}"/>
    <cellStyle name="Normal 5 2 3 4 4 5" xfId="18686" xr:uid="{D9041493-E60B-4F69-AE54-F9458561D806}"/>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ED8368ED-5EA6-499B-AB8D-EA65ED6E87A5}"/>
    <cellStyle name="Normal 5 2 3 4 5 2 2 3" xfId="29666" xr:uid="{E201EB32-3DE7-4044-98B3-197D722C3958}"/>
    <cellStyle name="Normal 5 2 3 4 5 2 3" xfId="12815" xr:uid="{23B4565D-DD35-4B95-996C-2A45F5D94794}"/>
    <cellStyle name="Normal 5 2 3 4 5 2 3 2" xfId="25455" xr:uid="{42D2D8BF-8490-4C5D-88CF-E86955B42FC3}"/>
    <cellStyle name="Normal 5 2 3 4 5 2 4" xfId="21244" xr:uid="{B0953FDB-CCB2-4A3C-9A1A-895325C9FD92}"/>
    <cellStyle name="Normal 5 2 3 4 5 3" xfId="6459" xr:uid="{00000000-0005-0000-0000-0000BB180000}"/>
    <cellStyle name="Normal 5 2 3 4 5 3 2" xfId="14888" xr:uid="{EBFFC0DF-77A1-4F5E-9DDC-C8C40A22B973}"/>
    <cellStyle name="Normal 5 2 3 4 5 3 3" xfId="27521" xr:uid="{3FE1D75B-0733-453A-9B6B-96F79CC630A4}"/>
    <cellStyle name="Normal 5 2 3 4 5 4" xfId="10670" xr:uid="{9D835FD8-6647-4AF5-B327-52F436EFAAAE}"/>
    <cellStyle name="Normal 5 2 3 4 5 4 2" xfId="23310" xr:uid="{E8CF3A1A-DD81-44C9-AD00-DD80651342BF}"/>
    <cellStyle name="Normal 5 2 3 4 5 5" xfId="19099" xr:uid="{C6592A3A-0FAD-443A-97CB-53C2AC746AD7}"/>
    <cellStyle name="Normal 5 2 3 4 6" xfId="2587" xr:uid="{00000000-0005-0000-0000-0000BC180000}"/>
    <cellStyle name="Normal 5 2 3 4 6 2" xfId="6872" xr:uid="{00000000-0005-0000-0000-0000BD180000}"/>
    <cellStyle name="Normal 5 2 3 4 6 2 2" xfId="15301" xr:uid="{46A5739F-08B6-4D1A-A4D6-B530EB66249C}"/>
    <cellStyle name="Normal 5 2 3 4 6 2 3" xfId="27934" xr:uid="{5B5E66A1-8C57-4DC6-BCB7-0726215561D3}"/>
    <cellStyle name="Normal 5 2 3 4 6 3" xfId="11083" xr:uid="{E3B92497-7E3A-44F6-AF9E-5FCA2563A2DC}"/>
    <cellStyle name="Normal 5 2 3 4 6 3 2" xfId="23723" xr:uid="{39A0DFA8-E275-46CC-9F2B-D4312475A597}"/>
    <cellStyle name="Normal 5 2 3 4 6 4" xfId="19512" xr:uid="{46398EAE-A9AA-49D1-B5B1-AD00E3934421}"/>
    <cellStyle name="Normal 5 2 3 4 7" xfId="4807" xr:uid="{00000000-0005-0000-0000-0000BE180000}"/>
    <cellStyle name="Normal 5 2 3 4 7 2" xfId="13236" xr:uid="{B0CF053C-4F76-4C91-806E-B3B5BFD0C268}"/>
    <cellStyle name="Normal 5 2 3 4 7 3" xfId="25869" xr:uid="{E4030E69-69F4-4D35-A04A-68C755EF9A76}"/>
    <cellStyle name="Normal 5 2 3 4 8" xfId="9018" xr:uid="{4A7C7F32-E3C9-49CD-9902-4997F4C94611}"/>
    <cellStyle name="Normal 5 2 3 4 8 2" xfId="21658" xr:uid="{29A9B033-FF2F-4D55-82F6-99A71A60FBB4}"/>
    <cellStyle name="Normal 5 2 3 4 9" xfId="17447" xr:uid="{92169579-1312-4EB3-BC2C-FCF75C263095}"/>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D3C3BE6C-6D35-46D2-813C-D26483D0A392}"/>
    <cellStyle name="Normal 5 2 3 5 2 2 3" xfId="28420" xr:uid="{580BA189-B5D9-4799-9387-BB6848D4F8F2}"/>
    <cellStyle name="Normal 5 2 3 5 2 3" xfId="11569" xr:uid="{9508D6FB-F503-49F5-BBB1-6DD8C82CAB65}"/>
    <cellStyle name="Normal 5 2 3 5 2 3 2" xfId="24209" xr:uid="{B86A7FD7-A29B-42D4-A22B-12270D63A789}"/>
    <cellStyle name="Normal 5 2 3 5 2 4" xfId="19998" xr:uid="{CC5743BB-18E8-44E7-B5A3-902F83245CE5}"/>
    <cellStyle name="Normal 5 2 3 5 3" xfId="5213" xr:uid="{00000000-0005-0000-0000-0000C2180000}"/>
    <cellStyle name="Normal 5 2 3 5 3 2" xfId="13642" xr:uid="{3D39ABC0-E725-44F4-BFB6-FA7BAB8BD174}"/>
    <cellStyle name="Normal 5 2 3 5 3 3" xfId="26275" xr:uid="{60E72B38-BBE4-42A7-AF7E-A0C43BD9D663}"/>
    <cellStyle name="Normal 5 2 3 5 4" xfId="9424" xr:uid="{13308D91-FD7C-4A28-9996-02B01F9617F6}"/>
    <cellStyle name="Normal 5 2 3 5 4 2" xfId="22064" xr:uid="{2F4D3BBC-B17C-4099-8582-EEB155C5F1BC}"/>
    <cellStyle name="Normal 5 2 3 5 5" xfId="17853" xr:uid="{0E36D3C2-88C7-472C-87DD-FCA2995EBF0E}"/>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AC008573-DA33-45B5-8C74-67BE3863B4EC}"/>
    <cellStyle name="Normal 5 2 3 6 2 2 3" xfId="28833" xr:uid="{5D652F4A-E0D1-4EDC-B42C-726B5D2B1CFE}"/>
    <cellStyle name="Normal 5 2 3 6 2 3" xfId="11982" xr:uid="{5E4D34A3-CBA7-4CA0-8582-CC689B520B86}"/>
    <cellStyle name="Normal 5 2 3 6 2 3 2" xfId="24622" xr:uid="{DB0601D2-CEB2-4E28-A3A1-95B5C2551090}"/>
    <cellStyle name="Normal 5 2 3 6 2 4" xfId="20411" xr:uid="{C71DD023-35FC-478F-A3C0-D868D41BDFB8}"/>
    <cellStyle name="Normal 5 2 3 6 3" xfId="5626" xr:uid="{00000000-0005-0000-0000-0000C6180000}"/>
    <cellStyle name="Normal 5 2 3 6 3 2" xfId="14055" xr:uid="{18606B03-6C76-412E-8264-2C64A8763D9B}"/>
    <cellStyle name="Normal 5 2 3 6 3 3" xfId="26688" xr:uid="{177C28CF-4DE0-41B3-A3AF-4B38C92048FB}"/>
    <cellStyle name="Normal 5 2 3 6 4" xfId="9837" xr:uid="{A10E623A-A85B-41EB-AC6A-46A7E8FB7B1F}"/>
    <cellStyle name="Normal 5 2 3 6 4 2" xfId="22477" xr:uid="{89440646-7BA7-4B9C-8C7A-F29B717E6AE6}"/>
    <cellStyle name="Normal 5 2 3 6 5" xfId="18266" xr:uid="{F1AB5318-C180-4E2E-A047-3BC460CDAC92}"/>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6765258D-3F50-4F54-974C-37EB0626C107}"/>
    <cellStyle name="Normal 5 2 3 7 2 2 3" xfId="29246" xr:uid="{CA04EE25-8421-4A6B-9679-FB8F648F773E}"/>
    <cellStyle name="Normal 5 2 3 7 2 3" xfId="12395" xr:uid="{DECD9F4A-F894-4081-AF86-6588367E56B0}"/>
    <cellStyle name="Normal 5 2 3 7 2 3 2" xfId="25035" xr:uid="{ADE8EBDF-E329-4F2E-B87F-C55EEB5D0BE5}"/>
    <cellStyle name="Normal 5 2 3 7 2 4" xfId="20824" xr:uid="{2C24F85E-92D9-41BA-A837-DF122F294F9F}"/>
    <cellStyle name="Normal 5 2 3 7 3" xfId="6039" xr:uid="{00000000-0005-0000-0000-0000CA180000}"/>
    <cellStyle name="Normal 5 2 3 7 3 2" xfId="14468" xr:uid="{F338EA5B-2413-4F6B-B9C4-81CE5B603A60}"/>
    <cellStyle name="Normal 5 2 3 7 3 3" xfId="27101" xr:uid="{5534BE29-3F87-4C9B-A7B1-142A53B6333C}"/>
    <cellStyle name="Normal 5 2 3 7 4" xfId="10250" xr:uid="{1FD1B137-E3DE-463A-A64A-45A2429B9EBD}"/>
    <cellStyle name="Normal 5 2 3 7 4 2" xfId="22890" xr:uid="{ED841B87-799E-4D6D-9DDD-E7BA8B23E32C}"/>
    <cellStyle name="Normal 5 2 3 7 5" xfId="18679" xr:uid="{F58DCD95-95D3-4446-A49F-89BEA11489C8}"/>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3B566001-965B-4F39-B6ED-2CB00712EC22}"/>
    <cellStyle name="Normal 5 2 3 8 2 2 3" xfId="29659" xr:uid="{FFBC9ED2-94A7-4554-93A4-A03AED265E5B}"/>
    <cellStyle name="Normal 5 2 3 8 2 3" xfId="12808" xr:uid="{0B8FE7F5-4ABA-4939-955A-86650A488C36}"/>
    <cellStyle name="Normal 5 2 3 8 2 3 2" xfId="25448" xr:uid="{C004A018-5EFF-4FCB-9518-A499997B18C5}"/>
    <cellStyle name="Normal 5 2 3 8 2 4" xfId="21237" xr:uid="{0C02BB1D-E3E9-4771-A038-E30445B65479}"/>
    <cellStyle name="Normal 5 2 3 8 3" xfId="6452" xr:uid="{00000000-0005-0000-0000-0000CE180000}"/>
    <cellStyle name="Normal 5 2 3 8 3 2" xfId="14881" xr:uid="{F871736A-6E0B-49A7-B81B-5D57BDCA9787}"/>
    <cellStyle name="Normal 5 2 3 8 3 3" xfId="27514" xr:uid="{86A43909-AE7C-44CF-B324-456D3248442F}"/>
    <cellStyle name="Normal 5 2 3 8 4" xfId="10663" xr:uid="{F2FA30BB-FCDA-4E89-9A49-690C19B5E861}"/>
    <cellStyle name="Normal 5 2 3 8 4 2" xfId="23303" xr:uid="{560EE650-AADE-4D4E-9AEE-39436A1D3EC8}"/>
    <cellStyle name="Normal 5 2 3 8 5" xfId="19092" xr:uid="{F43959C4-2BA1-4356-BD38-EF5D25B45ABF}"/>
    <cellStyle name="Normal 5 2 3 9" xfId="2580" xr:uid="{00000000-0005-0000-0000-0000CF180000}"/>
    <cellStyle name="Normal 5 2 3 9 2" xfId="6865" xr:uid="{00000000-0005-0000-0000-0000D0180000}"/>
    <cellStyle name="Normal 5 2 3 9 2 2" xfId="15294" xr:uid="{CE4CEAA6-2CB5-4394-87F2-978D8A0307E3}"/>
    <cellStyle name="Normal 5 2 3 9 2 3" xfId="27927" xr:uid="{B4BFBD35-063B-452E-B716-4DE816E6003D}"/>
    <cellStyle name="Normal 5 2 3 9 3" xfId="11076" xr:uid="{E57A3609-58F4-46DA-B1E0-CBF7157BF196}"/>
    <cellStyle name="Normal 5 2 3 9 3 2" xfId="23716" xr:uid="{D1E282C6-15B3-4216-A204-7C508DA15449}"/>
    <cellStyle name="Normal 5 2 3 9 4" xfId="19505" xr:uid="{6F8A5919-D023-4841-9351-04DF23002651}"/>
    <cellStyle name="Normal 5 2 4" xfId="432" xr:uid="{00000000-0005-0000-0000-0000D1180000}"/>
    <cellStyle name="Normal 5 2 4 10" xfId="9019" xr:uid="{473F099F-2E25-43BE-AD64-6A3CE692BF18}"/>
    <cellStyle name="Normal 5 2 4 10 2" xfId="21659" xr:uid="{364ADFB0-C871-42A7-A656-1A82103FE1C2}"/>
    <cellStyle name="Normal 5 2 4 11" xfId="17448" xr:uid="{AD02791E-2540-408E-AF6E-735F8E736AA8}"/>
    <cellStyle name="Normal 5 2 4 2" xfId="433" xr:uid="{00000000-0005-0000-0000-0000D2180000}"/>
    <cellStyle name="Normal 5 2 4 2 10" xfId="17449" xr:uid="{EFFC56E0-F567-444C-8893-34251531F2F9}"/>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7AE26BDF-80CD-4217-A644-4C36E29ADBDE}"/>
    <cellStyle name="Normal 5 2 4 2 2 2 2 2 3" xfId="28430" xr:uid="{C893211F-0D12-4B80-88C2-133B81FB7F49}"/>
    <cellStyle name="Normal 5 2 4 2 2 2 2 3" xfId="11579" xr:uid="{357037ED-2B29-4855-A848-00E06C1CF2A7}"/>
    <cellStyle name="Normal 5 2 4 2 2 2 2 3 2" xfId="24219" xr:uid="{DC50C091-0B09-448F-AF76-7EA6CE80E100}"/>
    <cellStyle name="Normal 5 2 4 2 2 2 2 4" xfId="20008" xr:uid="{5FC76F46-E3A3-42C7-A5A3-75CAE7CA2F62}"/>
    <cellStyle name="Normal 5 2 4 2 2 2 3" xfId="5223" xr:uid="{00000000-0005-0000-0000-0000D7180000}"/>
    <cellStyle name="Normal 5 2 4 2 2 2 3 2" xfId="13652" xr:uid="{3CAE2181-0C39-4AD3-9FEA-C80DA14B37AB}"/>
    <cellStyle name="Normal 5 2 4 2 2 2 3 3" xfId="26285" xr:uid="{B8A1B510-A4B7-420C-A94B-B9DAB534555D}"/>
    <cellStyle name="Normal 5 2 4 2 2 2 4" xfId="9434" xr:uid="{255F653F-8A98-40BF-BE3D-61CDCD6BD10D}"/>
    <cellStyle name="Normal 5 2 4 2 2 2 4 2" xfId="22074" xr:uid="{C35EA7B1-0EF0-4A7C-8485-ADFCDA0E44F0}"/>
    <cellStyle name="Normal 5 2 4 2 2 2 5" xfId="17863" xr:uid="{25EB4667-4FF4-4575-9563-012DCFD629F9}"/>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5741BDB2-5427-4EE5-99E0-E662E32EB2FB}"/>
    <cellStyle name="Normal 5 2 4 2 2 3 2 2 3" xfId="28843" xr:uid="{65D9E8CF-F470-4368-8FB1-A06E44C00458}"/>
    <cellStyle name="Normal 5 2 4 2 2 3 2 3" xfId="11992" xr:uid="{21356D97-3FEA-4BC4-8FE5-75C095C78627}"/>
    <cellStyle name="Normal 5 2 4 2 2 3 2 3 2" xfId="24632" xr:uid="{C804F2BC-6638-4DFB-BC88-7C258A91328E}"/>
    <cellStyle name="Normal 5 2 4 2 2 3 2 4" xfId="20421" xr:uid="{E173683D-C813-460D-9787-6936305DDBF0}"/>
    <cellStyle name="Normal 5 2 4 2 2 3 3" xfId="5636" xr:uid="{00000000-0005-0000-0000-0000DB180000}"/>
    <cellStyle name="Normal 5 2 4 2 2 3 3 2" xfId="14065" xr:uid="{7846B76A-951C-4852-BD96-32955E8D8BCD}"/>
    <cellStyle name="Normal 5 2 4 2 2 3 3 3" xfId="26698" xr:uid="{809A3949-F2B1-46B4-9CD5-B4C3E748C857}"/>
    <cellStyle name="Normal 5 2 4 2 2 3 4" xfId="9847" xr:uid="{CC65E87B-6937-43C7-8ABA-9D4872ACE635}"/>
    <cellStyle name="Normal 5 2 4 2 2 3 4 2" xfId="22487" xr:uid="{B8265614-A1DD-428A-A871-8018558D83E8}"/>
    <cellStyle name="Normal 5 2 4 2 2 3 5" xfId="18276" xr:uid="{C461746B-7B10-44FC-9CB3-6C55A77BD302}"/>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098DE215-2384-4852-BC69-E67E12E8F7FD}"/>
    <cellStyle name="Normal 5 2 4 2 2 4 2 2 3" xfId="29256" xr:uid="{9C673CFD-8CE3-479A-8553-6A60ABE046D5}"/>
    <cellStyle name="Normal 5 2 4 2 2 4 2 3" xfId="12405" xr:uid="{CDFE8990-7E97-4A97-850D-89A244EAAA44}"/>
    <cellStyle name="Normal 5 2 4 2 2 4 2 3 2" xfId="25045" xr:uid="{55DB3835-91CE-4FA6-A3E9-9A891982F699}"/>
    <cellStyle name="Normal 5 2 4 2 2 4 2 4" xfId="20834" xr:uid="{E4BE8F1B-C352-482A-909E-5ADA6528FF46}"/>
    <cellStyle name="Normal 5 2 4 2 2 4 3" xfId="6049" xr:uid="{00000000-0005-0000-0000-0000DF180000}"/>
    <cellStyle name="Normal 5 2 4 2 2 4 3 2" xfId="14478" xr:uid="{6A4C3F52-A011-4A33-A469-47C139CC0A17}"/>
    <cellStyle name="Normal 5 2 4 2 2 4 3 3" xfId="27111" xr:uid="{05E3DBEA-C74A-4C5D-A2EE-CBE5FD4F1AD1}"/>
    <cellStyle name="Normal 5 2 4 2 2 4 4" xfId="10260" xr:uid="{2BCE934C-25E0-476E-B5C4-3B281EF9928F}"/>
    <cellStyle name="Normal 5 2 4 2 2 4 4 2" xfId="22900" xr:uid="{77AB17FB-D65A-436F-BC5D-3FA8590968D7}"/>
    <cellStyle name="Normal 5 2 4 2 2 4 5" xfId="18689" xr:uid="{1DF83800-7D83-469D-8CF5-D94ECA9372B3}"/>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912A27F8-D5E9-465D-9796-BBEFCF3C4A93}"/>
    <cellStyle name="Normal 5 2 4 2 2 5 2 2 3" xfId="29669" xr:uid="{1AC1AA61-BD0E-4275-998C-BE27BFB68988}"/>
    <cellStyle name="Normal 5 2 4 2 2 5 2 3" xfId="12818" xr:uid="{A84B8A1D-EF5F-4601-8935-3A7635F57569}"/>
    <cellStyle name="Normal 5 2 4 2 2 5 2 3 2" xfId="25458" xr:uid="{A640A339-57C2-4446-9D58-C7DC06CDEE99}"/>
    <cellStyle name="Normal 5 2 4 2 2 5 2 4" xfId="21247" xr:uid="{D81EAF55-6656-4C66-89EF-342A13ECAD45}"/>
    <cellStyle name="Normal 5 2 4 2 2 5 3" xfId="6462" xr:uid="{00000000-0005-0000-0000-0000E3180000}"/>
    <cellStyle name="Normal 5 2 4 2 2 5 3 2" xfId="14891" xr:uid="{877D159B-546D-45DA-A08F-A6038F59C57D}"/>
    <cellStyle name="Normal 5 2 4 2 2 5 3 3" xfId="27524" xr:uid="{FFDAC1E9-0181-449E-B17F-CF118112CE89}"/>
    <cellStyle name="Normal 5 2 4 2 2 5 4" xfId="10673" xr:uid="{27BF4823-4D4F-4518-91E2-AD02B4F6A8D3}"/>
    <cellStyle name="Normal 5 2 4 2 2 5 4 2" xfId="23313" xr:uid="{BFB37206-EB21-4A60-A6BB-F054C0B74E6F}"/>
    <cellStyle name="Normal 5 2 4 2 2 5 5" xfId="19102" xr:uid="{401FF241-F483-4506-8E70-0F5A1E2684CB}"/>
    <cellStyle name="Normal 5 2 4 2 2 6" xfId="2590" xr:uid="{00000000-0005-0000-0000-0000E4180000}"/>
    <cellStyle name="Normal 5 2 4 2 2 6 2" xfId="6875" xr:uid="{00000000-0005-0000-0000-0000E5180000}"/>
    <cellStyle name="Normal 5 2 4 2 2 6 2 2" xfId="15304" xr:uid="{D4569B29-299A-4D6E-8BEE-608A76C33C6F}"/>
    <cellStyle name="Normal 5 2 4 2 2 6 2 3" xfId="27937" xr:uid="{76C30B4D-81B0-495C-B684-E90D3E69922F}"/>
    <cellStyle name="Normal 5 2 4 2 2 6 3" xfId="11086" xr:uid="{4B77EEAB-67A2-4A28-8938-A64628FD3C65}"/>
    <cellStyle name="Normal 5 2 4 2 2 6 3 2" xfId="23726" xr:uid="{4F63886A-1683-4290-82F4-987EA5DDC1B2}"/>
    <cellStyle name="Normal 5 2 4 2 2 6 4" xfId="19515" xr:uid="{6EE64427-C630-4E98-82C8-1084C6944C81}"/>
    <cellStyle name="Normal 5 2 4 2 2 7" xfId="4810" xr:uid="{00000000-0005-0000-0000-0000E6180000}"/>
    <cellStyle name="Normal 5 2 4 2 2 7 2" xfId="13239" xr:uid="{6735073A-CC72-4259-B54B-9011EE416167}"/>
    <cellStyle name="Normal 5 2 4 2 2 7 3" xfId="25872" xr:uid="{EACAB6F4-A68B-4261-96F6-402996C0D864}"/>
    <cellStyle name="Normal 5 2 4 2 2 8" xfId="9021" xr:uid="{152BC865-06A5-4051-BD53-C83F30139400}"/>
    <cellStyle name="Normal 5 2 4 2 2 8 2" xfId="21661" xr:uid="{8CEBC129-DB99-410D-8875-A0ED1B561439}"/>
    <cellStyle name="Normal 5 2 4 2 2 9" xfId="17450" xr:uid="{42846F38-275E-431D-94CF-DEA4829CE56A}"/>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779BA1E6-B02B-49D3-AB7E-05E14602248F}"/>
    <cellStyle name="Normal 5 2 4 2 3 2 2 3" xfId="28429" xr:uid="{88BFCD27-CCFB-4F44-B5E8-56FBCA61EAB9}"/>
    <cellStyle name="Normal 5 2 4 2 3 2 3" xfId="11578" xr:uid="{0EB73D25-E3A8-4B4D-BDC7-88966618398D}"/>
    <cellStyle name="Normal 5 2 4 2 3 2 3 2" xfId="24218" xr:uid="{7FC8B470-D69B-468E-B5EB-42E270CBDD62}"/>
    <cellStyle name="Normal 5 2 4 2 3 2 4" xfId="20007" xr:uid="{D978A80B-FACC-4661-9B94-E03B368AFB6E}"/>
    <cellStyle name="Normal 5 2 4 2 3 3" xfId="5222" xr:uid="{00000000-0005-0000-0000-0000EA180000}"/>
    <cellStyle name="Normal 5 2 4 2 3 3 2" xfId="13651" xr:uid="{4BCA5E15-511B-4422-8FCD-42C73C2967AB}"/>
    <cellStyle name="Normal 5 2 4 2 3 3 3" xfId="26284" xr:uid="{C48A61C2-A137-4F0D-9827-7C02859DEF4A}"/>
    <cellStyle name="Normal 5 2 4 2 3 4" xfId="9433" xr:uid="{47517EEC-4C63-4068-B636-DC9E914BB963}"/>
    <cellStyle name="Normal 5 2 4 2 3 4 2" xfId="22073" xr:uid="{84452F73-AA33-4439-A135-F85517EF6639}"/>
    <cellStyle name="Normal 5 2 4 2 3 5" xfId="17862" xr:uid="{3706FFF0-FDB9-493E-B437-E6511B517DF4}"/>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6BAE2CB9-B8D4-4997-97C3-695D2159C08A}"/>
    <cellStyle name="Normal 5 2 4 2 4 2 2 3" xfId="28842" xr:uid="{6F378449-C2C9-4EEF-B9DA-FE312261854C}"/>
    <cellStyle name="Normal 5 2 4 2 4 2 3" xfId="11991" xr:uid="{C5786AC2-CF45-4225-8FB5-1E95E2D46510}"/>
    <cellStyle name="Normal 5 2 4 2 4 2 3 2" xfId="24631" xr:uid="{88F54582-E160-44A7-AD6D-82DC57AA07BC}"/>
    <cellStyle name="Normal 5 2 4 2 4 2 4" xfId="20420" xr:uid="{821E1B38-6431-490C-85EE-662CD89A41C9}"/>
    <cellStyle name="Normal 5 2 4 2 4 3" xfId="5635" xr:uid="{00000000-0005-0000-0000-0000EE180000}"/>
    <cellStyle name="Normal 5 2 4 2 4 3 2" xfId="14064" xr:uid="{059292D3-AF72-492D-894B-A1F6236BB258}"/>
    <cellStyle name="Normal 5 2 4 2 4 3 3" xfId="26697" xr:uid="{ADCE61C8-E372-4693-AEDB-AE1978C75DB8}"/>
    <cellStyle name="Normal 5 2 4 2 4 4" xfId="9846" xr:uid="{C3F26EDE-1EF9-4B33-8636-B54A1D978AEA}"/>
    <cellStyle name="Normal 5 2 4 2 4 4 2" xfId="22486" xr:uid="{2D0F8AD1-397A-40F8-8449-619C521CE3A6}"/>
    <cellStyle name="Normal 5 2 4 2 4 5" xfId="18275" xr:uid="{8C479611-1C7F-4127-8E97-71916B797183}"/>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B8674568-1B9D-4A84-A2B7-2733DFB1987D}"/>
    <cellStyle name="Normal 5 2 4 2 5 2 2 3" xfId="29255" xr:uid="{DB697229-130E-4856-9BC8-7E0BAA364B3D}"/>
    <cellStyle name="Normal 5 2 4 2 5 2 3" xfId="12404" xr:uid="{A66A9C09-8458-45BA-B6F1-9E361F5D9256}"/>
    <cellStyle name="Normal 5 2 4 2 5 2 3 2" xfId="25044" xr:uid="{6964C12D-A23A-471F-A68D-1AF0EF7B9E6A}"/>
    <cellStyle name="Normal 5 2 4 2 5 2 4" xfId="20833" xr:uid="{64E8CC6F-3241-4270-A77D-BFBE636CF2C4}"/>
    <cellStyle name="Normal 5 2 4 2 5 3" xfId="6048" xr:uid="{00000000-0005-0000-0000-0000F2180000}"/>
    <cellStyle name="Normal 5 2 4 2 5 3 2" xfId="14477" xr:uid="{BD2D0356-76F7-4F6C-B896-EF6619453684}"/>
    <cellStyle name="Normal 5 2 4 2 5 3 3" xfId="27110" xr:uid="{07DDE00E-9053-4B04-BBEC-D945B427CCA3}"/>
    <cellStyle name="Normal 5 2 4 2 5 4" xfId="10259" xr:uid="{52AF010A-0F85-46CD-8246-21552088B386}"/>
    <cellStyle name="Normal 5 2 4 2 5 4 2" xfId="22899" xr:uid="{B6E9042D-62EF-4803-B56E-E838768C407A}"/>
    <cellStyle name="Normal 5 2 4 2 5 5" xfId="18688" xr:uid="{42992183-9BB5-441E-89B8-1A6513A21171}"/>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1CC1A6E8-6B34-443D-B7A8-CD1816608CF4}"/>
    <cellStyle name="Normal 5 2 4 2 6 2 2 3" xfId="29668" xr:uid="{A76C364C-B3E7-4893-B52A-A4CAE3E3F367}"/>
    <cellStyle name="Normal 5 2 4 2 6 2 3" xfId="12817" xr:uid="{B29EE586-8E9F-49CB-B015-EBC4F53E7D36}"/>
    <cellStyle name="Normal 5 2 4 2 6 2 3 2" xfId="25457" xr:uid="{4B979EB6-DD75-4DFE-9335-BD5E727BDA79}"/>
    <cellStyle name="Normal 5 2 4 2 6 2 4" xfId="21246" xr:uid="{BAF5FF1D-FBFA-4285-9944-F80CC70A21F3}"/>
    <cellStyle name="Normal 5 2 4 2 6 3" xfId="6461" xr:uid="{00000000-0005-0000-0000-0000F6180000}"/>
    <cellStyle name="Normal 5 2 4 2 6 3 2" xfId="14890" xr:uid="{9B6475CE-8DA0-4CDC-A408-7666D1507217}"/>
    <cellStyle name="Normal 5 2 4 2 6 3 3" xfId="27523" xr:uid="{257D6B14-B669-4EE5-955E-C2F14D7C1308}"/>
    <cellStyle name="Normal 5 2 4 2 6 4" xfId="10672" xr:uid="{282827F5-DDCA-40F9-81DB-AEFF2B8B5660}"/>
    <cellStyle name="Normal 5 2 4 2 6 4 2" xfId="23312" xr:uid="{C51AA2AC-272F-4785-90F7-1ABE2E942C31}"/>
    <cellStyle name="Normal 5 2 4 2 6 5" xfId="19101" xr:uid="{6865C4A6-2B64-4F25-B3B2-9CDBB4C5D5CA}"/>
    <cellStyle name="Normal 5 2 4 2 7" xfId="2589" xr:uid="{00000000-0005-0000-0000-0000F7180000}"/>
    <cellStyle name="Normal 5 2 4 2 7 2" xfId="6874" xr:uid="{00000000-0005-0000-0000-0000F8180000}"/>
    <cellStyle name="Normal 5 2 4 2 7 2 2" xfId="15303" xr:uid="{E9C347FA-387B-42A5-AF77-9679A4EB5B6B}"/>
    <cellStyle name="Normal 5 2 4 2 7 2 3" xfId="27936" xr:uid="{5A18FD33-7BF0-447E-B7E9-90883F306730}"/>
    <cellStyle name="Normal 5 2 4 2 7 3" xfId="11085" xr:uid="{96368E28-4D5F-4CF6-AA7D-51AE7A8A4327}"/>
    <cellStyle name="Normal 5 2 4 2 7 3 2" xfId="23725" xr:uid="{6EAD1184-475B-4373-BF17-536D0C7D3FE7}"/>
    <cellStyle name="Normal 5 2 4 2 7 4" xfId="19514" xr:uid="{6EFEB287-251C-4718-994A-789497A9AFDC}"/>
    <cellStyle name="Normal 5 2 4 2 8" xfId="4809" xr:uid="{00000000-0005-0000-0000-0000F9180000}"/>
    <cellStyle name="Normal 5 2 4 2 8 2" xfId="13238" xr:uid="{FA80CA9D-64C2-406A-B22C-B98B0C49B67F}"/>
    <cellStyle name="Normal 5 2 4 2 8 3" xfId="25871" xr:uid="{D80ED2A5-5D66-49FF-8F9D-9EB0C971DEB2}"/>
    <cellStyle name="Normal 5 2 4 2 9" xfId="9020" xr:uid="{CFF05817-281F-424D-90FD-F2DF977EAC00}"/>
    <cellStyle name="Normal 5 2 4 2 9 2" xfId="21660" xr:uid="{F1D8D27C-A286-442F-977E-A948B5C05732}"/>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A4589465-1854-4318-A27B-727B5E05BA36}"/>
    <cellStyle name="Normal 5 2 4 3 2 2 2 3" xfId="28431" xr:uid="{44F29E07-BED2-4A08-A5EF-7272F5425AEA}"/>
    <cellStyle name="Normal 5 2 4 3 2 2 3" xfId="11580" xr:uid="{4A0D000B-B4B1-4CBE-BDC2-6F03F34D6EFB}"/>
    <cellStyle name="Normal 5 2 4 3 2 2 3 2" xfId="24220" xr:uid="{2E0FE66D-ECE3-4A97-97A3-3570DF2DC6E6}"/>
    <cellStyle name="Normal 5 2 4 3 2 2 4" xfId="20009" xr:uid="{51C65F6F-A5A5-450C-8D09-FADEC15D4F35}"/>
    <cellStyle name="Normal 5 2 4 3 2 3" xfId="5224" xr:uid="{00000000-0005-0000-0000-0000FE180000}"/>
    <cellStyle name="Normal 5 2 4 3 2 3 2" xfId="13653" xr:uid="{03FA594B-7052-4470-B58F-AD49F6232C56}"/>
    <cellStyle name="Normal 5 2 4 3 2 3 3" xfId="26286" xr:uid="{8EAA4E1C-BB61-4DE2-8EE4-A3A7D1BB8ECA}"/>
    <cellStyle name="Normal 5 2 4 3 2 4" xfId="9435" xr:uid="{4184EC2F-1F1F-423D-849D-ED8D7AF17C85}"/>
    <cellStyle name="Normal 5 2 4 3 2 4 2" xfId="22075" xr:uid="{D34D12E7-3B7F-473A-A4AE-253C05095ABB}"/>
    <cellStyle name="Normal 5 2 4 3 2 5" xfId="17864" xr:uid="{2AADD4D2-1821-4905-A1D7-9B394CBABC1F}"/>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B91BA1E1-14A0-4ED1-95D0-1860340E6F66}"/>
    <cellStyle name="Normal 5 2 4 3 3 2 2 3" xfId="28844" xr:uid="{6EC6CD50-452D-40F0-8CEF-11CAC5AC3ABF}"/>
    <cellStyle name="Normal 5 2 4 3 3 2 3" xfId="11993" xr:uid="{B6BEEE9D-B15F-431C-A9AC-49BFBDD1117C}"/>
    <cellStyle name="Normal 5 2 4 3 3 2 3 2" xfId="24633" xr:uid="{24A7B058-BBC4-43AF-98FA-8925EE6223F7}"/>
    <cellStyle name="Normal 5 2 4 3 3 2 4" xfId="20422" xr:uid="{96097B15-7099-472D-B105-577DDAAF4077}"/>
    <cellStyle name="Normal 5 2 4 3 3 3" xfId="5637" xr:uid="{00000000-0005-0000-0000-000002190000}"/>
    <cellStyle name="Normal 5 2 4 3 3 3 2" xfId="14066" xr:uid="{397AA50B-FF4D-42DC-992D-212EA323CEFF}"/>
    <cellStyle name="Normal 5 2 4 3 3 3 3" xfId="26699" xr:uid="{DD87F50C-7150-47DA-BD63-69B295EF1FED}"/>
    <cellStyle name="Normal 5 2 4 3 3 4" xfId="9848" xr:uid="{22516515-8030-4173-8161-FD811CFF7C2C}"/>
    <cellStyle name="Normal 5 2 4 3 3 4 2" xfId="22488" xr:uid="{6FEB4E7A-7301-41EF-99AE-5E6479690293}"/>
    <cellStyle name="Normal 5 2 4 3 3 5" xfId="18277" xr:uid="{845E4E4B-3DE9-407B-A9E1-F497C9563DBA}"/>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B6978798-8619-49D2-922B-2BD69225DCFE}"/>
    <cellStyle name="Normal 5 2 4 3 4 2 2 3" xfId="29257" xr:uid="{6A7EE9D0-AE06-4429-A858-C7FEA1211C43}"/>
    <cellStyle name="Normal 5 2 4 3 4 2 3" xfId="12406" xr:uid="{45288ECC-E279-41B8-BD2B-D01A6FF21105}"/>
    <cellStyle name="Normal 5 2 4 3 4 2 3 2" xfId="25046" xr:uid="{DCDBF8EB-CF53-463A-8A94-E6DC07AFBBD9}"/>
    <cellStyle name="Normal 5 2 4 3 4 2 4" xfId="20835" xr:uid="{8EC730CD-D4ED-4F79-9556-670BAFA0740B}"/>
    <cellStyle name="Normal 5 2 4 3 4 3" xfId="6050" xr:uid="{00000000-0005-0000-0000-000006190000}"/>
    <cellStyle name="Normal 5 2 4 3 4 3 2" xfId="14479" xr:uid="{F67B06BF-2E98-4240-9847-7FF2690BF973}"/>
    <cellStyle name="Normal 5 2 4 3 4 3 3" xfId="27112" xr:uid="{4582F385-A1D6-4E4F-8BF5-2AB8D9C27346}"/>
    <cellStyle name="Normal 5 2 4 3 4 4" xfId="10261" xr:uid="{E24B6A17-0856-45D0-A066-EF391EE6DE36}"/>
    <cellStyle name="Normal 5 2 4 3 4 4 2" xfId="22901" xr:uid="{7985937F-2831-401F-AE63-390D1430A033}"/>
    <cellStyle name="Normal 5 2 4 3 4 5" xfId="18690" xr:uid="{2BF63C0A-4DFD-43E8-ACD7-7BE1941276F0}"/>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841285EF-4B81-451E-A7C0-43396315B528}"/>
    <cellStyle name="Normal 5 2 4 3 5 2 2 3" xfId="29670" xr:uid="{762E36BC-46E4-4039-9A3E-90AB60853469}"/>
    <cellStyle name="Normal 5 2 4 3 5 2 3" xfId="12819" xr:uid="{F5193E31-298B-4E71-B1A4-88D74D43D399}"/>
    <cellStyle name="Normal 5 2 4 3 5 2 3 2" xfId="25459" xr:uid="{324A0FC9-D0E0-4347-BD93-1348112C560B}"/>
    <cellStyle name="Normal 5 2 4 3 5 2 4" xfId="21248" xr:uid="{43AAA0FD-71E5-48DA-931D-DC2A7611E84E}"/>
    <cellStyle name="Normal 5 2 4 3 5 3" xfId="6463" xr:uid="{00000000-0005-0000-0000-00000A190000}"/>
    <cellStyle name="Normal 5 2 4 3 5 3 2" xfId="14892" xr:uid="{499AE9BD-E42E-4DF6-A64E-0F445F8C9C9B}"/>
    <cellStyle name="Normal 5 2 4 3 5 3 3" xfId="27525" xr:uid="{41B34277-5C67-4853-85DD-9E80BFD5D80B}"/>
    <cellStyle name="Normal 5 2 4 3 5 4" xfId="10674" xr:uid="{13CF7788-320E-4C2C-A3E4-E11B9056864E}"/>
    <cellStyle name="Normal 5 2 4 3 5 4 2" xfId="23314" xr:uid="{D0C7D7CB-558E-48BA-8D0B-9DCE241C9C4F}"/>
    <cellStyle name="Normal 5 2 4 3 5 5" xfId="19103" xr:uid="{C45A7B6E-8683-4065-A3B9-D887677804E6}"/>
    <cellStyle name="Normal 5 2 4 3 6" xfId="2591" xr:uid="{00000000-0005-0000-0000-00000B190000}"/>
    <cellStyle name="Normal 5 2 4 3 6 2" xfId="6876" xr:uid="{00000000-0005-0000-0000-00000C190000}"/>
    <cellStyle name="Normal 5 2 4 3 6 2 2" xfId="15305" xr:uid="{08C7701A-76BA-4EBE-A491-9A4F013DEFD4}"/>
    <cellStyle name="Normal 5 2 4 3 6 2 3" xfId="27938" xr:uid="{2E39E628-C8B7-4D1D-9D03-157DA29710AA}"/>
    <cellStyle name="Normal 5 2 4 3 6 3" xfId="11087" xr:uid="{3ECC9805-C8A6-4D14-9EDA-677B7AB67FA7}"/>
    <cellStyle name="Normal 5 2 4 3 6 3 2" xfId="23727" xr:uid="{D786C2EF-680A-40E2-AD13-9070505A3B4C}"/>
    <cellStyle name="Normal 5 2 4 3 6 4" xfId="19516" xr:uid="{E3A9658F-EB81-48CE-8BF8-631A27DE2D8B}"/>
    <cellStyle name="Normal 5 2 4 3 7" xfId="4811" xr:uid="{00000000-0005-0000-0000-00000D190000}"/>
    <cellStyle name="Normal 5 2 4 3 7 2" xfId="13240" xr:uid="{C3307A0F-B8C7-4CE7-87B9-C53CA6FADB0D}"/>
    <cellStyle name="Normal 5 2 4 3 7 3" xfId="25873" xr:uid="{CD784BDE-0290-48F4-91C2-5F98C8E8F065}"/>
    <cellStyle name="Normal 5 2 4 3 8" xfId="9022" xr:uid="{444E0CDE-8043-4B5F-B1C3-76EB4AB26D56}"/>
    <cellStyle name="Normal 5 2 4 3 8 2" xfId="21662" xr:uid="{4062FA6B-912F-4B0C-AFD6-C22A17F4D5CD}"/>
    <cellStyle name="Normal 5 2 4 3 9" xfId="17451" xr:uid="{C7170BA8-7F68-496F-AE3D-D677F48010F7}"/>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EC411DFB-1665-4EDF-B2A8-CDC2735E5E71}"/>
    <cellStyle name="Normal 5 2 4 4 2 2 3" xfId="28428" xr:uid="{CE260B0E-A459-4E7D-804C-E51D20343048}"/>
    <cellStyle name="Normal 5 2 4 4 2 3" xfId="11577" xr:uid="{F3D73F8E-2884-4C4F-989D-9463740D41D4}"/>
    <cellStyle name="Normal 5 2 4 4 2 3 2" xfId="24217" xr:uid="{2F8FBBA0-CB50-4A2B-8749-A019C0E66BF5}"/>
    <cellStyle name="Normal 5 2 4 4 2 4" xfId="20006" xr:uid="{4D114941-7614-4B2F-93AF-2A637AEBFC76}"/>
    <cellStyle name="Normal 5 2 4 4 3" xfId="5221" xr:uid="{00000000-0005-0000-0000-000011190000}"/>
    <cellStyle name="Normal 5 2 4 4 3 2" xfId="13650" xr:uid="{82BA57D7-90CA-4B90-8488-2DD7800BF678}"/>
    <cellStyle name="Normal 5 2 4 4 3 3" xfId="26283" xr:uid="{1A28DB2F-4CB1-4C86-BE70-92E843B63204}"/>
    <cellStyle name="Normal 5 2 4 4 4" xfId="9432" xr:uid="{BF3989CB-581C-478F-85F3-EDA12C63F104}"/>
    <cellStyle name="Normal 5 2 4 4 4 2" xfId="22072" xr:uid="{F17967CF-7E04-4C98-9487-0174E14208B8}"/>
    <cellStyle name="Normal 5 2 4 4 5" xfId="17861" xr:uid="{69907462-B7A3-4706-B7E1-4FB6788EB31E}"/>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1EEFACA9-8835-437D-BD9D-EE6ABD4684E5}"/>
    <cellStyle name="Normal 5 2 4 5 2 2 3" xfId="28841" xr:uid="{B3465B89-2095-4BCC-B04D-6AFEA8D3F545}"/>
    <cellStyle name="Normal 5 2 4 5 2 3" xfId="11990" xr:uid="{BF5C53CB-4534-48E8-8F2C-7E7482C0A4B7}"/>
    <cellStyle name="Normal 5 2 4 5 2 3 2" xfId="24630" xr:uid="{DABD32B0-A1C3-43A7-A4A0-61D2E43B2DCA}"/>
    <cellStyle name="Normal 5 2 4 5 2 4" xfId="20419" xr:uid="{ED5A10F7-2409-409E-BDB9-BA04E18EBBA6}"/>
    <cellStyle name="Normal 5 2 4 5 3" xfId="5634" xr:uid="{00000000-0005-0000-0000-000015190000}"/>
    <cellStyle name="Normal 5 2 4 5 3 2" xfId="14063" xr:uid="{FC9BC48E-80EF-4739-B31A-897C8CA86A58}"/>
    <cellStyle name="Normal 5 2 4 5 3 3" xfId="26696" xr:uid="{CC3CD6C6-6926-4CF7-AB86-4C894DBC8429}"/>
    <cellStyle name="Normal 5 2 4 5 4" xfId="9845" xr:uid="{4803B262-CABC-4D28-9421-ADA26857BBD8}"/>
    <cellStyle name="Normal 5 2 4 5 4 2" xfId="22485" xr:uid="{A4A90F3A-0541-4375-A887-55CAA4E196EE}"/>
    <cellStyle name="Normal 5 2 4 5 5" xfId="18274" xr:uid="{28E9ED96-91E4-48BF-BDA4-5A43BDA84D83}"/>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72A6EA1C-970B-49BF-BCCB-0703DD372534}"/>
    <cellStyle name="Normal 5 2 4 6 2 2 3" xfId="29254" xr:uid="{6BED0D13-816A-4851-AAD4-A57547F6458B}"/>
    <cellStyle name="Normal 5 2 4 6 2 3" xfId="12403" xr:uid="{06E7775E-18AC-4C2D-9AD4-7636A3055C60}"/>
    <cellStyle name="Normal 5 2 4 6 2 3 2" xfId="25043" xr:uid="{042F1072-E637-4E55-83DB-988FDE09DAA8}"/>
    <cellStyle name="Normal 5 2 4 6 2 4" xfId="20832" xr:uid="{149C9BC9-FA89-482F-AF8A-EA7F56896B0E}"/>
    <cellStyle name="Normal 5 2 4 6 3" xfId="6047" xr:uid="{00000000-0005-0000-0000-000019190000}"/>
    <cellStyle name="Normal 5 2 4 6 3 2" xfId="14476" xr:uid="{DE04624C-71BE-4209-9C56-66285B9CDD43}"/>
    <cellStyle name="Normal 5 2 4 6 3 3" xfId="27109" xr:uid="{AEA8B835-3893-45DC-B3EE-3C391EB48F46}"/>
    <cellStyle name="Normal 5 2 4 6 4" xfId="10258" xr:uid="{B02ABE3B-F22A-4FA1-86ED-15EDEC75CE70}"/>
    <cellStyle name="Normal 5 2 4 6 4 2" xfId="22898" xr:uid="{58FAEDD3-B261-47DE-A898-DA6E60F89FCA}"/>
    <cellStyle name="Normal 5 2 4 6 5" xfId="18687" xr:uid="{B177A857-33CE-4195-ABE3-3203DE4AA8BC}"/>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0151A28C-949F-4BA0-8F51-E74778E89730}"/>
    <cellStyle name="Normal 5 2 4 7 2 2 3" xfId="29667" xr:uid="{BBFA940A-C050-4BF1-9CA1-6A21EC9100CD}"/>
    <cellStyle name="Normal 5 2 4 7 2 3" xfId="12816" xr:uid="{06DF9113-57E4-4A17-B587-DF483901EB42}"/>
    <cellStyle name="Normal 5 2 4 7 2 3 2" xfId="25456" xr:uid="{C2F7625F-06A7-49BC-BCE1-A73126CEABDE}"/>
    <cellStyle name="Normal 5 2 4 7 2 4" xfId="21245" xr:uid="{CCE71D89-3DE3-4126-B7C1-9F975DEA5E31}"/>
    <cellStyle name="Normal 5 2 4 7 3" xfId="6460" xr:uid="{00000000-0005-0000-0000-00001D190000}"/>
    <cellStyle name="Normal 5 2 4 7 3 2" xfId="14889" xr:uid="{CBF336D6-AFF4-4DEE-BB7F-68781D525F30}"/>
    <cellStyle name="Normal 5 2 4 7 3 3" xfId="27522" xr:uid="{F75DA92E-9216-4464-B6D5-D6C3B00781DB}"/>
    <cellStyle name="Normal 5 2 4 7 4" xfId="10671" xr:uid="{A46F9988-7C2A-42D8-8D1D-F914881F0D25}"/>
    <cellStyle name="Normal 5 2 4 7 4 2" xfId="23311" xr:uid="{7544E8EA-EB5B-427E-B5F4-21A3B9A58761}"/>
    <cellStyle name="Normal 5 2 4 7 5" xfId="19100" xr:uid="{35EC73B0-E537-4513-BFAD-993DA4F90D2A}"/>
    <cellStyle name="Normal 5 2 4 8" xfId="2588" xr:uid="{00000000-0005-0000-0000-00001E190000}"/>
    <cellStyle name="Normal 5 2 4 8 2" xfId="6873" xr:uid="{00000000-0005-0000-0000-00001F190000}"/>
    <cellStyle name="Normal 5 2 4 8 2 2" xfId="15302" xr:uid="{66A87556-12B4-4FEC-BF1E-F202333A0CEC}"/>
    <cellStyle name="Normal 5 2 4 8 2 3" xfId="27935" xr:uid="{42F58E0A-77DA-4095-B25E-AB26F6676698}"/>
    <cellStyle name="Normal 5 2 4 8 3" xfId="11084" xr:uid="{492A6083-678D-43EC-A67E-E23F9E315256}"/>
    <cellStyle name="Normal 5 2 4 8 3 2" xfId="23724" xr:uid="{9040741E-66C2-412B-A0EF-FCED563D8AEB}"/>
    <cellStyle name="Normal 5 2 4 8 4" xfId="19513" xr:uid="{8D70D666-AF03-4503-9ECF-DFAF1D684CFA}"/>
    <cellStyle name="Normal 5 2 4 9" xfId="4808" xr:uid="{00000000-0005-0000-0000-000020190000}"/>
    <cellStyle name="Normal 5 2 4 9 2" xfId="13237" xr:uid="{92F817AB-9D4E-4C98-90CE-F60C834ABD2A}"/>
    <cellStyle name="Normal 5 2 4 9 3" xfId="25870" xr:uid="{21544507-4D5A-4572-A977-85DA949377EB}"/>
    <cellStyle name="Normal 5 2 5" xfId="436" xr:uid="{00000000-0005-0000-0000-000021190000}"/>
    <cellStyle name="Normal 5 2 5 10" xfId="17452" xr:uid="{FD0DC325-C201-4A8B-BBBC-9FBB55EB5A93}"/>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F2032367-1F6F-459D-A8AC-87E8B653D52A}"/>
    <cellStyle name="Normal 5 2 5 2 2 2 2 3" xfId="28433" xr:uid="{0B4D834E-906F-44B9-B1AD-00AD6CD37D1E}"/>
    <cellStyle name="Normal 5 2 5 2 2 2 3" xfId="11582" xr:uid="{A1418FB3-82A4-450B-92DF-02E01183BEA9}"/>
    <cellStyle name="Normal 5 2 5 2 2 2 3 2" xfId="24222" xr:uid="{B7D19094-115F-4271-8A7E-644B45BA8C2A}"/>
    <cellStyle name="Normal 5 2 5 2 2 2 4" xfId="20011" xr:uid="{3CD0AA2B-D9C5-4021-8808-275A5554A3F1}"/>
    <cellStyle name="Normal 5 2 5 2 2 3" xfId="5226" xr:uid="{00000000-0005-0000-0000-000026190000}"/>
    <cellStyle name="Normal 5 2 5 2 2 3 2" xfId="13655" xr:uid="{2F1E3031-4966-4AE8-A438-424D647C5B59}"/>
    <cellStyle name="Normal 5 2 5 2 2 3 3" xfId="26288" xr:uid="{2F3416C6-64F1-47F1-A707-55FA831AA0FC}"/>
    <cellStyle name="Normal 5 2 5 2 2 4" xfId="9437" xr:uid="{E905DDA7-9AC7-416E-809D-D124F0D429EC}"/>
    <cellStyle name="Normal 5 2 5 2 2 4 2" xfId="22077" xr:uid="{87B5C2A1-30C8-42C0-AF12-27625770F956}"/>
    <cellStyle name="Normal 5 2 5 2 2 5" xfId="17866" xr:uid="{76CC58D0-B05B-4704-970D-CA14C98C54AA}"/>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0A86C5CA-94F5-4464-A2D8-B64470C2569C}"/>
    <cellStyle name="Normal 5 2 5 2 3 2 2 3" xfId="28846" xr:uid="{F667660C-6D31-42D4-B584-35047B30F1B7}"/>
    <cellStyle name="Normal 5 2 5 2 3 2 3" xfId="11995" xr:uid="{023C70EB-F891-4345-B9DB-40F5CD645B4D}"/>
    <cellStyle name="Normal 5 2 5 2 3 2 3 2" xfId="24635" xr:uid="{7AEAEA18-DA3C-46DC-97CA-D9E12E06B204}"/>
    <cellStyle name="Normal 5 2 5 2 3 2 4" xfId="20424" xr:uid="{B868D6E2-93C3-4332-9BA6-EC2F9707F997}"/>
    <cellStyle name="Normal 5 2 5 2 3 3" xfId="5639" xr:uid="{00000000-0005-0000-0000-00002A190000}"/>
    <cellStyle name="Normal 5 2 5 2 3 3 2" xfId="14068" xr:uid="{968A2D53-06A4-4A8C-9D7A-FCD86FEFA553}"/>
    <cellStyle name="Normal 5 2 5 2 3 3 3" xfId="26701" xr:uid="{E3B9D4F6-42A2-4E05-BAF0-C1E905DAD029}"/>
    <cellStyle name="Normal 5 2 5 2 3 4" xfId="9850" xr:uid="{50D2753A-A0FD-4160-87A7-BA0E82732F18}"/>
    <cellStyle name="Normal 5 2 5 2 3 4 2" xfId="22490" xr:uid="{86DF6F3F-55F9-4BA3-A9DA-882E1924B5D0}"/>
    <cellStyle name="Normal 5 2 5 2 3 5" xfId="18279" xr:uid="{2FFF4F71-0F99-4F61-BB89-74D5C6321AC8}"/>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BEDE9221-21C6-4F31-A194-D5EB85FD0B45}"/>
    <cellStyle name="Normal 5 2 5 2 4 2 2 3" xfId="29259" xr:uid="{4C5A95EC-4F37-43F6-AFC8-A409C8532151}"/>
    <cellStyle name="Normal 5 2 5 2 4 2 3" xfId="12408" xr:uid="{57F4ED6A-F3BD-4AC1-B62A-46C6FFE9D7AE}"/>
    <cellStyle name="Normal 5 2 5 2 4 2 3 2" xfId="25048" xr:uid="{586167AB-6ED5-4929-B46A-AE3CE4AAC2F0}"/>
    <cellStyle name="Normal 5 2 5 2 4 2 4" xfId="20837" xr:uid="{B9B8998C-3207-41B9-8B7C-CA7171751B12}"/>
    <cellStyle name="Normal 5 2 5 2 4 3" xfId="6052" xr:uid="{00000000-0005-0000-0000-00002E190000}"/>
    <cellStyle name="Normal 5 2 5 2 4 3 2" xfId="14481" xr:uid="{5FE4F71A-221B-4EA3-ACEA-5DE3FD64D426}"/>
    <cellStyle name="Normal 5 2 5 2 4 3 3" xfId="27114" xr:uid="{9CB18548-E04D-4B2F-9EEE-8D43B8E681B5}"/>
    <cellStyle name="Normal 5 2 5 2 4 4" xfId="10263" xr:uid="{A9338014-7DAC-42C1-A7A1-192B184FFA54}"/>
    <cellStyle name="Normal 5 2 5 2 4 4 2" xfId="22903" xr:uid="{41AEC841-4A6E-4C2E-9F91-05DD72C2F29D}"/>
    <cellStyle name="Normal 5 2 5 2 4 5" xfId="18692" xr:uid="{B3D9518D-9CF8-4232-B5AF-3D64551731E0}"/>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8C3109A7-73E8-481D-8621-44DCB82E5277}"/>
    <cellStyle name="Normal 5 2 5 2 5 2 2 3" xfId="29672" xr:uid="{35374F5C-C29D-48D7-B973-9CC0BF3E8E97}"/>
    <cellStyle name="Normal 5 2 5 2 5 2 3" xfId="12821" xr:uid="{257A87C4-3002-4385-9412-4B15D9D3241B}"/>
    <cellStyle name="Normal 5 2 5 2 5 2 3 2" xfId="25461" xr:uid="{815D7C79-D38E-4931-BCF2-3B0884A01DC1}"/>
    <cellStyle name="Normal 5 2 5 2 5 2 4" xfId="21250" xr:uid="{691215AD-8E77-4A40-BD06-169A0070E465}"/>
    <cellStyle name="Normal 5 2 5 2 5 3" xfId="6465" xr:uid="{00000000-0005-0000-0000-000032190000}"/>
    <cellStyle name="Normal 5 2 5 2 5 3 2" xfId="14894" xr:uid="{C875E6AD-618D-4B47-BFE0-32B01F1AC554}"/>
    <cellStyle name="Normal 5 2 5 2 5 3 3" xfId="27527" xr:uid="{2954DD90-7CBA-4BB0-809D-ED2A0F41F888}"/>
    <cellStyle name="Normal 5 2 5 2 5 4" xfId="10676" xr:uid="{58410CF0-3672-4D3F-9BF4-6DE696EB372F}"/>
    <cellStyle name="Normal 5 2 5 2 5 4 2" xfId="23316" xr:uid="{1E32733A-C6B7-4FBB-BFAA-3FF541315E0F}"/>
    <cellStyle name="Normal 5 2 5 2 5 5" xfId="19105" xr:uid="{D3ED0858-C774-4807-B343-F54DF1EE46B4}"/>
    <cellStyle name="Normal 5 2 5 2 6" xfId="2593" xr:uid="{00000000-0005-0000-0000-000033190000}"/>
    <cellStyle name="Normal 5 2 5 2 6 2" xfId="6878" xr:uid="{00000000-0005-0000-0000-000034190000}"/>
    <cellStyle name="Normal 5 2 5 2 6 2 2" xfId="15307" xr:uid="{8F5D6390-BE99-4EBE-9352-C887E3ACC97A}"/>
    <cellStyle name="Normal 5 2 5 2 6 2 3" xfId="27940" xr:uid="{C412DC7E-C02B-498B-BFFD-3D2422728F82}"/>
    <cellStyle name="Normal 5 2 5 2 6 3" xfId="11089" xr:uid="{08908E41-BE91-426C-A44D-8A97F9230311}"/>
    <cellStyle name="Normal 5 2 5 2 6 3 2" xfId="23729" xr:uid="{182C52EA-16CF-49C4-BE0C-FDA95766BE43}"/>
    <cellStyle name="Normal 5 2 5 2 6 4" xfId="19518" xr:uid="{AB3510D4-58F7-4F52-9F6F-03F11A6BFD2D}"/>
    <cellStyle name="Normal 5 2 5 2 7" xfId="4813" xr:uid="{00000000-0005-0000-0000-000035190000}"/>
    <cellStyle name="Normal 5 2 5 2 7 2" xfId="13242" xr:uid="{5C2E4CA7-1A09-4DCE-95A4-505F361844B8}"/>
    <cellStyle name="Normal 5 2 5 2 7 3" xfId="25875" xr:uid="{B4C64C6A-F145-4192-93B6-76804E9D9B0A}"/>
    <cellStyle name="Normal 5 2 5 2 8" xfId="9024" xr:uid="{CC581347-1B98-42DF-BBFB-89FDC3052C81}"/>
    <cellStyle name="Normal 5 2 5 2 8 2" xfId="21664" xr:uid="{C1C9ECB7-A5D7-4BF5-A1E3-3B9ED1C491DA}"/>
    <cellStyle name="Normal 5 2 5 2 9" xfId="17453" xr:uid="{F24A8BBD-59C5-4B62-BD96-E92401C58698}"/>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7164A3E3-FA33-4C5E-A42B-B9E7AF2E80DB}"/>
    <cellStyle name="Normal 5 2 5 3 2 2 3" xfId="28432" xr:uid="{45267744-257A-4697-B42D-A5C72A7C7643}"/>
    <cellStyle name="Normal 5 2 5 3 2 3" xfId="11581" xr:uid="{CA2CCDF7-B97A-4BBF-A358-74CFF2CF4CF6}"/>
    <cellStyle name="Normal 5 2 5 3 2 3 2" xfId="24221" xr:uid="{8E706B48-B1B4-429E-B32B-C03C270F6971}"/>
    <cellStyle name="Normal 5 2 5 3 2 4" xfId="20010" xr:uid="{498F0D6D-D8E2-40CA-9751-A682021FC7C2}"/>
    <cellStyle name="Normal 5 2 5 3 3" xfId="5225" xr:uid="{00000000-0005-0000-0000-000039190000}"/>
    <cellStyle name="Normal 5 2 5 3 3 2" xfId="13654" xr:uid="{4EC9709C-8DC0-41E8-8FEA-10684F9AB5BE}"/>
    <cellStyle name="Normal 5 2 5 3 3 3" xfId="26287" xr:uid="{9DC00B71-B7A8-46B2-80C6-50C319FE03A0}"/>
    <cellStyle name="Normal 5 2 5 3 4" xfId="9436" xr:uid="{11EC6CCD-32C1-4FEF-9EB5-40D7FA9BF29F}"/>
    <cellStyle name="Normal 5 2 5 3 4 2" xfId="22076" xr:uid="{62EF266F-5E09-4D7A-8A69-ECBCA8DE0DDC}"/>
    <cellStyle name="Normal 5 2 5 3 5" xfId="17865" xr:uid="{A648373A-E187-4F82-AFD6-466F8F2564F8}"/>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CC548C10-89C3-46AF-B5C0-901E42B7D5ED}"/>
    <cellStyle name="Normal 5 2 5 4 2 2 3" xfId="28845" xr:uid="{B32B6975-4894-44D4-B41A-EBA119F48622}"/>
    <cellStyle name="Normal 5 2 5 4 2 3" xfId="11994" xr:uid="{A00CC3B8-75E3-431E-8F05-1D29CFAB26FC}"/>
    <cellStyle name="Normal 5 2 5 4 2 3 2" xfId="24634" xr:uid="{EA10A086-24F2-470F-B1A4-F0B0B71AE3D2}"/>
    <cellStyle name="Normal 5 2 5 4 2 4" xfId="20423" xr:uid="{3495CA13-9FFA-446B-A11D-1015B11FC9EB}"/>
    <cellStyle name="Normal 5 2 5 4 3" xfId="5638" xr:uid="{00000000-0005-0000-0000-00003D190000}"/>
    <cellStyle name="Normal 5 2 5 4 3 2" xfId="14067" xr:uid="{7F5F2338-4F85-48EA-B42C-F36772F124BD}"/>
    <cellStyle name="Normal 5 2 5 4 3 3" xfId="26700" xr:uid="{7AC6E8EF-4090-4290-A6EB-88769DE641EB}"/>
    <cellStyle name="Normal 5 2 5 4 4" xfId="9849" xr:uid="{A3086FA5-1C31-427A-B500-940CC22A7057}"/>
    <cellStyle name="Normal 5 2 5 4 4 2" xfId="22489" xr:uid="{838517F7-4825-4233-8CDC-765A56A6A0B8}"/>
    <cellStyle name="Normal 5 2 5 4 5" xfId="18278" xr:uid="{F07450C3-767D-498B-95A2-48E566333B6F}"/>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23BC6EFF-9100-4EA2-A38E-8DD7BA4F3BC2}"/>
    <cellStyle name="Normal 5 2 5 5 2 2 3" xfId="29258" xr:uid="{776EBD50-CC8A-4EC8-BC12-348F4FAA5F3D}"/>
    <cellStyle name="Normal 5 2 5 5 2 3" xfId="12407" xr:uid="{238022CD-0C76-4C25-9A0E-F9A28EAD23EF}"/>
    <cellStyle name="Normal 5 2 5 5 2 3 2" xfId="25047" xr:uid="{648030F9-7A30-4DEB-BCD0-20EE22B74347}"/>
    <cellStyle name="Normal 5 2 5 5 2 4" xfId="20836" xr:uid="{262D9A98-0BBE-4318-B40C-A4FAF1F2D419}"/>
    <cellStyle name="Normal 5 2 5 5 3" xfId="6051" xr:uid="{00000000-0005-0000-0000-000041190000}"/>
    <cellStyle name="Normal 5 2 5 5 3 2" xfId="14480" xr:uid="{60D9F6E3-118F-424E-81C2-965AB5E8BCA5}"/>
    <cellStyle name="Normal 5 2 5 5 3 3" xfId="27113" xr:uid="{3579A7D0-B005-42C6-B2CC-F7C35B57FD3D}"/>
    <cellStyle name="Normal 5 2 5 5 4" xfId="10262" xr:uid="{F8267C90-271D-4DAB-A5C8-88BB6146CF11}"/>
    <cellStyle name="Normal 5 2 5 5 4 2" xfId="22902" xr:uid="{89543F14-269D-49C1-BAD5-D9597031EBBA}"/>
    <cellStyle name="Normal 5 2 5 5 5" xfId="18691" xr:uid="{86903218-32C7-40FF-B323-EB2A790341DE}"/>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1976D630-D3E3-4EE7-B4C6-E34CA752FA4F}"/>
    <cellStyle name="Normal 5 2 5 6 2 2 3" xfId="29671" xr:uid="{3CC7B76C-4DB2-42D6-97D6-DCD05018C802}"/>
    <cellStyle name="Normal 5 2 5 6 2 3" xfId="12820" xr:uid="{BFBE3361-8971-4033-A98A-26B733E5CDF0}"/>
    <cellStyle name="Normal 5 2 5 6 2 3 2" xfId="25460" xr:uid="{7718576B-A3CE-4041-9EF3-7D2ED34AD729}"/>
    <cellStyle name="Normal 5 2 5 6 2 4" xfId="21249" xr:uid="{04FE4DB4-25ED-4BBC-812D-7EA77C83EAA4}"/>
    <cellStyle name="Normal 5 2 5 6 3" xfId="6464" xr:uid="{00000000-0005-0000-0000-000045190000}"/>
    <cellStyle name="Normal 5 2 5 6 3 2" xfId="14893" xr:uid="{7993BF72-87F0-45B2-ADAD-39E52441358B}"/>
    <cellStyle name="Normal 5 2 5 6 3 3" xfId="27526" xr:uid="{B10B7AF1-56F2-4963-B743-0B786116AD09}"/>
    <cellStyle name="Normal 5 2 5 6 4" xfId="10675" xr:uid="{07637DC1-3C35-468A-A2E2-BC1EA034F0E0}"/>
    <cellStyle name="Normal 5 2 5 6 4 2" xfId="23315" xr:uid="{40587BE9-DBDD-4B3F-BD84-4E7FE0BC18CB}"/>
    <cellStyle name="Normal 5 2 5 6 5" xfId="19104" xr:uid="{5611E7A8-FE47-49F0-90FA-71246D77B3BF}"/>
    <cellStyle name="Normal 5 2 5 7" xfId="2592" xr:uid="{00000000-0005-0000-0000-000046190000}"/>
    <cellStyle name="Normal 5 2 5 7 2" xfId="6877" xr:uid="{00000000-0005-0000-0000-000047190000}"/>
    <cellStyle name="Normal 5 2 5 7 2 2" xfId="15306" xr:uid="{CD713B64-CB9D-4F1F-A26A-FB74F819B9AE}"/>
    <cellStyle name="Normal 5 2 5 7 2 3" xfId="27939" xr:uid="{FB382024-8773-4881-A1BF-609609D1A771}"/>
    <cellStyle name="Normal 5 2 5 7 3" xfId="11088" xr:uid="{D7E9A09C-B378-40D9-868C-6CF43416225F}"/>
    <cellStyle name="Normal 5 2 5 7 3 2" xfId="23728" xr:uid="{B85DB19D-34F8-44B5-8C62-35A62EF72489}"/>
    <cellStyle name="Normal 5 2 5 7 4" xfId="19517" xr:uid="{ABD3920C-45C2-44FD-93AC-DBCF7B696C5B}"/>
    <cellStyle name="Normal 5 2 5 8" xfId="4812" xr:uid="{00000000-0005-0000-0000-000048190000}"/>
    <cellStyle name="Normal 5 2 5 8 2" xfId="13241" xr:uid="{67DACC02-7ADC-4FAC-AE94-B0561CC7420A}"/>
    <cellStyle name="Normal 5 2 5 8 3" xfId="25874" xr:uid="{22CF3B71-9128-43DF-9BD3-69B37F157A0F}"/>
    <cellStyle name="Normal 5 2 5 9" xfId="9023" xr:uid="{0B42E136-EC6F-444F-8BA6-6E11F66DC9FA}"/>
    <cellStyle name="Normal 5 2 5 9 2" xfId="21663" xr:uid="{5C501101-C13D-4A83-B6FA-CD25C115B9BB}"/>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03FA85CE-AC2D-4EC7-A9D2-0A80C7DCB4CF}"/>
    <cellStyle name="Normal 5 2 6 2 2 2 3" xfId="28434" xr:uid="{7B5599AE-AB2E-4D4F-99DF-BE896E33B770}"/>
    <cellStyle name="Normal 5 2 6 2 2 3" xfId="11583" xr:uid="{68F350E0-9740-472F-A602-0898A0E4D220}"/>
    <cellStyle name="Normal 5 2 6 2 2 3 2" xfId="24223" xr:uid="{B5E448D3-7CAE-4075-B79A-608CDD237156}"/>
    <cellStyle name="Normal 5 2 6 2 2 4" xfId="20012" xr:uid="{485B1259-53DD-482A-843F-8719C226E304}"/>
    <cellStyle name="Normal 5 2 6 2 3" xfId="5227" xr:uid="{00000000-0005-0000-0000-00004D190000}"/>
    <cellStyle name="Normal 5 2 6 2 3 2" xfId="13656" xr:uid="{BD084C79-AAB6-4C6A-99DE-3820389A3D74}"/>
    <cellStyle name="Normal 5 2 6 2 3 3" xfId="26289" xr:uid="{F1F42350-B1FC-408C-9825-C94089340B25}"/>
    <cellStyle name="Normal 5 2 6 2 4" xfId="9438" xr:uid="{4CB5768F-7C47-4360-99C4-DE45054E4DAA}"/>
    <cellStyle name="Normal 5 2 6 2 4 2" xfId="22078" xr:uid="{672974DA-1890-45FE-A04B-3EBD9827C189}"/>
    <cellStyle name="Normal 5 2 6 2 5" xfId="17867" xr:uid="{1A662193-482F-418A-841D-7A0BB4CAD974}"/>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A38F460B-071E-43D4-9AA0-CCC68C463CCA}"/>
    <cellStyle name="Normal 5 2 6 3 2 2 3" xfId="28847" xr:uid="{5764BC53-A76B-48F4-83BF-379514E9BEDA}"/>
    <cellStyle name="Normal 5 2 6 3 2 3" xfId="11996" xr:uid="{59D39A44-9D81-4554-AF69-7A3AB63AFD5E}"/>
    <cellStyle name="Normal 5 2 6 3 2 3 2" xfId="24636" xr:uid="{04DA487E-14DA-42C8-BF26-85D8EE835652}"/>
    <cellStyle name="Normal 5 2 6 3 2 4" xfId="20425" xr:uid="{07E04A4B-832F-4F06-B9EF-70776DE265EF}"/>
    <cellStyle name="Normal 5 2 6 3 3" xfId="5640" xr:uid="{00000000-0005-0000-0000-000051190000}"/>
    <cellStyle name="Normal 5 2 6 3 3 2" xfId="14069" xr:uid="{9F4E6398-7A03-4342-8FA8-89AB9FD77228}"/>
    <cellStyle name="Normal 5 2 6 3 3 3" xfId="26702" xr:uid="{54AFC849-003F-44FB-8998-486F94992CB9}"/>
    <cellStyle name="Normal 5 2 6 3 4" xfId="9851" xr:uid="{53E7B1FE-5CBF-4688-8B8E-450FC1007719}"/>
    <cellStyle name="Normal 5 2 6 3 4 2" xfId="22491" xr:uid="{77280B58-EF7C-4265-8A48-EDDF6C7F76B1}"/>
    <cellStyle name="Normal 5 2 6 3 5" xfId="18280" xr:uid="{58BCE346-4B3B-4BD1-AA67-23BEA2A97900}"/>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585CD649-6D8D-496D-927C-6590D175FBC8}"/>
    <cellStyle name="Normal 5 2 6 4 2 2 3" xfId="29260" xr:uid="{A5E4268A-4DC5-41B7-B8FD-1402999744D6}"/>
    <cellStyle name="Normal 5 2 6 4 2 3" xfId="12409" xr:uid="{AF136A47-D216-4612-A777-DAEFFD95F967}"/>
    <cellStyle name="Normal 5 2 6 4 2 3 2" xfId="25049" xr:uid="{D46B38A7-436A-4C7A-8089-5B7744B3CE67}"/>
    <cellStyle name="Normal 5 2 6 4 2 4" xfId="20838" xr:uid="{C788F705-9536-456C-ACAC-587CCD0572AC}"/>
    <cellStyle name="Normal 5 2 6 4 3" xfId="6053" xr:uid="{00000000-0005-0000-0000-000055190000}"/>
    <cellStyle name="Normal 5 2 6 4 3 2" xfId="14482" xr:uid="{6D6852D4-1627-4C7B-BA99-41CC0CCAE3DA}"/>
    <cellStyle name="Normal 5 2 6 4 3 3" xfId="27115" xr:uid="{8AC4A9F2-3686-45C9-8E0B-CE4B3B0BFF69}"/>
    <cellStyle name="Normal 5 2 6 4 4" xfId="10264" xr:uid="{93B9E0F6-E136-4B3D-B8AB-AC82E2C76F06}"/>
    <cellStyle name="Normal 5 2 6 4 4 2" xfId="22904" xr:uid="{5AB049E7-4CE5-46BB-8E0C-8986751B48C6}"/>
    <cellStyle name="Normal 5 2 6 4 5" xfId="18693" xr:uid="{B36DB7F9-E418-42CD-963B-E64E3DCE0B26}"/>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770102AD-313F-4016-A7CF-CABA4270B11B}"/>
    <cellStyle name="Normal 5 2 6 5 2 2 3" xfId="29673" xr:uid="{D58FF15A-D7E3-44AD-B114-35B79D44F129}"/>
    <cellStyle name="Normal 5 2 6 5 2 3" xfId="12822" xr:uid="{810A0043-16C1-448E-AE9A-0B23A71F8422}"/>
    <cellStyle name="Normal 5 2 6 5 2 3 2" xfId="25462" xr:uid="{71552393-B64A-41F8-8929-B3D9BD5FD4E9}"/>
    <cellStyle name="Normal 5 2 6 5 2 4" xfId="21251" xr:uid="{B4D8F7CD-4840-4C33-9708-F90E0C6E68B1}"/>
    <cellStyle name="Normal 5 2 6 5 3" xfId="6466" xr:uid="{00000000-0005-0000-0000-000059190000}"/>
    <cellStyle name="Normal 5 2 6 5 3 2" xfId="14895" xr:uid="{057F3F5A-1663-4701-9913-A939111C318E}"/>
    <cellStyle name="Normal 5 2 6 5 3 3" xfId="27528" xr:uid="{660587D1-7497-4011-B765-645C2A50FF1D}"/>
    <cellStyle name="Normal 5 2 6 5 4" xfId="10677" xr:uid="{1B1B080D-5EFF-4F60-82A4-098C79595BB6}"/>
    <cellStyle name="Normal 5 2 6 5 4 2" xfId="23317" xr:uid="{1CC69B10-39F1-429B-B2E0-9477BDBABA3B}"/>
    <cellStyle name="Normal 5 2 6 5 5" xfId="19106" xr:uid="{8CF7EB65-9577-46B3-B418-9BB3AE4B58E5}"/>
    <cellStyle name="Normal 5 2 6 6" xfId="2594" xr:uid="{00000000-0005-0000-0000-00005A190000}"/>
    <cellStyle name="Normal 5 2 6 6 2" xfId="6879" xr:uid="{00000000-0005-0000-0000-00005B190000}"/>
    <cellStyle name="Normal 5 2 6 6 2 2" xfId="15308" xr:uid="{BC998CFB-326C-4130-BC25-EAE1254C4CDB}"/>
    <cellStyle name="Normal 5 2 6 6 2 3" xfId="27941" xr:uid="{39807D8A-C78C-44AD-A642-F11868FC37A9}"/>
    <cellStyle name="Normal 5 2 6 6 3" xfId="11090" xr:uid="{5F1951D9-AD5B-4079-AB30-5BD230EFE343}"/>
    <cellStyle name="Normal 5 2 6 6 3 2" xfId="23730" xr:uid="{203A54CD-67EC-4E7E-AC2E-B9FE86642E65}"/>
    <cellStyle name="Normal 5 2 6 6 4" xfId="19519" xr:uid="{139D8BAF-EFE6-49B0-A0B2-1A2C4F102BB1}"/>
    <cellStyle name="Normal 5 2 6 7" xfId="4814" xr:uid="{00000000-0005-0000-0000-00005C190000}"/>
    <cellStyle name="Normal 5 2 6 7 2" xfId="13243" xr:uid="{81ABD5A5-CBFD-4D86-93A6-944DCFB03CC9}"/>
    <cellStyle name="Normal 5 2 6 7 3" xfId="25876" xr:uid="{0E6BCC43-095C-475C-8BFD-66E2E14C88DE}"/>
    <cellStyle name="Normal 5 2 6 8" xfId="9025" xr:uid="{3F5D176D-54EF-49DD-A1B4-2A444625145E}"/>
    <cellStyle name="Normal 5 2 6 8 2" xfId="21665" xr:uid="{C292B780-B938-46C1-A11F-DF20F4C442E0}"/>
    <cellStyle name="Normal 5 2 6 9" xfId="17454" xr:uid="{C43DB0B6-7D85-4722-9493-07F7468DA968}"/>
    <cellStyle name="Normal 5 2 7" xfId="882" xr:uid="{00000000-0005-0000-0000-00005D190000}"/>
    <cellStyle name="Normal 5 2 7 2" xfId="3117" xr:uid="{00000000-0005-0000-0000-00005E190000}"/>
    <cellStyle name="Normal 5 2 7 2 2" xfId="7341" xr:uid="{00000000-0005-0000-0000-00005F190000}"/>
    <cellStyle name="Normal 5 2 7 2 2 2" xfId="15770" xr:uid="{2E59BAE0-B4DA-4D01-8A14-0EB0056AAF76}"/>
    <cellStyle name="Normal 5 2 7 2 2 3" xfId="28403" xr:uid="{487FF08D-CA3F-4686-B908-5C083509153F}"/>
    <cellStyle name="Normal 5 2 7 2 3" xfId="11552" xr:uid="{FD2B5F8D-6912-4EBF-B044-4B2DE7981ACD}"/>
    <cellStyle name="Normal 5 2 7 2 3 2" xfId="24192" xr:uid="{FA2B830F-5842-47D9-B313-EBFE640685E4}"/>
    <cellStyle name="Normal 5 2 7 2 4" xfId="19981" xr:uid="{76816317-81A8-450B-B3C0-994A9F20A78D}"/>
    <cellStyle name="Normal 5 2 7 3" xfId="5196" xr:uid="{00000000-0005-0000-0000-000060190000}"/>
    <cellStyle name="Normal 5 2 7 3 2" xfId="13625" xr:uid="{F32283C0-6192-4553-9E7C-C03B5890306D}"/>
    <cellStyle name="Normal 5 2 7 3 3" xfId="26258" xr:uid="{CCE8D970-2B43-4708-BFA5-8F6FA7E33277}"/>
    <cellStyle name="Normal 5 2 7 4" xfId="9407" xr:uid="{CD2AF3C8-375D-495D-A8CD-D6976A9F8F36}"/>
    <cellStyle name="Normal 5 2 7 4 2" xfId="22047" xr:uid="{28FD07AF-2D4F-4ECB-84E5-1B9D77BDCE66}"/>
    <cellStyle name="Normal 5 2 7 5" xfId="17836" xr:uid="{23B701FB-8DFC-4AFD-A555-27EB86405DD7}"/>
    <cellStyle name="Normal 5 2 8" xfId="1300" xr:uid="{00000000-0005-0000-0000-000061190000}"/>
    <cellStyle name="Normal 5 2 8 2" xfId="3530" xr:uid="{00000000-0005-0000-0000-000062190000}"/>
    <cellStyle name="Normal 5 2 8 2 2" xfId="7754" xr:uid="{00000000-0005-0000-0000-000063190000}"/>
    <cellStyle name="Normal 5 2 8 2 2 2" xfId="16183" xr:uid="{A7D3A201-D3C8-4F75-B91C-EF805F6010BB}"/>
    <cellStyle name="Normal 5 2 8 2 2 3" xfId="28816" xr:uid="{CAE9FC01-836A-4280-8E39-4A75F4D4A14C}"/>
    <cellStyle name="Normal 5 2 8 2 3" xfId="11965" xr:uid="{E0040BA1-BF06-49EA-920D-63C2FFB89322}"/>
    <cellStyle name="Normal 5 2 8 2 3 2" xfId="24605" xr:uid="{D3D697E7-13C5-4696-B91B-AC2308446B3E}"/>
    <cellStyle name="Normal 5 2 8 2 4" xfId="20394" xr:uid="{FB958618-443E-4AC8-A55B-CFEAE33DD166}"/>
    <cellStyle name="Normal 5 2 8 3" xfId="5609" xr:uid="{00000000-0005-0000-0000-000064190000}"/>
    <cellStyle name="Normal 5 2 8 3 2" xfId="14038" xr:uid="{BDECFF29-B165-421D-9987-FD2F6F3DC96E}"/>
    <cellStyle name="Normal 5 2 8 3 3" xfId="26671" xr:uid="{BAC6DED1-649C-4FDC-8680-061E1D4F167C}"/>
    <cellStyle name="Normal 5 2 8 4" xfId="9820" xr:uid="{928D9A00-9BF2-4C05-83E4-0BA6272F4E0D}"/>
    <cellStyle name="Normal 5 2 8 4 2" xfId="22460" xr:uid="{DA24D586-8236-4B18-90F7-90C79984229A}"/>
    <cellStyle name="Normal 5 2 8 5" xfId="18249" xr:uid="{164C8FDF-DD91-400F-949C-1500BC72AC84}"/>
    <cellStyle name="Normal 5 2 9" xfId="1713" xr:uid="{00000000-0005-0000-0000-000065190000}"/>
    <cellStyle name="Normal 5 2 9 2" xfId="3943" xr:uid="{00000000-0005-0000-0000-000066190000}"/>
    <cellStyle name="Normal 5 2 9 2 2" xfId="8167" xr:uid="{00000000-0005-0000-0000-000067190000}"/>
    <cellStyle name="Normal 5 2 9 2 2 2" xfId="16596" xr:uid="{62889FE2-7F43-4B59-8205-42CC9A45B3C8}"/>
    <cellStyle name="Normal 5 2 9 2 2 3" xfId="29229" xr:uid="{1797674D-818D-4B79-9213-DBA763950B6E}"/>
    <cellStyle name="Normal 5 2 9 2 3" xfId="12378" xr:uid="{F2FF96A3-D9AC-470F-9427-ACFA0B40CBAA}"/>
    <cellStyle name="Normal 5 2 9 2 3 2" xfId="25018" xr:uid="{2A8866BB-E03A-4DD3-BBB8-352F7CD5C7B3}"/>
    <cellStyle name="Normal 5 2 9 2 4" xfId="20807" xr:uid="{51219E62-8DD4-4C72-B09A-1E8667B523DF}"/>
    <cellStyle name="Normal 5 2 9 3" xfId="6022" xr:uid="{00000000-0005-0000-0000-000068190000}"/>
    <cellStyle name="Normal 5 2 9 3 2" xfId="14451" xr:uid="{F1F50335-DD41-4A60-AC5A-D671AF413CBB}"/>
    <cellStyle name="Normal 5 2 9 3 3" xfId="27084" xr:uid="{1907F9B1-F224-43A5-B8D0-DFEA5312FF19}"/>
    <cellStyle name="Normal 5 2 9 4" xfId="10233" xr:uid="{1926AD72-A8ED-41AE-A158-82CFF2A66DF8}"/>
    <cellStyle name="Normal 5 2 9 4 2" xfId="22873" xr:uid="{63093D7F-3F02-47F0-B8ED-9D96FA1AE73C}"/>
    <cellStyle name="Normal 5 2 9 5" xfId="18662" xr:uid="{9AAEF4F4-8066-4FEF-BF18-D0C340098883}"/>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7738A9CC-8C6C-4028-BD9E-A9B9939A625D}"/>
    <cellStyle name="Normal 5 3 10 2 2 3" xfId="29674" xr:uid="{FCB7F478-B505-4809-BBBB-C888190BE4C9}"/>
    <cellStyle name="Normal 5 3 10 2 3" xfId="12823" xr:uid="{76CA14E7-48DB-410A-A80D-DAC89725B31B}"/>
    <cellStyle name="Normal 5 3 10 2 3 2" xfId="25463" xr:uid="{B1F29745-5BBE-4EC7-A660-924452889F5E}"/>
    <cellStyle name="Normal 5 3 10 2 4" xfId="21252" xr:uid="{DD6CDCE4-2069-4569-94F6-9A7464A08204}"/>
    <cellStyle name="Normal 5 3 10 3" xfId="6467" xr:uid="{00000000-0005-0000-0000-00006D190000}"/>
    <cellStyle name="Normal 5 3 10 3 2" xfId="14896" xr:uid="{5AAD6729-596E-4CAF-B9D8-6BB91FB60B2E}"/>
    <cellStyle name="Normal 5 3 10 3 3" xfId="27529" xr:uid="{D4D05030-C276-437E-B842-02082567D422}"/>
    <cellStyle name="Normal 5 3 10 4" xfId="10678" xr:uid="{C83777C1-4186-4DDF-B410-AF208A3D2110}"/>
    <cellStyle name="Normal 5 3 10 4 2" xfId="23318" xr:uid="{B2C3B57D-7774-4069-AE26-6CFB364FDD5B}"/>
    <cellStyle name="Normal 5 3 10 5" xfId="19107" xr:uid="{84131A7B-7D55-4677-BE7B-404613A7069F}"/>
    <cellStyle name="Normal 5 3 11" xfId="2595" xr:uid="{00000000-0005-0000-0000-00006E190000}"/>
    <cellStyle name="Normal 5 3 11 2" xfId="6880" xr:uid="{00000000-0005-0000-0000-00006F190000}"/>
    <cellStyle name="Normal 5 3 11 2 2" xfId="15309" xr:uid="{F0FEE0EC-BE3E-4B1A-AF3B-B0B1C46C0BD0}"/>
    <cellStyle name="Normal 5 3 11 2 3" xfId="27942" xr:uid="{3E3E5C14-4E61-4AB0-A95A-F8013979337E}"/>
    <cellStyle name="Normal 5 3 11 3" xfId="11091" xr:uid="{9591F753-7436-4F05-A51E-7128F3111526}"/>
    <cellStyle name="Normal 5 3 11 3 2" xfId="23731" xr:uid="{AB896961-DD94-4B86-A4D4-D5892F753A1A}"/>
    <cellStyle name="Normal 5 3 11 4" xfId="19520" xr:uid="{E9D220FF-26D5-4968-B1EC-F35E36257523}"/>
    <cellStyle name="Normal 5 3 12" xfId="4815" xr:uid="{00000000-0005-0000-0000-000070190000}"/>
    <cellStyle name="Normal 5 3 12 2" xfId="13244" xr:uid="{CFA8D7A6-0535-4D98-92F1-F4616013539A}"/>
    <cellStyle name="Normal 5 3 12 3" xfId="25877" xr:uid="{47AB7B17-D7AE-4B99-A53F-CDDA89D6F5D3}"/>
    <cellStyle name="Normal 5 3 13" xfId="9026" xr:uid="{52FF531C-4A67-46EE-A4E1-8FE95C08326B}"/>
    <cellStyle name="Normal 5 3 13 2" xfId="21666" xr:uid="{FE1384DD-7739-4536-B403-5DDC52D5A2D5}"/>
    <cellStyle name="Normal 5 3 14" xfId="17455" xr:uid="{8035B7A3-724B-45AA-BD6C-3232B85AF11D}"/>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E5F6CC06-4F9A-4931-A92C-14652781F4CC}"/>
    <cellStyle name="Normal 5 3 3 10 3" xfId="25878" xr:uid="{FCCB310E-739C-47F5-884F-2D5B250026F5}"/>
    <cellStyle name="Normal 5 3 3 11" xfId="9027" xr:uid="{A9DC2748-2016-475A-89E3-6F66DA0ADB6C}"/>
    <cellStyle name="Normal 5 3 3 11 2" xfId="21667" xr:uid="{B1AE9B62-4D8B-4A31-8925-08D96E4D5BBC}"/>
    <cellStyle name="Normal 5 3 3 12" xfId="17456" xr:uid="{D85E314C-07CE-42E8-9D80-BF0CB3BEF6C7}"/>
    <cellStyle name="Normal 5 3 3 2" xfId="442" xr:uid="{00000000-0005-0000-0000-000075190000}"/>
    <cellStyle name="Normal 5 3 3 2 10" xfId="9028" xr:uid="{7EFA2FFC-E1BD-4F80-A26F-D12419635DC7}"/>
    <cellStyle name="Normal 5 3 3 2 10 2" xfId="21668" xr:uid="{8A90D0E5-3E20-4070-8581-A3F1CCBCAA68}"/>
    <cellStyle name="Normal 5 3 3 2 11" xfId="17457" xr:uid="{7727E0D5-A237-4828-A617-B99B014FC6AE}"/>
    <cellStyle name="Normal 5 3 3 2 2" xfId="443" xr:uid="{00000000-0005-0000-0000-000076190000}"/>
    <cellStyle name="Normal 5 3 3 2 2 10" xfId="17458" xr:uid="{18B0263B-455B-4657-B4BE-346B8E1E49B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454DBD87-4C4F-4E73-9CAF-FEB7F4E84DEE}"/>
    <cellStyle name="Normal 5 3 3 2 2 2 2 2 2 3" xfId="28439" xr:uid="{6F5CC030-E654-46B4-843F-49C6E99728A0}"/>
    <cellStyle name="Normal 5 3 3 2 2 2 2 2 3" xfId="11588" xr:uid="{13430008-1EE2-4AA3-909F-E9796B7EC995}"/>
    <cellStyle name="Normal 5 3 3 2 2 2 2 2 3 2" xfId="24228" xr:uid="{CDDB4603-5445-4028-A7B8-647E19448C7E}"/>
    <cellStyle name="Normal 5 3 3 2 2 2 2 2 4" xfId="20017" xr:uid="{17E1E80F-BC36-493B-A563-B77A2BD7C6B0}"/>
    <cellStyle name="Normal 5 3 3 2 2 2 2 3" xfId="5232" xr:uid="{00000000-0005-0000-0000-00007B190000}"/>
    <cellStyle name="Normal 5 3 3 2 2 2 2 3 2" xfId="13661" xr:uid="{209B87D5-1A0E-4E3E-941B-86595DAE12D5}"/>
    <cellStyle name="Normal 5 3 3 2 2 2 2 3 3" xfId="26294" xr:uid="{E27EDDC3-E3A8-4E26-9AD9-9CD2EB292540}"/>
    <cellStyle name="Normal 5 3 3 2 2 2 2 4" xfId="9443" xr:uid="{8682B71B-C161-49EE-BF55-80C4186E9690}"/>
    <cellStyle name="Normal 5 3 3 2 2 2 2 4 2" xfId="22083" xr:uid="{94B95DE2-C2ED-4D43-B318-4735AD69BCB3}"/>
    <cellStyle name="Normal 5 3 3 2 2 2 2 5" xfId="17872" xr:uid="{55156AF6-B793-4838-86FF-9E76FB0EAF3A}"/>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04DFBF24-2B58-47D8-ABFA-671DF270278D}"/>
    <cellStyle name="Normal 5 3 3 2 2 2 3 2 2 3" xfId="28852" xr:uid="{0917A680-76FB-4A18-AF24-32E3AF895A94}"/>
    <cellStyle name="Normal 5 3 3 2 2 2 3 2 3" xfId="12001" xr:uid="{432E6020-05F0-415C-A638-A5155DA1D1CB}"/>
    <cellStyle name="Normal 5 3 3 2 2 2 3 2 3 2" xfId="24641" xr:uid="{FC299F20-4CBE-4A66-8F1F-09FBC936439C}"/>
    <cellStyle name="Normal 5 3 3 2 2 2 3 2 4" xfId="20430" xr:uid="{78E6A7E6-CE9A-4A3A-9DF8-CCA2103F590E}"/>
    <cellStyle name="Normal 5 3 3 2 2 2 3 3" xfId="5645" xr:uid="{00000000-0005-0000-0000-00007F190000}"/>
    <cellStyle name="Normal 5 3 3 2 2 2 3 3 2" xfId="14074" xr:uid="{0536A3F8-678F-4D6A-AD9C-01A1E0B61EC0}"/>
    <cellStyle name="Normal 5 3 3 2 2 2 3 3 3" xfId="26707" xr:uid="{330099FC-1790-40D8-AC7F-DEB316410FD8}"/>
    <cellStyle name="Normal 5 3 3 2 2 2 3 4" xfId="9856" xr:uid="{5046A318-3463-46E2-A0C9-9759D8B9A23E}"/>
    <cellStyle name="Normal 5 3 3 2 2 2 3 4 2" xfId="22496" xr:uid="{5CF1EF9B-0E6F-4F26-9161-9BBBFD34BF4C}"/>
    <cellStyle name="Normal 5 3 3 2 2 2 3 5" xfId="18285" xr:uid="{8DFE516B-4CF9-400B-AD19-326689C4E39B}"/>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E5A7A82B-E040-4CDF-AC9E-F97391394CEF}"/>
    <cellStyle name="Normal 5 3 3 2 2 2 4 2 2 3" xfId="29265" xr:uid="{B75A527A-5A0C-49F1-AE46-6F3FE865CBA6}"/>
    <cellStyle name="Normal 5 3 3 2 2 2 4 2 3" xfId="12414" xr:uid="{E8DE3759-C840-4287-A6DE-84B673E74C04}"/>
    <cellStyle name="Normal 5 3 3 2 2 2 4 2 3 2" xfId="25054" xr:uid="{40328EB9-D37B-4606-8D35-179ACBC594E3}"/>
    <cellStyle name="Normal 5 3 3 2 2 2 4 2 4" xfId="20843" xr:uid="{9DE74FA5-337B-4C9D-A3EE-B818813BF483}"/>
    <cellStyle name="Normal 5 3 3 2 2 2 4 3" xfId="6058" xr:uid="{00000000-0005-0000-0000-000083190000}"/>
    <cellStyle name="Normal 5 3 3 2 2 2 4 3 2" xfId="14487" xr:uid="{E8024B01-8802-49A2-BF2C-6A73794394E9}"/>
    <cellStyle name="Normal 5 3 3 2 2 2 4 3 3" xfId="27120" xr:uid="{EE99ED29-273E-4F6E-BBEB-1BC86C0A6B4B}"/>
    <cellStyle name="Normal 5 3 3 2 2 2 4 4" xfId="10269" xr:uid="{604859C6-9CF4-4BEB-A235-1E1F291DC2A4}"/>
    <cellStyle name="Normal 5 3 3 2 2 2 4 4 2" xfId="22909" xr:uid="{D00E9B4A-CDBD-4909-AEDA-D58EBC0AB09A}"/>
    <cellStyle name="Normal 5 3 3 2 2 2 4 5" xfId="18698" xr:uid="{4D46F076-8204-4BC2-8B3E-70B2AF619721}"/>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3ABD2169-CFFD-44DC-875B-AC77727C0D9A}"/>
    <cellStyle name="Normal 5 3 3 2 2 2 5 2 2 3" xfId="29678" xr:uid="{C0ACAC22-000F-43A2-A72A-C17857F4004B}"/>
    <cellStyle name="Normal 5 3 3 2 2 2 5 2 3" xfId="12827" xr:uid="{0D08255A-6A60-4E66-ACDD-E0805FCB4384}"/>
    <cellStyle name="Normal 5 3 3 2 2 2 5 2 3 2" xfId="25467" xr:uid="{0901F092-DB1B-49B6-A3DE-F4A3785F18FB}"/>
    <cellStyle name="Normal 5 3 3 2 2 2 5 2 4" xfId="21256" xr:uid="{8DF67175-3DE8-4C49-BFFD-215574ADDAB9}"/>
    <cellStyle name="Normal 5 3 3 2 2 2 5 3" xfId="6471" xr:uid="{00000000-0005-0000-0000-000087190000}"/>
    <cellStyle name="Normal 5 3 3 2 2 2 5 3 2" xfId="14900" xr:uid="{495B3E4E-6C7D-4D5E-87C4-BE6CB0E89947}"/>
    <cellStyle name="Normal 5 3 3 2 2 2 5 3 3" xfId="27533" xr:uid="{F9EC917E-949F-4648-80A9-48C0B38D8BBB}"/>
    <cellStyle name="Normal 5 3 3 2 2 2 5 4" xfId="10682" xr:uid="{92FE3C99-4355-4976-911B-7AD4AAE2AC6A}"/>
    <cellStyle name="Normal 5 3 3 2 2 2 5 4 2" xfId="23322" xr:uid="{7A4BEE57-FD66-4DE5-B94C-89F54B97EF6B}"/>
    <cellStyle name="Normal 5 3 3 2 2 2 5 5" xfId="19111" xr:uid="{2C1FE8CE-6EAB-4FB0-AE39-B09CE6336563}"/>
    <cellStyle name="Normal 5 3 3 2 2 2 6" xfId="2599" xr:uid="{00000000-0005-0000-0000-000088190000}"/>
    <cellStyle name="Normal 5 3 3 2 2 2 6 2" xfId="6884" xr:uid="{00000000-0005-0000-0000-000089190000}"/>
    <cellStyle name="Normal 5 3 3 2 2 2 6 2 2" xfId="15313" xr:uid="{B3E35B51-F5AF-47D6-9838-4FB0D8D062B0}"/>
    <cellStyle name="Normal 5 3 3 2 2 2 6 2 3" xfId="27946" xr:uid="{81C62007-613C-4C1C-970B-9CBF52B727E3}"/>
    <cellStyle name="Normal 5 3 3 2 2 2 6 3" xfId="11095" xr:uid="{981C4557-9D61-4B0E-8545-1D6A20454103}"/>
    <cellStyle name="Normal 5 3 3 2 2 2 6 3 2" xfId="23735" xr:uid="{F9CB65D2-4F34-45FC-B3FC-707C1A933DD8}"/>
    <cellStyle name="Normal 5 3 3 2 2 2 6 4" xfId="19524" xr:uid="{4D20118D-B93C-4514-921F-5F26475871B2}"/>
    <cellStyle name="Normal 5 3 3 2 2 2 7" xfId="4819" xr:uid="{00000000-0005-0000-0000-00008A190000}"/>
    <cellStyle name="Normal 5 3 3 2 2 2 7 2" xfId="13248" xr:uid="{B26C8D19-BFDA-435B-8766-AEE96DF18248}"/>
    <cellStyle name="Normal 5 3 3 2 2 2 7 3" xfId="25881" xr:uid="{F1C1B5CF-0C5B-4C8E-A10E-FAFDC353052A}"/>
    <cellStyle name="Normal 5 3 3 2 2 2 8" xfId="9030" xr:uid="{110BA19F-9626-46A3-B68E-1AD6514C2E47}"/>
    <cellStyle name="Normal 5 3 3 2 2 2 8 2" xfId="21670" xr:uid="{E008BF0F-DB4A-412C-8073-90A115CA9744}"/>
    <cellStyle name="Normal 5 3 3 2 2 2 9" xfId="17459" xr:uid="{496075AB-C6AC-4853-9AEB-9AA31790A0B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2988F7FD-E54A-4DC7-BC9B-84E381058502}"/>
    <cellStyle name="Normal 5 3 3 2 2 3 2 2 3" xfId="28438" xr:uid="{0372949A-82B7-4ACE-AA5C-92FDA456EF14}"/>
    <cellStyle name="Normal 5 3 3 2 2 3 2 3" xfId="11587" xr:uid="{3950BD63-3B7E-41B1-B99F-0201BCCB02A9}"/>
    <cellStyle name="Normal 5 3 3 2 2 3 2 3 2" xfId="24227" xr:uid="{2D8F6F0D-F418-40A2-A6E2-C183CC418158}"/>
    <cellStyle name="Normal 5 3 3 2 2 3 2 4" xfId="20016" xr:uid="{CF63B3B9-8328-404A-BF8F-A591CCF0F74D}"/>
    <cellStyle name="Normal 5 3 3 2 2 3 3" xfId="5231" xr:uid="{00000000-0005-0000-0000-00008E190000}"/>
    <cellStyle name="Normal 5 3 3 2 2 3 3 2" xfId="13660" xr:uid="{052B65AB-1370-41F2-88B7-47796935D2AA}"/>
    <cellStyle name="Normal 5 3 3 2 2 3 3 3" xfId="26293" xr:uid="{74F0EEDE-30DC-403A-AAB1-35B38299628E}"/>
    <cellStyle name="Normal 5 3 3 2 2 3 4" xfId="9442" xr:uid="{F56F1C6E-2BD5-45BD-98F4-01716B9F09B5}"/>
    <cellStyle name="Normal 5 3 3 2 2 3 4 2" xfId="22082" xr:uid="{8F05FAFD-89ED-42BF-8AF3-B3E3CC47EE17}"/>
    <cellStyle name="Normal 5 3 3 2 2 3 5" xfId="17871" xr:uid="{937213FE-A878-4D72-82EE-F320A8026ED8}"/>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AC6270C0-145B-41AE-BE43-1759962348D1}"/>
    <cellStyle name="Normal 5 3 3 2 2 4 2 2 3" xfId="28851" xr:uid="{1DE38FC3-C19B-4748-8696-E58046826AA7}"/>
    <cellStyle name="Normal 5 3 3 2 2 4 2 3" xfId="12000" xr:uid="{29E90CB6-7FE6-4D8B-B261-5730223B4D64}"/>
    <cellStyle name="Normal 5 3 3 2 2 4 2 3 2" xfId="24640" xr:uid="{9A78B7FB-2C21-4B02-AC95-22A908ABFA3A}"/>
    <cellStyle name="Normal 5 3 3 2 2 4 2 4" xfId="20429" xr:uid="{BBA117E3-E430-4074-B357-A150D61DA2A2}"/>
    <cellStyle name="Normal 5 3 3 2 2 4 3" xfId="5644" xr:uid="{00000000-0005-0000-0000-000092190000}"/>
    <cellStyle name="Normal 5 3 3 2 2 4 3 2" xfId="14073" xr:uid="{FC670142-574D-4113-BFBD-A936FCB8C3C2}"/>
    <cellStyle name="Normal 5 3 3 2 2 4 3 3" xfId="26706" xr:uid="{3080EEC5-BACC-40DA-8202-23A356B1823D}"/>
    <cellStyle name="Normal 5 3 3 2 2 4 4" xfId="9855" xr:uid="{0FFA4295-80CD-42A7-AC63-C5FCB527897C}"/>
    <cellStyle name="Normal 5 3 3 2 2 4 4 2" xfId="22495" xr:uid="{9907B47D-2B73-4178-BC57-DB49D94774C6}"/>
    <cellStyle name="Normal 5 3 3 2 2 4 5" xfId="18284" xr:uid="{03E714CB-7F9F-4544-BE79-2C556D4135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8D296BA5-E482-49E8-A7C6-68D763BFA9EC}"/>
    <cellStyle name="Normal 5 3 3 2 2 5 2 2 3" xfId="29264" xr:uid="{DD415584-5C0D-49C8-9CE1-0A32B9AB56DF}"/>
    <cellStyle name="Normal 5 3 3 2 2 5 2 3" xfId="12413" xr:uid="{A6048C22-4E20-4B17-B03B-A8FA65E8DB42}"/>
    <cellStyle name="Normal 5 3 3 2 2 5 2 3 2" xfId="25053" xr:uid="{73E27205-BC61-4324-BA43-79949F71AF85}"/>
    <cellStyle name="Normal 5 3 3 2 2 5 2 4" xfId="20842" xr:uid="{684DC438-2EAC-4C2E-91C1-0E5E041E09D5}"/>
    <cellStyle name="Normal 5 3 3 2 2 5 3" xfId="6057" xr:uid="{00000000-0005-0000-0000-000096190000}"/>
    <cellStyle name="Normal 5 3 3 2 2 5 3 2" xfId="14486" xr:uid="{95A3D53D-C39B-4B59-A9A3-7FB5F123DBE2}"/>
    <cellStyle name="Normal 5 3 3 2 2 5 3 3" xfId="27119" xr:uid="{C7A4731D-715D-4C88-8F67-3F41046D535D}"/>
    <cellStyle name="Normal 5 3 3 2 2 5 4" xfId="10268" xr:uid="{FC665EF8-8127-4D90-95F6-4AB2B1DCB06D}"/>
    <cellStyle name="Normal 5 3 3 2 2 5 4 2" xfId="22908" xr:uid="{9DC9AB4D-7058-4CC4-8ED8-32B68F6F0BDB}"/>
    <cellStyle name="Normal 5 3 3 2 2 5 5" xfId="18697" xr:uid="{B79A65D4-B530-4D59-8351-9C62845F09BD}"/>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09B45672-279D-4535-AF89-54C9A5D9A16F}"/>
    <cellStyle name="Normal 5 3 3 2 2 6 2 2 3" xfId="29677" xr:uid="{41E461B3-2DB5-491E-BC2E-4AEAA43D19CF}"/>
    <cellStyle name="Normal 5 3 3 2 2 6 2 3" xfId="12826" xr:uid="{6DC72929-50D0-4E6B-AACB-C930B27C68F2}"/>
    <cellStyle name="Normal 5 3 3 2 2 6 2 3 2" xfId="25466" xr:uid="{20FE332E-F950-48B8-B2B1-79381431E8F8}"/>
    <cellStyle name="Normal 5 3 3 2 2 6 2 4" xfId="21255" xr:uid="{670865E7-6F36-4A2F-8B82-7CDF1D74EB0D}"/>
    <cellStyle name="Normal 5 3 3 2 2 6 3" xfId="6470" xr:uid="{00000000-0005-0000-0000-00009A190000}"/>
    <cellStyle name="Normal 5 3 3 2 2 6 3 2" xfId="14899" xr:uid="{DEADA1A9-1D1A-48EB-89E2-51AE35DE0056}"/>
    <cellStyle name="Normal 5 3 3 2 2 6 3 3" xfId="27532" xr:uid="{8CB35986-B749-45E9-8FC3-F571ED0DF24E}"/>
    <cellStyle name="Normal 5 3 3 2 2 6 4" xfId="10681" xr:uid="{620EC193-71B0-4025-A3EE-62237C454923}"/>
    <cellStyle name="Normal 5 3 3 2 2 6 4 2" xfId="23321" xr:uid="{5B4F696A-67F0-430F-8F95-8B8A760C6D70}"/>
    <cellStyle name="Normal 5 3 3 2 2 6 5" xfId="19110" xr:uid="{2C1DB461-B332-449B-8B06-83C048C741E0}"/>
    <cellStyle name="Normal 5 3 3 2 2 7" xfId="2598" xr:uid="{00000000-0005-0000-0000-00009B190000}"/>
    <cellStyle name="Normal 5 3 3 2 2 7 2" xfId="6883" xr:uid="{00000000-0005-0000-0000-00009C190000}"/>
    <cellStyle name="Normal 5 3 3 2 2 7 2 2" xfId="15312" xr:uid="{92970A51-D0CB-41C8-A3C7-4B34B962252E}"/>
    <cellStyle name="Normal 5 3 3 2 2 7 2 3" xfId="27945" xr:uid="{4B11B951-02DB-4F82-AD30-277E78C8E067}"/>
    <cellStyle name="Normal 5 3 3 2 2 7 3" xfId="11094" xr:uid="{EDD6EEDE-349C-4847-A6E4-D7FB02F9124C}"/>
    <cellStyle name="Normal 5 3 3 2 2 7 3 2" xfId="23734" xr:uid="{95448E55-7344-4080-8CB1-239B52EBD107}"/>
    <cellStyle name="Normal 5 3 3 2 2 7 4" xfId="19523" xr:uid="{D6D8542B-078B-46F6-8A35-9CBCA7700861}"/>
    <cellStyle name="Normal 5 3 3 2 2 8" xfId="4818" xr:uid="{00000000-0005-0000-0000-00009D190000}"/>
    <cellStyle name="Normal 5 3 3 2 2 8 2" xfId="13247" xr:uid="{81F8BACD-CE81-4BDF-8ED7-16E641ECA5B8}"/>
    <cellStyle name="Normal 5 3 3 2 2 8 3" xfId="25880" xr:uid="{DC931EE7-13F0-45B1-8F2F-44C1C8365EA5}"/>
    <cellStyle name="Normal 5 3 3 2 2 9" xfId="9029" xr:uid="{06C16ABD-53A9-4DAE-8C20-0B4B468E3A56}"/>
    <cellStyle name="Normal 5 3 3 2 2 9 2" xfId="21669" xr:uid="{65AB679B-76B4-4E09-B941-A941EBEF2C7F}"/>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E0C6FD10-CC94-4E0D-BC34-29FB10C77DEA}"/>
    <cellStyle name="Normal 5 3 3 2 3 2 2 2 3" xfId="28440" xr:uid="{810C5D8B-7BB4-4193-8CB6-1C9B62F1F302}"/>
    <cellStyle name="Normal 5 3 3 2 3 2 2 3" xfId="11589" xr:uid="{8CB63ACC-AEBC-4920-A321-2FD7609F6F53}"/>
    <cellStyle name="Normal 5 3 3 2 3 2 2 3 2" xfId="24229" xr:uid="{DAE9A953-A975-411B-928F-908E18FCD9C6}"/>
    <cellStyle name="Normal 5 3 3 2 3 2 2 4" xfId="20018" xr:uid="{E5FA085A-2059-4428-860E-E405C19BA09B}"/>
    <cellStyle name="Normal 5 3 3 2 3 2 3" xfId="5233" xr:uid="{00000000-0005-0000-0000-0000A2190000}"/>
    <cellStyle name="Normal 5 3 3 2 3 2 3 2" xfId="13662" xr:uid="{BA8525AE-F1DB-4D9E-A8FE-388E7B476448}"/>
    <cellStyle name="Normal 5 3 3 2 3 2 3 3" xfId="26295" xr:uid="{378BB088-80C6-4B06-9188-8A8D3E6D7AE6}"/>
    <cellStyle name="Normal 5 3 3 2 3 2 4" xfId="9444" xr:uid="{FF583535-482C-4E51-8A75-738977FF07F9}"/>
    <cellStyle name="Normal 5 3 3 2 3 2 4 2" xfId="22084" xr:uid="{2DB97F0F-5EF2-4B83-80E3-885E702B8523}"/>
    <cellStyle name="Normal 5 3 3 2 3 2 5" xfId="17873" xr:uid="{34561AD4-D30E-4677-A7B9-EE395AE16198}"/>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49EECA04-6BEA-4E9D-A0AF-8FA2D2DAC24D}"/>
    <cellStyle name="Normal 5 3 3 2 3 3 2 2 3" xfId="28853" xr:uid="{AEB3E3C4-8D19-44D0-B593-8051B3054286}"/>
    <cellStyle name="Normal 5 3 3 2 3 3 2 3" xfId="12002" xr:uid="{B1BE7A7F-ABB7-443E-8B53-4A30810DEBE5}"/>
    <cellStyle name="Normal 5 3 3 2 3 3 2 3 2" xfId="24642" xr:uid="{D77AF15C-A01C-49B9-BBE1-03CF4A8D405F}"/>
    <cellStyle name="Normal 5 3 3 2 3 3 2 4" xfId="20431" xr:uid="{B3076B8A-08E8-41A8-A8E1-82812CD45F79}"/>
    <cellStyle name="Normal 5 3 3 2 3 3 3" xfId="5646" xr:uid="{00000000-0005-0000-0000-0000A6190000}"/>
    <cellStyle name="Normal 5 3 3 2 3 3 3 2" xfId="14075" xr:uid="{D527160B-E021-4CA2-A23C-128C0DDEC7D8}"/>
    <cellStyle name="Normal 5 3 3 2 3 3 3 3" xfId="26708" xr:uid="{E21F1DB6-9D59-487E-B5CC-97F6FB719025}"/>
    <cellStyle name="Normal 5 3 3 2 3 3 4" xfId="9857" xr:uid="{BA6F8EB8-ABAD-4317-9C6A-48295EE53A72}"/>
    <cellStyle name="Normal 5 3 3 2 3 3 4 2" xfId="22497" xr:uid="{8923C538-ABE7-4367-991F-490FF59FE6E9}"/>
    <cellStyle name="Normal 5 3 3 2 3 3 5" xfId="18286" xr:uid="{D02245E9-4B93-446F-BBC9-0FDCC2932ECE}"/>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26B459F3-4743-4C89-B54C-D6F7AA68BB5A}"/>
    <cellStyle name="Normal 5 3 3 2 3 4 2 2 3" xfId="29266" xr:uid="{D4BAD7C5-13E9-4124-A8B3-3724C930E9D7}"/>
    <cellStyle name="Normal 5 3 3 2 3 4 2 3" xfId="12415" xr:uid="{7A0E801B-07AB-4414-9AB1-6731ED344FB3}"/>
    <cellStyle name="Normal 5 3 3 2 3 4 2 3 2" xfId="25055" xr:uid="{69809400-9B4C-47BF-A070-FC0EBCA9ED21}"/>
    <cellStyle name="Normal 5 3 3 2 3 4 2 4" xfId="20844" xr:uid="{7123A21C-CC3B-4B52-A4BD-10DCDB06970D}"/>
    <cellStyle name="Normal 5 3 3 2 3 4 3" xfId="6059" xr:uid="{00000000-0005-0000-0000-0000AA190000}"/>
    <cellStyle name="Normal 5 3 3 2 3 4 3 2" xfId="14488" xr:uid="{E61900E8-F6B7-4279-BDEB-3A0FF47FE2A6}"/>
    <cellStyle name="Normal 5 3 3 2 3 4 3 3" xfId="27121" xr:uid="{4C1724FA-6449-404E-8D65-CDAFF104EA5A}"/>
    <cellStyle name="Normal 5 3 3 2 3 4 4" xfId="10270" xr:uid="{D259EA6E-739D-44B7-A8FF-29FFA681C165}"/>
    <cellStyle name="Normal 5 3 3 2 3 4 4 2" xfId="22910" xr:uid="{F5F736F5-0A1E-4528-A05D-91524E51C1A3}"/>
    <cellStyle name="Normal 5 3 3 2 3 4 5" xfId="18699" xr:uid="{5A0B8DEF-0836-4F1B-A19C-485209683D0A}"/>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58BA50A6-5805-4BD0-AA6E-43BDCA836E8E}"/>
    <cellStyle name="Normal 5 3 3 2 3 5 2 2 3" xfId="29679" xr:uid="{1E8BB207-92E8-440C-A5F5-4C56A021C228}"/>
    <cellStyle name="Normal 5 3 3 2 3 5 2 3" xfId="12828" xr:uid="{A571AFB4-411E-4C85-BD41-CFDA6B242EC0}"/>
    <cellStyle name="Normal 5 3 3 2 3 5 2 3 2" xfId="25468" xr:uid="{E34F926D-4B0C-4520-98AC-C247F21ABD05}"/>
    <cellStyle name="Normal 5 3 3 2 3 5 2 4" xfId="21257" xr:uid="{ADDF8169-CEFB-4BC9-A791-6F4BE5470B3F}"/>
    <cellStyle name="Normal 5 3 3 2 3 5 3" xfId="6472" xr:uid="{00000000-0005-0000-0000-0000AE190000}"/>
    <cellStyle name="Normal 5 3 3 2 3 5 3 2" xfId="14901" xr:uid="{BFB244EE-FB97-4A1D-ACE9-6C595CC082A1}"/>
    <cellStyle name="Normal 5 3 3 2 3 5 3 3" xfId="27534" xr:uid="{63C35E6A-7D45-4892-BB3A-DFBF647C5543}"/>
    <cellStyle name="Normal 5 3 3 2 3 5 4" xfId="10683" xr:uid="{BB7A6B6F-F490-4E2D-9B7C-CE37D53D7ED5}"/>
    <cellStyle name="Normal 5 3 3 2 3 5 4 2" xfId="23323" xr:uid="{0C7E5006-BE01-4766-BA2D-B5EB7519B786}"/>
    <cellStyle name="Normal 5 3 3 2 3 5 5" xfId="19112" xr:uid="{832851F5-7E2E-48BE-80BA-36674C3B10C0}"/>
    <cellStyle name="Normal 5 3 3 2 3 6" xfId="2600" xr:uid="{00000000-0005-0000-0000-0000AF190000}"/>
    <cellStyle name="Normal 5 3 3 2 3 6 2" xfId="6885" xr:uid="{00000000-0005-0000-0000-0000B0190000}"/>
    <cellStyle name="Normal 5 3 3 2 3 6 2 2" xfId="15314" xr:uid="{E2623C1D-6F6C-4FC5-BCAC-F6CDDAFBC6D4}"/>
    <cellStyle name="Normal 5 3 3 2 3 6 2 3" xfId="27947" xr:uid="{56D60DDB-9DFF-4EF3-A254-DF9853298718}"/>
    <cellStyle name="Normal 5 3 3 2 3 6 3" xfId="11096" xr:uid="{40C62A45-7C1F-4CDF-97B1-9FE8227C94B0}"/>
    <cellStyle name="Normal 5 3 3 2 3 6 3 2" xfId="23736" xr:uid="{EC336D5B-BA0E-4C75-8A1E-C7A440F19F78}"/>
    <cellStyle name="Normal 5 3 3 2 3 6 4" xfId="19525" xr:uid="{4B2741F0-83D4-4DFD-9619-94F745070314}"/>
    <cellStyle name="Normal 5 3 3 2 3 7" xfId="4820" xr:uid="{00000000-0005-0000-0000-0000B1190000}"/>
    <cellStyle name="Normal 5 3 3 2 3 7 2" xfId="13249" xr:uid="{E4ED55EF-909E-407E-8BA9-D2C143D4500A}"/>
    <cellStyle name="Normal 5 3 3 2 3 7 3" xfId="25882" xr:uid="{2C0E0AB3-EA2C-4BE9-B277-38363977803C}"/>
    <cellStyle name="Normal 5 3 3 2 3 8" xfId="9031" xr:uid="{9526231A-3F01-4B45-B25A-95A13785B230}"/>
    <cellStyle name="Normal 5 3 3 2 3 8 2" xfId="21671" xr:uid="{F3A5ED0A-AEC2-46E9-85D8-CFF3EA687EBB}"/>
    <cellStyle name="Normal 5 3 3 2 3 9" xfId="17460" xr:uid="{DB592977-32E9-4451-BA57-61C5E252C75F}"/>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4E2E3F36-C199-4962-AC09-02A160047342}"/>
    <cellStyle name="Normal 5 3 3 2 4 2 2 3" xfId="28437" xr:uid="{723997E5-CC8A-41F6-B69B-436DF7400B11}"/>
    <cellStyle name="Normal 5 3 3 2 4 2 3" xfId="11586" xr:uid="{07FBDA2C-B9E6-46E8-968C-12716736CB1F}"/>
    <cellStyle name="Normal 5 3 3 2 4 2 3 2" xfId="24226" xr:uid="{1713C2E3-4E9E-4663-81E0-D7B72DA6A975}"/>
    <cellStyle name="Normal 5 3 3 2 4 2 4" xfId="20015" xr:uid="{08E65EB9-362A-4630-B13F-647FEC210B7A}"/>
    <cellStyle name="Normal 5 3 3 2 4 3" xfId="5230" xr:uid="{00000000-0005-0000-0000-0000B5190000}"/>
    <cellStyle name="Normal 5 3 3 2 4 3 2" xfId="13659" xr:uid="{8C4306C0-A905-435A-AFB1-74C0F29708C3}"/>
    <cellStyle name="Normal 5 3 3 2 4 3 3" xfId="26292" xr:uid="{319F480A-E689-43F4-AF06-48464804A43B}"/>
    <cellStyle name="Normal 5 3 3 2 4 4" xfId="9441" xr:uid="{4AD7CC95-96D7-4AB1-A06B-AC564CFE9A34}"/>
    <cellStyle name="Normal 5 3 3 2 4 4 2" xfId="22081" xr:uid="{17D7363B-7D69-458C-AA74-B6A314B0E942}"/>
    <cellStyle name="Normal 5 3 3 2 4 5" xfId="17870" xr:uid="{9AE63307-5DE1-494D-9F5F-0F45494C3B67}"/>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4EAE71AD-3C78-4400-A722-89A30F629191}"/>
    <cellStyle name="Normal 5 3 3 2 5 2 2 3" xfId="28850" xr:uid="{E0C058DB-CA39-46A0-AAAA-8D2AEABF1DCB}"/>
    <cellStyle name="Normal 5 3 3 2 5 2 3" xfId="11999" xr:uid="{465A7B6E-813D-48E7-B2E6-13B033C446D3}"/>
    <cellStyle name="Normal 5 3 3 2 5 2 3 2" xfId="24639" xr:uid="{8031BA55-FBB6-415D-9B0D-1D100DC49149}"/>
    <cellStyle name="Normal 5 3 3 2 5 2 4" xfId="20428" xr:uid="{0B0CBDF2-DE64-4360-9C07-82ADFC8FFB1E}"/>
    <cellStyle name="Normal 5 3 3 2 5 3" xfId="5643" xr:uid="{00000000-0005-0000-0000-0000B9190000}"/>
    <cellStyle name="Normal 5 3 3 2 5 3 2" xfId="14072" xr:uid="{D47854A1-6223-4D28-A30A-99BE9060DEA9}"/>
    <cellStyle name="Normal 5 3 3 2 5 3 3" xfId="26705" xr:uid="{7A4AE873-BCF6-4A81-AD52-25E16F3D1DE4}"/>
    <cellStyle name="Normal 5 3 3 2 5 4" xfId="9854" xr:uid="{4BBD8A1F-4B36-4B7B-BCA1-878F1EC13D8D}"/>
    <cellStyle name="Normal 5 3 3 2 5 4 2" xfId="22494" xr:uid="{EA5AC373-B4E9-464E-8E08-904C59D76073}"/>
    <cellStyle name="Normal 5 3 3 2 5 5" xfId="18283" xr:uid="{05BA219E-62C1-4A46-A208-3591A5E6A9E8}"/>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A3BFC275-7E6C-4F95-BB28-7FC01473C3A9}"/>
    <cellStyle name="Normal 5 3 3 2 6 2 2 3" xfId="29263" xr:uid="{39D5F4EE-8FA1-4131-A06F-A68D0A95BEC3}"/>
    <cellStyle name="Normal 5 3 3 2 6 2 3" xfId="12412" xr:uid="{4F3C349C-AD6E-4905-8FE1-711310FC1B1E}"/>
    <cellStyle name="Normal 5 3 3 2 6 2 3 2" xfId="25052" xr:uid="{BC5BCFBE-A380-4D36-925D-57FED5803EB5}"/>
    <cellStyle name="Normal 5 3 3 2 6 2 4" xfId="20841" xr:uid="{752D838B-9DFD-461A-A2BF-DC917C0EEED3}"/>
    <cellStyle name="Normal 5 3 3 2 6 3" xfId="6056" xr:uid="{00000000-0005-0000-0000-0000BD190000}"/>
    <cellStyle name="Normal 5 3 3 2 6 3 2" xfId="14485" xr:uid="{95B41B8E-A314-4F35-8CC7-293D9BC96AE1}"/>
    <cellStyle name="Normal 5 3 3 2 6 3 3" xfId="27118" xr:uid="{F2FB0531-DC24-4426-81E6-03865562B8EA}"/>
    <cellStyle name="Normal 5 3 3 2 6 4" xfId="10267" xr:uid="{320476A0-4DEA-4A6E-9999-355F26998C24}"/>
    <cellStyle name="Normal 5 3 3 2 6 4 2" xfId="22907" xr:uid="{0210C2E9-B220-4298-9AAA-7D7A54B790A2}"/>
    <cellStyle name="Normal 5 3 3 2 6 5" xfId="18696" xr:uid="{97373D8E-CDF2-427A-9CA6-CB414161A361}"/>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AC10953F-B38F-4165-9C02-15655A267A78}"/>
    <cellStyle name="Normal 5 3 3 2 7 2 2 3" xfId="29676" xr:uid="{B25EDF1A-8EF9-4D00-854C-B22F80E5D6EC}"/>
    <cellStyle name="Normal 5 3 3 2 7 2 3" xfId="12825" xr:uid="{7AF18A5E-2B7D-4EAE-BE0C-223B2023AD12}"/>
    <cellStyle name="Normal 5 3 3 2 7 2 3 2" xfId="25465" xr:uid="{62935701-7D25-49E3-B050-DC194C62C47A}"/>
    <cellStyle name="Normal 5 3 3 2 7 2 4" xfId="21254" xr:uid="{0EB53321-2DBE-48AC-B7BD-ECA22A813AE5}"/>
    <cellStyle name="Normal 5 3 3 2 7 3" xfId="6469" xr:uid="{00000000-0005-0000-0000-0000C1190000}"/>
    <cellStyle name="Normal 5 3 3 2 7 3 2" xfId="14898" xr:uid="{A01F1DD3-2D01-453A-9C15-D089A25C73BD}"/>
    <cellStyle name="Normal 5 3 3 2 7 3 3" xfId="27531" xr:uid="{BBFD79B1-3086-4711-BC56-4F8C2C1C30E2}"/>
    <cellStyle name="Normal 5 3 3 2 7 4" xfId="10680" xr:uid="{BA862813-5427-4C8C-AD30-ACAB999BEFB9}"/>
    <cellStyle name="Normal 5 3 3 2 7 4 2" xfId="23320" xr:uid="{15D65204-4741-4887-B0B7-D5AFCDE75618}"/>
    <cellStyle name="Normal 5 3 3 2 7 5" xfId="19109" xr:uid="{3B1D4E1B-67B0-4148-AE30-61461F898D07}"/>
    <cellStyle name="Normal 5 3 3 2 8" xfId="2597" xr:uid="{00000000-0005-0000-0000-0000C2190000}"/>
    <cellStyle name="Normal 5 3 3 2 8 2" xfId="6882" xr:uid="{00000000-0005-0000-0000-0000C3190000}"/>
    <cellStyle name="Normal 5 3 3 2 8 2 2" xfId="15311" xr:uid="{00A970EF-B422-439C-9CB1-BD94DA1D1E19}"/>
    <cellStyle name="Normal 5 3 3 2 8 2 3" xfId="27944" xr:uid="{5248CE76-900C-498B-B9C0-0BFD7EFE0E21}"/>
    <cellStyle name="Normal 5 3 3 2 8 3" xfId="11093" xr:uid="{41720EEF-E480-42D5-B100-7466094DA332}"/>
    <cellStyle name="Normal 5 3 3 2 8 3 2" xfId="23733" xr:uid="{DEB83E61-741F-444F-9B36-318614AC07B0}"/>
    <cellStyle name="Normal 5 3 3 2 8 4" xfId="19522" xr:uid="{97DADBEA-81EC-4F03-A486-1C3D8C674BF4}"/>
    <cellStyle name="Normal 5 3 3 2 9" xfId="4817" xr:uid="{00000000-0005-0000-0000-0000C4190000}"/>
    <cellStyle name="Normal 5 3 3 2 9 2" xfId="13246" xr:uid="{A9130823-DFE2-4A98-8520-98E8B673DEE3}"/>
    <cellStyle name="Normal 5 3 3 2 9 3" xfId="25879" xr:uid="{40E1C706-41ED-4030-A6D5-32329223760A}"/>
    <cellStyle name="Normal 5 3 3 3" xfId="446" xr:uid="{00000000-0005-0000-0000-0000C5190000}"/>
    <cellStyle name="Normal 5 3 3 3 10" xfId="17461" xr:uid="{C21B6948-4E8A-4218-AA74-2EB89A2939ED}"/>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109C62B2-E424-42B2-89BB-3930545962B3}"/>
    <cellStyle name="Normal 5 3 3 3 2 2 2 2 3" xfId="28442" xr:uid="{41ED8168-93EB-4FC1-84A7-D7F205B6D469}"/>
    <cellStyle name="Normal 5 3 3 3 2 2 2 3" xfId="11591" xr:uid="{830091D5-ABAD-44C4-A4CF-D4CCEC320AD4}"/>
    <cellStyle name="Normal 5 3 3 3 2 2 2 3 2" xfId="24231" xr:uid="{B95F6A66-6227-4C64-9C50-FC4D975C237B}"/>
    <cellStyle name="Normal 5 3 3 3 2 2 2 4" xfId="20020" xr:uid="{A13F259C-D47C-489D-9EFB-6C9F31405CEA}"/>
    <cellStyle name="Normal 5 3 3 3 2 2 3" xfId="5235" xr:uid="{00000000-0005-0000-0000-0000CA190000}"/>
    <cellStyle name="Normal 5 3 3 3 2 2 3 2" xfId="13664" xr:uid="{979B8A48-9BAE-4276-992F-C42372E16C1D}"/>
    <cellStyle name="Normal 5 3 3 3 2 2 3 3" xfId="26297" xr:uid="{AFBE4068-DE54-4B8A-B108-143D310AB619}"/>
    <cellStyle name="Normal 5 3 3 3 2 2 4" xfId="9446" xr:uid="{44222AFC-6099-4600-95F9-3B06EC7978A9}"/>
    <cellStyle name="Normal 5 3 3 3 2 2 4 2" xfId="22086" xr:uid="{7FB3F1DC-9477-4D72-9A8A-60726A3C8C4C}"/>
    <cellStyle name="Normal 5 3 3 3 2 2 5" xfId="17875" xr:uid="{67DA25FD-7D5D-41B3-A630-2E49BD034A65}"/>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4638EFBE-CC42-4B29-97AB-92B21DF99102}"/>
    <cellStyle name="Normal 5 3 3 3 2 3 2 2 3" xfId="28855" xr:uid="{1E036271-4899-4F66-A458-41FA4F47C9B5}"/>
    <cellStyle name="Normal 5 3 3 3 2 3 2 3" xfId="12004" xr:uid="{07933365-2F19-4E0D-BCF9-900E77A93381}"/>
    <cellStyle name="Normal 5 3 3 3 2 3 2 3 2" xfId="24644" xr:uid="{A7ED50DB-579D-4CD5-9CCC-290048A10A3F}"/>
    <cellStyle name="Normal 5 3 3 3 2 3 2 4" xfId="20433" xr:uid="{EB6ABEE2-81B9-4AE6-BE77-FAC9588B8EB5}"/>
    <cellStyle name="Normal 5 3 3 3 2 3 3" xfId="5648" xr:uid="{00000000-0005-0000-0000-0000CE190000}"/>
    <cellStyle name="Normal 5 3 3 3 2 3 3 2" xfId="14077" xr:uid="{6A18FB7A-7952-429A-AF84-015887A566D1}"/>
    <cellStyle name="Normal 5 3 3 3 2 3 3 3" xfId="26710" xr:uid="{E1A8832E-E9B1-45A6-A873-7843712405C6}"/>
    <cellStyle name="Normal 5 3 3 3 2 3 4" xfId="9859" xr:uid="{01D877B8-EBB5-465D-8E59-9D983D54CFB2}"/>
    <cellStyle name="Normal 5 3 3 3 2 3 4 2" xfId="22499" xr:uid="{5F5A3B1F-8D99-4FBE-AE8A-2C140C726AB4}"/>
    <cellStyle name="Normal 5 3 3 3 2 3 5" xfId="18288" xr:uid="{0F17C6DE-032F-4228-B972-A8F14511C6E9}"/>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53982B38-EFAD-4A67-B866-276A261B1EFE}"/>
    <cellStyle name="Normal 5 3 3 3 2 4 2 2 3" xfId="29268" xr:uid="{7A72C41A-CF47-4304-B39C-79828F703688}"/>
    <cellStyle name="Normal 5 3 3 3 2 4 2 3" xfId="12417" xr:uid="{19893A20-8EBB-499B-9B0F-BA2735207C26}"/>
    <cellStyle name="Normal 5 3 3 3 2 4 2 3 2" xfId="25057" xr:uid="{F1C28235-AF5A-4EF9-B18F-6357E16BCEF8}"/>
    <cellStyle name="Normal 5 3 3 3 2 4 2 4" xfId="20846" xr:uid="{1B41BDC9-574E-4F57-A560-F9C8B056BB24}"/>
    <cellStyle name="Normal 5 3 3 3 2 4 3" xfId="6061" xr:uid="{00000000-0005-0000-0000-0000D2190000}"/>
    <cellStyle name="Normal 5 3 3 3 2 4 3 2" xfId="14490" xr:uid="{ACB4B247-DF1A-47E5-9521-414092373E4A}"/>
    <cellStyle name="Normal 5 3 3 3 2 4 3 3" xfId="27123" xr:uid="{605C097E-5614-4DBC-80B9-E30693876371}"/>
    <cellStyle name="Normal 5 3 3 3 2 4 4" xfId="10272" xr:uid="{DF941C8C-C1C5-4D13-B173-7359DFBB3616}"/>
    <cellStyle name="Normal 5 3 3 3 2 4 4 2" xfId="22912" xr:uid="{548EB948-9A73-4947-A714-5BC7936663D7}"/>
    <cellStyle name="Normal 5 3 3 3 2 4 5" xfId="18701" xr:uid="{0845858A-4985-4110-96EE-0F054F0F56D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477EC503-89F5-425F-A32C-E1D037BD05B8}"/>
    <cellStyle name="Normal 5 3 3 3 2 5 2 2 3" xfId="29681" xr:uid="{970BD480-2B73-471C-BAD5-0644E302048E}"/>
    <cellStyle name="Normal 5 3 3 3 2 5 2 3" xfId="12830" xr:uid="{1569B74C-5BBC-48A7-9587-09E7FAA059DD}"/>
    <cellStyle name="Normal 5 3 3 3 2 5 2 3 2" xfId="25470" xr:uid="{7FFFF365-4A47-4F33-803E-A7E1CF46125A}"/>
    <cellStyle name="Normal 5 3 3 3 2 5 2 4" xfId="21259" xr:uid="{66872E0D-3F19-45D6-B0AA-0D9D9B0D340B}"/>
    <cellStyle name="Normal 5 3 3 3 2 5 3" xfId="6474" xr:uid="{00000000-0005-0000-0000-0000D6190000}"/>
    <cellStyle name="Normal 5 3 3 3 2 5 3 2" xfId="14903" xr:uid="{A9F3C400-C4CE-4130-8052-9C55AF6647D6}"/>
    <cellStyle name="Normal 5 3 3 3 2 5 3 3" xfId="27536" xr:uid="{353DE9BF-2FA7-4122-AC4F-0E9F6F733E60}"/>
    <cellStyle name="Normal 5 3 3 3 2 5 4" xfId="10685" xr:uid="{7E8ABFE8-BC15-44F1-AFC6-9620E56A3872}"/>
    <cellStyle name="Normal 5 3 3 3 2 5 4 2" xfId="23325" xr:uid="{6D46674A-BE98-4A33-A68A-3FB748D02C3A}"/>
    <cellStyle name="Normal 5 3 3 3 2 5 5" xfId="19114" xr:uid="{1A096635-AF1E-4CC2-BDDE-7703B3CB0351}"/>
    <cellStyle name="Normal 5 3 3 3 2 6" xfId="2602" xr:uid="{00000000-0005-0000-0000-0000D7190000}"/>
    <cellStyle name="Normal 5 3 3 3 2 6 2" xfId="6887" xr:uid="{00000000-0005-0000-0000-0000D8190000}"/>
    <cellStyle name="Normal 5 3 3 3 2 6 2 2" xfId="15316" xr:uid="{62F6AE1E-71B1-47D2-A65E-684C38D02E66}"/>
    <cellStyle name="Normal 5 3 3 3 2 6 2 3" xfId="27949" xr:uid="{110A7230-5E3E-47E8-9FF2-DD12CF456C3E}"/>
    <cellStyle name="Normal 5 3 3 3 2 6 3" xfId="11098" xr:uid="{4B0D2E74-02F5-4458-838A-A3D20251AB80}"/>
    <cellStyle name="Normal 5 3 3 3 2 6 3 2" xfId="23738" xr:uid="{DD920229-A615-4863-B3E2-9D16DEEBA776}"/>
    <cellStyle name="Normal 5 3 3 3 2 6 4" xfId="19527" xr:uid="{DF8FC9B1-65BD-4512-9ADD-95CE79DE5322}"/>
    <cellStyle name="Normal 5 3 3 3 2 7" xfId="4822" xr:uid="{00000000-0005-0000-0000-0000D9190000}"/>
    <cellStyle name="Normal 5 3 3 3 2 7 2" xfId="13251" xr:uid="{3FA56294-6F77-4F26-91D4-31BD51F23EF1}"/>
    <cellStyle name="Normal 5 3 3 3 2 7 3" xfId="25884" xr:uid="{46F85536-BF56-4D8B-8EBA-68AB6CC28BA5}"/>
    <cellStyle name="Normal 5 3 3 3 2 8" xfId="9033" xr:uid="{F339497B-ED3C-46BB-91F1-DA3DB7B4C949}"/>
    <cellStyle name="Normal 5 3 3 3 2 8 2" xfId="21673" xr:uid="{347E6C72-79AE-42FE-9397-A7573C43D16A}"/>
    <cellStyle name="Normal 5 3 3 3 2 9" xfId="17462" xr:uid="{47806FD2-B2FB-47C9-BB1B-6BB9F147F7CB}"/>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BC11A640-81B6-4388-9085-A29776C91973}"/>
    <cellStyle name="Normal 5 3 3 3 3 2 2 3" xfId="28441" xr:uid="{ED8C7E77-6A67-481D-AE0A-00A0D768E3FA}"/>
    <cellStyle name="Normal 5 3 3 3 3 2 3" xfId="11590" xr:uid="{335DA7A2-E100-47D8-ACD1-C8BB7E533104}"/>
    <cellStyle name="Normal 5 3 3 3 3 2 3 2" xfId="24230" xr:uid="{A15CCCC5-20A2-400F-B7A3-7091FDBE4FC3}"/>
    <cellStyle name="Normal 5 3 3 3 3 2 4" xfId="20019" xr:uid="{A796A2C1-0129-4253-A4E4-D9F6494BD476}"/>
    <cellStyle name="Normal 5 3 3 3 3 3" xfId="5234" xr:uid="{00000000-0005-0000-0000-0000DD190000}"/>
    <cellStyle name="Normal 5 3 3 3 3 3 2" xfId="13663" xr:uid="{4B55C392-0128-49EC-9545-359B61F316CB}"/>
    <cellStyle name="Normal 5 3 3 3 3 3 3" xfId="26296" xr:uid="{56CB898D-2F7C-49A0-9C16-52095AEAD2E3}"/>
    <cellStyle name="Normal 5 3 3 3 3 4" xfId="9445" xr:uid="{A6D82E63-6BA3-4C0B-B408-1C9DB6E5A725}"/>
    <cellStyle name="Normal 5 3 3 3 3 4 2" xfId="22085" xr:uid="{08016419-F395-4164-B5FC-60FED197D0C0}"/>
    <cellStyle name="Normal 5 3 3 3 3 5" xfId="17874" xr:uid="{75A40A5E-28C5-4DDF-8135-D14FA28F609A}"/>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9FCF6AA5-D989-435B-9127-C256F77A91E8}"/>
    <cellStyle name="Normal 5 3 3 3 4 2 2 3" xfId="28854" xr:uid="{F9ACED6D-95F4-428C-9D53-455B680A4C63}"/>
    <cellStyle name="Normal 5 3 3 3 4 2 3" xfId="12003" xr:uid="{F5D2AD30-042F-4894-9389-9B6FEC2AF14C}"/>
    <cellStyle name="Normal 5 3 3 3 4 2 3 2" xfId="24643" xr:uid="{FE16D259-5563-4901-9863-188112E7EE69}"/>
    <cellStyle name="Normal 5 3 3 3 4 2 4" xfId="20432" xr:uid="{9E3FFE32-46E1-420F-9AA1-EBBAA2BE3D87}"/>
    <cellStyle name="Normal 5 3 3 3 4 3" xfId="5647" xr:uid="{00000000-0005-0000-0000-0000E1190000}"/>
    <cellStyle name="Normal 5 3 3 3 4 3 2" xfId="14076" xr:uid="{70D39458-7157-4FA1-9BFA-10A9031D03F6}"/>
    <cellStyle name="Normal 5 3 3 3 4 3 3" xfId="26709" xr:uid="{CB1A3F5F-9063-4F34-B690-80C2492EC2B1}"/>
    <cellStyle name="Normal 5 3 3 3 4 4" xfId="9858" xr:uid="{98D268FE-CA70-479B-8E72-9EB7BA3B4BAB}"/>
    <cellStyle name="Normal 5 3 3 3 4 4 2" xfId="22498" xr:uid="{3A4D05DD-6A4A-46D3-B1A4-234EEC693E5B}"/>
    <cellStyle name="Normal 5 3 3 3 4 5" xfId="18287" xr:uid="{D422EE6F-9709-4CC8-80E6-5A5D35262CF0}"/>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CD7BE5B3-D6D8-42AF-9DCF-14D0CF622ADC}"/>
    <cellStyle name="Normal 5 3 3 3 5 2 2 3" xfId="29267" xr:uid="{05608076-C68D-403F-83D4-0B1100DA2135}"/>
    <cellStyle name="Normal 5 3 3 3 5 2 3" xfId="12416" xr:uid="{223DBA21-FBF6-4523-B00E-E0C66F714973}"/>
    <cellStyle name="Normal 5 3 3 3 5 2 3 2" xfId="25056" xr:uid="{E8174472-7582-434E-8017-E814B6C93532}"/>
    <cellStyle name="Normal 5 3 3 3 5 2 4" xfId="20845" xr:uid="{EC08B3C7-D9D7-449D-946A-CB12FDFB2767}"/>
    <cellStyle name="Normal 5 3 3 3 5 3" xfId="6060" xr:uid="{00000000-0005-0000-0000-0000E5190000}"/>
    <cellStyle name="Normal 5 3 3 3 5 3 2" xfId="14489" xr:uid="{0A81723C-D81B-4B19-890A-78E7D48A81AC}"/>
    <cellStyle name="Normal 5 3 3 3 5 3 3" xfId="27122" xr:uid="{2918E16C-2AF7-4EC4-B549-1EB336E2FCEA}"/>
    <cellStyle name="Normal 5 3 3 3 5 4" xfId="10271" xr:uid="{A05A0000-AE39-497E-B573-DD9303DE3723}"/>
    <cellStyle name="Normal 5 3 3 3 5 4 2" xfId="22911" xr:uid="{1528812A-A837-4FCA-9936-8F372D817CAA}"/>
    <cellStyle name="Normal 5 3 3 3 5 5" xfId="18700" xr:uid="{30EA03C3-22DF-45D3-852B-3F2B88F75FD2}"/>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9B2B9420-BB4D-40FF-B3F1-15CBC06D8390}"/>
    <cellStyle name="Normal 5 3 3 3 6 2 2 3" xfId="29680" xr:uid="{A566B89C-2C03-496B-9A5A-0CC00B21495C}"/>
    <cellStyle name="Normal 5 3 3 3 6 2 3" xfId="12829" xr:uid="{293B0E62-0E17-4BEE-A5B6-BDD4FC68F1BC}"/>
    <cellStyle name="Normal 5 3 3 3 6 2 3 2" xfId="25469" xr:uid="{064AD9CA-D0A8-42B7-A2B0-F744776E71E6}"/>
    <cellStyle name="Normal 5 3 3 3 6 2 4" xfId="21258" xr:uid="{4A9C2C16-4755-45C8-8893-6C5C5614E4C5}"/>
    <cellStyle name="Normal 5 3 3 3 6 3" xfId="6473" xr:uid="{00000000-0005-0000-0000-0000E9190000}"/>
    <cellStyle name="Normal 5 3 3 3 6 3 2" xfId="14902" xr:uid="{7D1E97A4-29B7-47B0-8B86-C4EBE098C761}"/>
    <cellStyle name="Normal 5 3 3 3 6 3 3" xfId="27535" xr:uid="{402F66BE-5043-451E-AB23-4B39A5EAC2C1}"/>
    <cellStyle name="Normal 5 3 3 3 6 4" xfId="10684" xr:uid="{D8A95628-09D5-4B61-876A-B14B076A0098}"/>
    <cellStyle name="Normal 5 3 3 3 6 4 2" xfId="23324" xr:uid="{861694C8-C9B3-42F7-BADF-4C55DCD39FE6}"/>
    <cellStyle name="Normal 5 3 3 3 6 5" xfId="19113" xr:uid="{6CF9F201-5EE9-4A10-9033-66D6F38886A1}"/>
    <cellStyle name="Normal 5 3 3 3 7" xfId="2601" xr:uid="{00000000-0005-0000-0000-0000EA190000}"/>
    <cellStyle name="Normal 5 3 3 3 7 2" xfId="6886" xr:uid="{00000000-0005-0000-0000-0000EB190000}"/>
    <cellStyle name="Normal 5 3 3 3 7 2 2" xfId="15315" xr:uid="{B4FEDCD3-FC3E-4EF9-B57F-0673A67C7337}"/>
    <cellStyle name="Normal 5 3 3 3 7 2 3" xfId="27948" xr:uid="{A9C01204-4C08-4508-A2D4-D8B09E2AB8D4}"/>
    <cellStyle name="Normal 5 3 3 3 7 3" xfId="11097" xr:uid="{339FEBC3-6115-4AC8-A3A4-86A598A87D3E}"/>
    <cellStyle name="Normal 5 3 3 3 7 3 2" xfId="23737" xr:uid="{D51955C0-1127-4FF3-B855-370334E94B96}"/>
    <cellStyle name="Normal 5 3 3 3 7 4" xfId="19526" xr:uid="{DDA4D228-EE5A-4F97-BE8B-321768754AFE}"/>
    <cellStyle name="Normal 5 3 3 3 8" xfId="4821" xr:uid="{00000000-0005-0000-0000-0000EC190000}"/>
    <cellStyle name="Normal 5 3 3 3 8 2" xfId="13250" xr:uid="{3976D376-4565-449D-9201-679EBE60213D}"/>
    <cellStyle name="Normal 5 3 3 3 8 3" xfId="25883" xr:uid="{1517610E-CD5A-45A3-96F2-ED28B59FB6BB}"/>
    <cellStyle name="Normal 5 3 3 3 9" xfId="9032" xr:uid="{A970BA64-9F47-4922-B9CD-5FFB1E9CA8CF}"/>
    <cellStyle name="Normal 5 3 3 3 9 2" xfId="21672" xr:uid="{72BA5823-CE82-47BC-9C22-7AC1EAC360A2}"/>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DAC95A87-56E5-48F0-92B4-AEAB41959401}"/>
    <cellStyle name="Normal 5 3 3 4 2 2 2 3" xfId="28443" xr:uid="{7C78A77D-0699-4A6A-B5AE-84F874EC60FE}"/>
    <cellStyle name="Normal 5 3 3 4 2 2 3" xfId="11592" xr:uid="{656A91C2-CE05-4540-A18A-987A416D177A}"/>
    <cellStyle name="Normal 5 3 3 4 2 2 3 2" xfId="24232" xr:uid="{6BCACD64-0BD8-496C-A298-13FD26B7567A}"/>
    <cellStyle name="Normal 5 3 3 4 2 2 4" xfId="20021" xr:uid="{28BE4A6A-10E1-4547-A5BB-CDEC51212005}"/>
    <cellStyle name="Normal 5 3 3 4 2 3" xfId="5236" xr:uid="{00000000-0005-0000-0000-0000F1190000}"/>
    <cellStyle name="Normal 5 3 3 4 2 3 2" xfId="13665" xr:uid="{E2CBDECA-697C-49D1-B33C-BACAF5D970BC}"/>
    <cellStyle name="Normal 5 3 3 4 2 3 3" xfId="26298" xr:uid="{9D616A3F-C5D9-4B65-8031-121AB86773A1}"/>
    <cellStyle name="Normal 5 3 3 4 2 4" xfId="9447" xr:uid="{10BBA248-4638-4E5B-AF05-CC5E39751A4C}"/>
    <cellStyle name="Normal 5 3 3 4 2 4 2" xfId="22087" xr:uid="{7753B843-A5EF-44A6-BA4D-8C6B26A42119}"/>
    <cellStyle name="Normal 5 3 3 4 2 5" xfId="17876" xr:uid="{AD6F878F-2A91-421E-A73A-A93F24E87F64}"/>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59FFFBDF-ECEB-47EE-9890-74E72AD7FE90}"/>
    <cellStyle name="Normal 5 3 3 4 3 2 2 3" xfId="28856" xr:uid="{036879CE-40D1-42CD-B46D-8C4C2DC2AEEA}"/>
    <cellStyle name="Normal 5 3 3 4 3 2 3" xfId="12005" xr:uid="{F88D74D1-C282-4611-ACB7-14F56E6B6C78}"/>
    <cellStyle name="Normal 5 3 3 4 3 2 3 2" xfId="24645" xr:uid="{331E2C3C-1A78-4BEB-98F2-E469E2E81974}"/>
    <cellStyle name="Normal 5 3 3 4 3 2 4" xfId="20434" xr:uid="{214DE5F5-090F-4FA5-9C19-8F8982F7C6C7}"/>
    <cellStyle name="Normal 5 3 3 4 3 3" xfId="5649" xr:uid="{00000000-0005-0000-0000-0000F5190000}"/>
    <cellStyle name="Normal 5 3 3 4 3 3 2" xfId="14078" xr:uid="{94FEFBF0-F885-4773-B0A6-4907DA111165}"/>
    <cellStyle name="Normal 5 3 3 4 3 3 3" xfId="26711" xr:uid="{E64BAD66-57F5-4F1E-BE0F-40D70EED6B55}"/>
    <cellStyle name="Normal 5 3 3 4 3 4" xfId="9860" xr:uid="{297DD67F-8FD9-4FCE-B3BA-0B1CB0882E31}"/>
    <cellStyle name="Normal 5 3 3 4 3 4 2" xfId="22500" xr:uid="{2F4F03D6-D20D-45F3-8DB3-799DD7B0EE46}"/>
    <cellStyle name="Normal 5 3 3 4 3 5" xfId="18289" xr:uid="{A2B21DF5-7EFB-4DC0-A4D6-98A306362F03}"/>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2F2E82BC-A137-4B46-9741-B51806F5AAE8}"/>
    <cellStyle name="Normal 5 3 3 4 4 2 2 3" xfId="29269" xr:uid="{74127891-B394-4FC3-9CDC-17CF0C4BD69C}"/>
    <cellStyle name="Normal 5 3 3 4 4 2 3" xfId="12418" xr:uid="{73CEC553-8032-4BDB-8F9A-CC9C1F60CD75}"/>
    <cellStyle name="Normal 5 3 3 4 4 2 3 2" xfId="25058" xr:uid="{E62FF620-2034-489D-967C-ECE47E4098F2}"/>
    <cellStyle name="Normal 5 3 3 4 4 2 4" xfId="20847" xr:uid="{7399C8F8-BE7A-42D1-93A3-35EE3EA388C6}"/>
    <cellStyle name="Normal 5 3 3 4 4 3" xfId="6062" xr:uid="{00000000-0005-0000-0000-0000F9190000}"/>
    <cellStyle name="Normal 5 3 3 4 4 3 2" xfId="14491" xr:uid="{60BC5F2B-05F9-418D-86D4-7414A65B4BE1}"/>
    <cellStyle name="Normal 5 3 3 4 4 3 3" xfId="27124" xr:uid="{70828933-E8E8-46B5-9F83-2DA592ED7B6E}"/>
    <cellStyle name="Normal 5 3 3 4 4 4" xfId="10273" xr:uid="{9FFA1EDD-0C12-4AC0-ACF6-9A60972F7BAB}"/>
    <cellStyle name="Normal 5 3 3 4 4 4 2" xfId="22913" xr:uid="{071C56BF-8EE6-4646-AE6C-66CBFFDB7A28}"/>
    <cellStyle name="Normal 5 3 3 4 4 5" xfId="18702" xr:uid="{6DAC7AA5-4620-4B00-B61E-9EC2504D3C5A}"/>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8A82DACD-8896-4DDD-9DD7-5A282EFE5B3E}"/>
    <cellStyle name="Normal 5 3 3 4 5 2 2 3" xfId="29682" xr:uid="{3CCAA284-A115-4DCD-8462-8162CBA10BC8}"/>
    <cellStyle name="Normal 5 3 3 4 5 2 3" xfId="12831" xr:uid="{C2CA2152-7E93-40B5-8896-669521BCB9F6}"/>
    <cellStyle name="Normal 5 3 3 4 5 2 3 2" xfId="25471" xr:uid="{BA8FE181-F1E6-4806-9201-6C4574417579}"/>
    <cellStyle name="Normal 5 3 3 4 5 2 4" xfId="21260" xr:uid="{BB78965F-AC93-414C-86A8-DB08A529503B}"/>
    <cellStyle name="Normal 5 3 3 4 5 3" xfId="6475" xr:uid="{00000000-0005-0000-0000-0000FD190000}"/>
    <cellStyle name="Normal 5 3 3 4 5 3 2" xfId="14904" xr:uid="{4FED6633-8A71-4CB0-9F96-533341E29D28}"/>
    <cellStyle name="Normal 5 3 3 4 5 3 3" xfId="27537" xr:uid="{53CA72C5-326C-4DC0-9351-A6505E922069}"/>
    <cellStyle name="Normal 5 3 3 4 5 4" xfId="10686" xr:uid="{24FB03A1-EF50-4A27-B7B5-95D13A906FE9}"/>
    <cellStyle name="Normal 5 3 3 4 5 4 2" xfId="23326" xr:uid="{FA2B353A-ECB6-4A2F-B88F-F2C25A1CD3E7}"/>
    <cellStyle name="Normal 5 3 3 4 5 5" xfId="19115" xr:uid="{19CB9158-CD9C-4E07-936C-B9F390AD46E9}"/>
    <cellStyle name="Normal 5 3 3 4 6" xfId="2603" xr:uid="{00000000-0005-0000-0000-0000FE190000}"/>
    <cellStyle name="Normal 5 3 3 4 6 2" xfId="6888" xr:uid="{00000000-0005-0000-0000-0000FF190000}"/>
    <cellStyle name="Normal 5 3 3 4 6 2 2" xfId="15317" xr:uid="{4BF876EC-3FB1-481F-8FEC-35B96EEE1CD5}"/>
    <cellStyle name="Normal 5 3 3 4 6 2 3" xfId="27950" xr:uid="{25923B7C-58B5-4942-B328-17F32BA21BEC}"/>
    <cellStyle name="Normal 5 3 3 4 6 3" xfId="11099" xr:uid="{694BFC2B-E585-4C3B-B06F-6F73CAC376DF}"/>
    <cellStyle name="Normal 5 3 3 4 6 3 2" xfId="23739" xr:uid="{9BB0EB95-5A9C-4D26-810D-D3EB0707A34D}"/>
    <cellStyle name="Normal 5 3 3 4 6 4" xfId="19528" xr:uid="{80B9346B-0F00-4C6E-9118-9943FD14A099}"/>
    <cellStyle name="Normal 5 3 3 4 7" xfId="4823" xr:uid="{00000000-0005-0000-0000-0000001A0000}"/>
    <cellStyle name="Normal 5 3 3 4 7 2" xfId="13252" xr:uid="{60B4B4BA-B3AB-4765-96E1-8BA821A0FBD6}"/>
    <cellStyle name="Normal 5 3 3 4 7 3" xfId="25885" xr:uid="{9D91592D-7996-40CD-875E-6FA1C4D72338}"/>
    <cellStyle name="Normal 5 3 3 4 8" xfId="9034" xr:uid="{10712106-506B-43CA-9497-00FBEB2D48BF}"/>
    <cellStyle name="Normal 5 3 3 4 8 2" xfId="21674" xr:uid="{8F0F1A3C-4585-47F2-958B-713107E3F81E}"/>
    <cellStyle name="Normal 5 3 3 4 9" xfId="17463" xr:uid="{430AD532-FDD0-478D-BB68-212BAADC22B9}"/>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5A731733-8C21-48C1-B5E8-9A6FD2F0AF4F}"/>
    <cellStyle name="Normal 5 3 3 5 2 2 3" xfId="28436" xr:uid="{47490071-A478-46CB-832C-7567ED301137}"/>
    <cellStyle name="Normal 5 3 3 5 2 3" xfId="11585" xr:uid="{4BA3E3A8-95FD-45CA-A21D-94B541FA47AC}"/>
    <cellStyle name="Normal 5 3 3 5 2 3 2" xfId="24225" xr:uid="{A3EF316E-CE0C-4E8E-8F98-CE3C4D2DC307}"/>
    <cellStyle name="Normal 5 3 3 5 2 4" xfId="20014" xr:uid="{C7B76833-6741-439B-B411-3EC53E8A33E7}"/>
    <cellStyle name="Normal 5 3 3 5 3" xfId="5229" xr:uid="{00000000-0005-0000-0000-0000041A0000}"/>
    <cellStyle name="Normal 5 3 3 5 3 2" xfId="13658" xr:uid="{D30ADEC7-0889-4CA4-96AD-0FCB0B637E93}"/>
    <cellStyle name="Normal 5 3 3 5 3 3" xfId="26291" xr:uid="{1C7DFAAC-7CDD-4F16-B7E8-0E9616B7EA7E}"/>
    <cellStyle name="Normal 5 3 3 5 4" xfId="9440" xr:uid="{61FEA9E7-7286-4091-BE61-730061E34DC2}"/>
    <cellStyle name="Normal 5 3 3 5 4 2" xfId="22080" xr:uid="{AD74B1F3-ABAF-4362-AA28-8E0DC57514B6}"/>
    <cellStyle name="Normal 5 3 3 5 5" xfId="17869" xr:uid="{124BB0BC-75D4-4017-9A7F-50ABD8D46E11}"/>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E2B90840-B1AD-4E28-9CBE-F01023169EE3}"/>
    <cellStyle name="Normal 5 3 3 6 2 2 3" xfId="28849" xr:uid="{75BBBC82-CFBC-4A29-8062-214329ACE6E6}"/>
    <cellStyle name="Normal 5 3 3 6 2 3" xfId="11998" xr:uid="{2F214874-E0DB-4431-8058-FC1F0E86DD2D}"/>
    <cellStyle name="Normal 5 3 3 6 2 3 2" xfId="24638" xr:uid="{FCE31867-0B02-4AA9-A327-3FF4BA656DF6}"/>
    <cellStyle name="Normal 5 3 3 6 2 4" xfId="20427" xr:uid="{84E4B590-EB04-4037-9E37-9675F0540925}"/>
    <cellStyle name="Normal 5 3 3 6 3" xfId="5642" xr:uid="{00000000-0005-0000-0000-0000081A0000}"/>
    <cellStyle name="Normal 5 3 3 6 3 2" xfId="14071" xr:uid="{DD2E1420-903F-4DCC-822B-6DCAB408B2C5}"/>
    <cellStyle name="Normal 5 3 3 6 3 3" xfId="26704" xr:uid="{ADD9F2CA-77E8-4D0A-8499-7704F6572CBF}"/>
    <cellStyle name="Normal 5 3 3 6 4" xfId="9853" xr:uid="{EA182CD8-92D5-454C-94CA-A99205443B82}"/>
    <cellStyle name="Normal 5 3 3 6 4 2" xfId="22493" xr:uid="{13C27595-6810-4FEB-882A-78557A3C33C8}"/>
    <cellStyle name="Normal 5 3 3 6 5" xfId="18282" xr:uid="{791D6F21-6978-44E4-86F6-DF869993086B}"/>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6C3D6FD0-156F-4662-ABBF-405F5B129C77}"/>
    <cellStyle name="Normal 5 3 3 7 2 2 3" xfId="29262" xr:uid="{81360923-7FA5-428F-A397-30D00AEAD741}"/>
    <cellStyle name="Normal 5 3 3 7 2 3" xfId="12411" xr:uid="{ADFE37A4-9973-4579-94D1-7D67E92B34C9}"/>
    <cellStyle name="Normal 5 3 3 7 2 3 2" xfId="25051" xr:uid="{096CB154-9CD2-4520-B22E-98AB66470019}"/>
    <cellStyle name="Normal 5 3 3 7 2 4" xfId="20840" xr:uid="{FD4C834E-8510-4370-B804-B1CEE5C3A5AA}"/>
    <cellStyle name="Normal 5 3 3 7 3" xfId="6055" xr:uid="{00000000-0005-0000-0000-00000C1A0000}"/>
    <cellStyle name="Normal 5 3 3 7 3 2" xfId="14484" xr:uid="{F8998920-8CE2-49A0-8C96-6090491A1E61}"/>
    <cellStyle name="Normal 5 3 3 7 3 3" xfId="27117" xr:uid="{4929880F-1D76-44B2-B1F1-B4F8F03120A1}"/>
    <cellStyle name="Normal 5 3 3 7 4" xfId="10266" xr:uid="{9733FD14-3960-495D-AD33-067DA36D8951}"/>
    <cellStyle name="Normal 5 3 3 7 4 2" xfId="22906" xr:uid="{2AF66ED3-A52F-41C1-84A8-517EF740DD73}"/>
    <cellStyle name="Normal 5 3 3 7 5" xfId="18695" xr:uid="{4A2EBA5E-D88D-4FA7-8459-30C046784FC1}"/>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8C0D003A-BD65-4736-ACE6-176B2D185461}"/>
    <cellStyle name="Normal 5 3 3 8 2 2 3" xfId="29675" xr:uid="{7121F725-AE64-407B-8E5B-275BC03519AD}"/>
    <cellStyle name="Normal 5 3 3 8 2 3" xfId="12824" xr:uid="{AB3B988B-41C7-4695-AD84-D03D680B8B5E}"/>
    <cellStyle name="Normal 5 3 3 8 2 3 2" xfId="25464" xr:uid="{4D0AA9F5-00FE-4815-B86E-62414B596840}"/>
    <cellStyle name="Normal 5 3 3 8 2 4" xfId="21253" xr:uid="{DEB26857-4158-444E-8913-3CF80B9D25AD}"/>
    <cellStyle name="Normal 5 3 3 8 3" xfId="6468" xr:uid="{00000000-0005-0000-0000-0000101A0000}"/>
    <cellStyle name="Normal 5 3 3 8 3 2" xfId="14897" xr:uid="{57213B28-3149-42AD-BA5C-B696320C2329}"/>
    <cellStyle name="Normal 5 3 3 8 3 3" xfId="27530" xr:uid="{77EC22E5-AD12-403B-9C95-C945230F2E6B}"/>
    <cellStyle name="Normal 5 3 3 8 4" xfId="10679" xr:uid="{43FBE91E-3261-40E3-9028-4C8009806426}"/>
    <cellStyle name="Normal 5 3 3 8 4 2" xfId="23319" xr:uid="{268B6D95-80E2-4CDC-8F43-B79B343DFE51}"/>
    <cellStyle name="Normal 5 3 3 8 5" xfId="19108" xr:uid="{B42BEA61-D9DD-40A8-A668-55B47A979E7E}"/>
    <cellStyle name="Normal 5 3 3 9" xfId="2596" xr:uid="{00000000-0005-0000-0000-0000111A0000}"/>
    <cellStyle name="Normal 5 3 3 9 2" xfId="6881" xr:uid="{00000000-0005-0000-0000-0000121A0000}"/>
    <cellStyle name="Normal 5 3 3 9 2 2" xfId="15310" xr:uid="{621DA328-812B-4CE7-9C37-E7582D5390DA}"/>
    <cellStyle name="Normal 5 3 3 9 2 3" xfId="27943" xr:uid="{1E63F716-850C-4DB7-901C-3DD7E160E9AB}"/>
    <cellStyle name="Normal 5 3 3 9 3" xfId="11092" xr:uid="{2976D990-76B3-4C6C-B02D-312D365D79D2}"/>
    <cellStyle name="Normal 5 3 3 9 3 2" xfId="23732" xr:uid="{0F8A2641-B400-41D4-8A6A-25B4F2D8ECF5}"/>
    <cellStyle name="Normal 5 3 3 9 4" xfId="19521" xr:uid="{C0EB8EDA-32F3-4827-A305-D1B4CD62D473}"/>
    <cellStyle name="Normal 5 3 4" xfId="449" xr:uid="{00000000-0005-0000-0000-0000131A0000}"/>
    <cellStyle name="Normal 5 3 4 10" xfId="9035" xr:uid="{5E4C4741-B020-4C26-A48B-3FFC4BFD0F9B}"/>
    <cellStyle name="Normal 5 3 4 10 2" xfId="21675" xr:uid="{053DC9A5-22F9-4B37-A1B5-837EEC47FA17}"/>
    <cellStyle name="Normal 5 3 4 11" xfId="17464" xr:uid="{7D0E43A8-F732-4041-9F57-1AF185B06F0C}"/>
    <cellStyle name="Normal 5 3 4 2" xfId="450" xr:uid="{00000000-0005-0000-0000-0000141A0000}"/>
    <cellStyle name="Normal 5 3 4 2 10" xfId="17465" xr:uid="{7A86CA45-7C96-4764-8518-1D0CF35E9261}"/>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5C85F58E-2EEE-43A1-8B7B-1683238A2260}"/>
    <cellStyle name="Normal 5 3 4 2 2 2 2 2 3" xfId="28446" xr:uid="{E4072212-F9F3-4EA0-883B-B735CC5F8AD7}"/>
    <cellStyle name="Normal 5 3 4 2 2 2 2 3" xfId="11595" xr:uid="{A48876B4-86CC-4BEA-9DEE-9A9E88C19EC1}"/>
    <cellStyle name="Normal 5 3 4 2 2 2 2 3 2" xfId="24235" xr:uid="{0277AEF5-29AF-4819-9D71-09695C676708}"/>
    <cellStyle name="Normal 5 3 4 2 2 2 2 4" xfId="20024" xr:uid="{CC7220F6-9EAE-4B5E-B38A-42E321D560E0}"/>
    <cellStyle name="Normal 5 3 4 2 2 2 3" xfId="5239" xr:uid="{00000000-0005-0000-0000-0000191A0000}"/>
    <cellStyle name="Normal 5 3 4 2 2 2 3 2" xfId="13668" xr:uid="{578B1169-B713-4DE4-8830-0CD38A886715}"/>
    <cellStyle name="Normal 5 3 4 2 2 2 3 3" xfId="26301" xr:uid="{2FDE6148-7BE1-404A-B5B0-EB4C17F1571E}"/>
    <cellStyle name="Normal 5 3 4 2 2 2 4" xfId="9450" xr:uid="{6F0EE52C-5A5D-46CF-BA57-BD1DFCA9CD48}"/>
    <cellStyle name="Normal 5 3 4 2 2 2 4 2" xfId="22090" xr:uid="{0DA4486A-AD58-42BA-8D18-06F8BFF260F1}"/>
    <cellStyle name="Normal 5 3 4 2 2 2 5" xfId="17879" xr:uid="{7D367762-4B57-4DA7-9064-028CEF43B84C}"/>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CF03F069-86AC-439D-8F7D-F0622D41E052}"/>
    <cellStyle name="Normal 5 3 4 2 2 3 2 2 3" xfId="28859" xr:uid="{550DBC7D-877E-4CE9-8F7E-6E2C6311DCA6}"/>
    <cellStyle name="Normal 5 3 4 2 2 3 2 3" xfId="12008" xr:uid="{A9ED083A-3C46-401A-AA2B-FD7CCBF02AAF}"/>
    <cellStyle name="Normal 5 3 4 2 2 3 2 3 2" xfId="24648" xr:uid="{EB35AA8D-4139-4399-975D-318D7C987320}"/>
    <cellStyle name="Normal 5 3 4 2 2 3 2 4" xfId="20437" xr:uid="{85C0E839-FBEF-4560-849E-71B6A0FBFE6D}"/>
    <cellStyle name="Normal 5 3 4 2 2 3 3" xfId="5652" xr:uid="{00000000-0005-0000-0000-00001D1A0000}"/>
    <cellStyle name="Normal 5 3 4 2 2 3 3 2" xfId="14081" xr:uid="{8AF30E7B-4F52-4CA7-896E-9910EBFC6178}"/>
    <cellStyle name="Normal 5 3 4 2 2 3 3 3" xfId="26714" xr:uid="{10DA967A-0A79-4A9F-BA0C-1159D3F4A045}"/>
    <cellStyle name="Normal 5 3 4 2 2 3 4" xfId="9863" xr:uid="{08E37467-4DDD-4D87-A804-D021CB67779F}"/>
    <cellStyle name="Normal 5 3 4 2 2 3 4 2" xfId="22503" xr:uid="{FD40BD5F-0F25-42B7-9097-19AE88FAA2C0}"/>
    <cellStyle name="Normal 5 3 4 2 2 3 5" xfId="18292" xr:uid="{CF34C99E-C4B9-41C7-BE2E-101141314D29}"/>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5535B03B-0992-4152-847C-A586EE1D48D5}"/>
    <cellStyle name="Normal 5 3 4 2 2 4 2 2 3" xfId="29272" xr:uid="{CDBFD1B2-6E46-49E2-9EBE-DDE4EE89E22B}"/>
    <cellStyle name="Normal 5 3 4 2 2 4 2 3" xfId="12421" xr:uid="{E173D1DC-8A5E-445A-B822-15F047359C24}"/>
    <cellStyle name="Normal 5 3 4 2 2 4 2 3 2" xfId="25061" xr:uid="{EA7132A2-1218-468D-B1BA-684FA82577C0}"/>
    <cellStyle name="Normal 5 3 4 2 2 4 2 4" xfId="20850" xr:uid="{B23453E7-1ABC-49C1-979E-6BE60E226131}"/>
    <cellStyle name="Normal 5 3 4 2 2 4 3" xfId="6065" xr:uid="{00000000-0005-0000-0000-0000211A0000}"/>
    <cellStyle name="Normal 5 3 4 2 2 4 3 2" xfId="14494" xr:uid="{D6C61CE1-354B-4704-8A70-B60B7505B56F}"/>
    <cellStyle name="Normal 5 3 4 2 2 4 3 3" xfId="27127" xr:uid="{AE19E4EB-7284-4494-9CE9-A9EBF5F3DA95}"/>
    <cellStyle name="Normal 5 3 4 2 2 4 4" xfId="10276" xr:uid="{AE9F579B-8281-4AD3-AF3F-B481197A2E81}"/>
    <cellStyle name="Normal 5 3 4 2 2 4 4 2" xfId="22916" xr:uid="{07A61FB1-6009-4A5E-9980-2AD2010BF9AC}"/>
    <cellStyle name="Normal 5 3 4 2 2 4 5" xfId="18705" xr:uid="{D70AC314-156E-45C8-BDD4-E5F633558F21}"/>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78878AC2-D290-42DB-B163-AB870A1C42F5}"/>
    <cellStyle name="Normal 5 3 4 2 2 5 2 2 3" xfId="29685" xr:uid="{822D6061-94E2-4BFB-B963-EBBC1CC6CA42}"/>
    <cellStyle name="Normal 5 3 4 2 2 5 2 3" xfId="12834" xr:uid="{F42B2B20-480D-4659-81AC-9BE12468FD2A}"/>
    <cellStyle name="Normal 5 3 4 2 2 5 2 3 2" xfId="25474" xr:uid="{C352E717-5517-4ADD-A2F4-F999BA652A54}"/>
    <cellStyle name="Normal 5 3 4 2 2 5 2 4" xfId="21263" xr:uid="{7F8BB4A7-FEFA-4501-B179-04851AB81412}"/>
    <cellStyle name="Normal 5 3 4 2 2 5 3" xfId="6478" xr:uid="{00000000-0005-0000-0000-0000251A0000}"/>
    <cellStyle name="Normal 5 3 4 2 2 5 3 2" xfId="14907" xr:uid="{92ECE5FE-EA79-400B-8156-97A2152F1AB5}"/>
    <cellStyle name="Normal 5 3 4 2 2 5 3 3" xfId="27540" xr:uid="{A13D49CF-3AE1-4926-B73B-731FD993C908}"/>
    <cellStyle name="Normal 5 3 4 2 2 5 4" xfId="10689" xr:uid="{61B3005C-31BE-4E9F-BD67-B3E58D899EEA}"/>
    <cellStyle name="Normal 5 3 4 2 2 5 4 2" xfId="23329" xr:uid="{36309ACA-19F4-4B1F-B121-6B019694C4D6}"/>
    <cellStyle name="Normal 5 3 4 2 2 5 5" xfId="19118" xr:uid="{DF25AB32-2E25-4CFD-A9D5-5B74A5E29868}"/>
    <cellStyle name="Normal 5 3 4 2 2 6" xfId="2606" xr:uid="{00000000-0005-0000-0000-0000261A0000}"/>
    <cellStyle name="Normal 5 3 4 2 2 6 2" xfId="6891" xr:uid="{00000000-0005-0000-0000-0000271A0000}"/>
    <cellStyle name="Normal 5 3 4 2 2 6 2 2" xfId="15320" xr:uid="{39A74C37-1383-436B-83C7-C7F06AA460D4}"/>
    <cellStyle name="Normal 5 3 4 2 2 6 2 3" xfId="27953" xr:uid="{CAF59070-1742-499A-97BC-4D5AEDCE8D0F}"/>
    <cellStyle name="Normal 5 3 4 2 2 6 3" xfId="11102" xr:uid="{E036E4CA-0BF1-4088-8263-B5B7E8AA94AB}"/>
    <cellStyle name="Normal 5 3 4 2 2 6 3 2" xfId="23742" xr:uid="{C264E57E-2551-4598-B7F3-D022FDE7B37E}"/>
    <cellStyle name="Normal 5 3 4 2 2 6 4" xfId="19531" xr:uid="{6BFFD6EC-25FD-498A-8DD0-07F301803F65}"/>
    <cellStyle name="Normal 5 3 4 2 2 7" xfId="4826" xr:uid="{00000000-0005-0000-0000-0000281A0000}"/>
    <cellStyle name="Normal 5 3 4 2 2 7 2" xfId="13255" xr:uid="{36BF9AE2-5ACE-4FFB-9984-23A77AF08FEE}"/>
    <cellStyle name="Normal 5 3 4 2 2 7 3" xfId="25888" xr:uid="{BFB77F58-5214-4DCF-8D08-A8C134D0A8A7}"/>
    <cellStyle name="Normal 5 3 4 2 2 8" xfId="9037" xr:uid="{3267EBCC-412B-49F6-904E-5EE6CC73DC8A}"/>
    <cellStyle name="Normal 5 3 4 2 2 8 2" xfId="21677" xr:uid="{7DB80E63-6770-4E74-BC01-F757188D2322}"/>
    <cellStyle name="Normal 5 3 4 2 2 9" xfId="17466" xr:uid="{D97C527B-351A-4468-B3CE-543504197BAE}"/>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85B82B82-FD1D-4678-B40B-D398C6DEB503}"/>
    <cellStyle name="Normal 5 3 4 2 3 2 2 3" xfId="28445" xr:uid="{FD71A862-88D1-46B1-A970-3A417B9DEC3D}"/>
    <cellStyle name="Normal 5 3 4 2 3 2 3" xfId="11594" xr:uid="{E0568BD7-B917-4981-B7C9-E28BAC0A725F}"/>
    <cellStyle name="Normal 5 3 4 2 3 2 3 2" xfId="24234" xr:uid="{3E8F4141-001E-4FC2-AEE8-A593026F6994}"/>
    <cellStyle name="Normal 5 3 4 2 3 2 4" xfId="20023" xr:uid="{0A167B79-590B-4FF5-AFCF-F3455B1923B3}"/>
    <cellStyle name="Normal 5 3 4 2 3 3" xfId="5238" xr:uid="{00000000-0005-0000-0000-00002C1A0000}"/>
    <cellStyle name="Normal 5 3 4 2 3 3 2" xfId="13667" xr:uid="{61149D45-E801-4100-8174-9803A9074161}"/>
    <cellStyle name="Normal 5 3 4 2 3 3 3" xfId="26300" xr:uid="{CC3B6129-79B5-47A1-8446-17576AB6B2DB}"/>
    <cellStyle name="Normal 5 3 4 2 3 4" xfId="9449" xr:uid="{71C01E05-0D97-4A59-861A-F358BF22C704}"/>
    <cellStyle name="Normal 5 3 4 2 3 4 2" xfId="22089" xr:uid="{4E3A9A4E-3179-4AD0-8365-54199F8D47FD}"/>
    <cellStyle name="Normal 5 3 4 2 3 5" xfId="17878" xr:uid="{00CDC024-80FE-4EBD-90AF-71E8C3A4676E}"/>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2F0AC0B6-D089-4C26-9513-973B45FB7B93}"/>
    <cellStyle name="Normal 5 3 4 2 4 2 2 3" xfId="28858" xr:uid="{3C11B691-1E37-4C18-A6E9-FDF158BE3734}"/>
    <cellStyle name="Normal 5 3 4 2 4 2 3" xfId="12007" xr:uid="{C9A8006E-8BF9-42E7-A630-A4252612259B}"/>
    <cellStyle name="Normal 5 3 4 2 4 2 3 2" xfId="24647" xr:uid="{467A7C44-23D3-486B-865F-07E0D6882CCC}"/>
    <cellStyle name="Normal 5 3 4 2 4 2 4" xfId="20436" xr:uid="{15BAA5DE-D652-4888-BF4D-5DDE7486D220}"/>
    <cellStyle name="Normal 5 3 4 2 4 3" xfId="5651" xr:uid="{00000000-0005-0000-0000-0000301A0000}"/>
    <cellStyle name="Normal 5 3 4 2 4 3 2" xfId="14080" xr:uid="{D3D29976-6A11-4239-99AB-A40E31A6F6F2}"/>
    <cellStyle name="Normal 5 3 4 2 4 3 3" xfId="26713" xr:uid="{04DC0106-9DA5-44A8-908D-B1EE1BA7B5D2}"/>
    <cellStyle name="Normal 5 3 4 2 4 4" xfId="9862" xr:uid="{49B81929-CAC4-4C7D-BA2C-ADE38829DC13}"/>
    <cellStyle name="Normal 5 3 4 2 4 4 2" xfId="22502" xr:uid="{9402D42D-767C-4ACC-A9FD-FEF189AE0DD7}"/>
    <cellStyle name="Normal 5 3 4 2 4 5" xfId="18291" xr:uid="{7B850126-67E3-4770-A3AC-FD45D19D57B5}"/>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C5055043-5F55-4D32-9588-8CADBCBB0894}"/>
    <cellStyle name="Normal 5 3 4 2 5 2 2 3" xfId="29271" xr:uid="{1CAFD1D4-5654-4766-A9AE-3F2B2E24113F}"/>
    <cellStyle name="Normal 5 3 4 2 5 2 3" xfId="12420" xr:uid="{457FA6C7-4E84-4892-8197-41325DA364B3}"/>
    <cellStyle name="Normal 5 3 4 2 5 2 3 2" xfId="25060" xr:uid="{02529475-7CF5-4EE3-B753-91CE47DAEF06}"/>
    <cellStyle name="Normal 5 3 4 2 5 2 4" xfId="20849" xr:uid="{530B8BFD-D3B3-4050-9A7F-93DC74243C15}"/>
    <cellStyle name="Normal 5 3 4 2 5 3" xfId="6064" xr:uid="{00000000-0005-0000-0000-0000341A0000}"/>
    <cellStyle name="Normal 5 3 4 2 5 3 2" xfId="14493" xr:uid="{E9690A3C-A660-4D1B-99A7-8E6B37273BAA}"/>
    <cellStyle name="Normal 5 3 4 2 5 3 3" xfId="27126" xr:uid="{70516322-D35F-4AC3-BBAA-64B48517C724}"/>
    <cellStyle name="Normal 5 3 4 2 5 4" xfId="10275" xr:uid="{3C37D1A9-C851-4B67-912D-1BD0A711A82E}"/>
    <cellStyle name="Normal 5 3 4 2 5 4 2" xfId="22915" xr:uid="{B1427D66-A3E0-414E-88AA-98A054E84B51}"/>
    <cellStyle name="Normal 5 3 4 2 5 5" xfId="18704" xr:uid="{E4AA9130-42F0-4576-B934-F6DC7D664E29}"/>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F855FEF7-F6D2-450C-A150-E1052DE12223}"/>
    <cellStyle name="Normal 5 3 4 2 6 2 2 3" xfId="29684" xr:uid="{9C3E5B23-044A-4019-8276-51F843D1D629}"/>
    <cellStyle name="Normal 5 3 4 2 6 2 3" xfId="12833" xr:uid="{BA9970FE-D4B4-4E53-AF7B-2F8D276A6117}"/>
    <cellStyle name="Normal 5 3 4 2 6 2 3 2" xfId="25473" xr:uid="{0CBE8C84-F165-43F1-9508-38F31F279764}"/>
    <cellStyle name="Normal 5 3 4 2 6 2 4" xfId="21262" xr:uid="{5C088776-4DDE-406F-A4E0-ADFC0A3707C0}"/>
    <cellStyle name="Normal 5 3 4 2 6 3" xfId="6477" xr:uid="{00000000-0005-0000-0000-0000381A0000}"/>
    <cellStyle name="Normal 5 3 4 2 6 3 2" xfId="14906" xr:uid="{DC7B34A0-00A9-4972-A57D-B6E0620AF5D1}"/>
    <cellStyle name="Normal 5 3 4 2 6 3 3" xfId="27539" xr:uid="{1FB79E2D-52D8-41BE-A34F-59E6EC071950}"/>
    <cellStyle name="Normal 5 3 4 2 6 4" xfId="10688" xr:uid="{014CA740-A3D4-48E9-B526-3E679F70AEFD}"/>
    <cellStyle name="Normal 5 3 4 2 6 4 2" xfId="23328" xr:uid="{3A76D8EF-B6ED-45B2-B39E-011F418C7F56}"/>
    <cellStyle name="Normal 5 3 4 2 6 5" xfId="19117" xr:uid="{384CBD99-4E91-4A90-8737-86CEE6A34FF5}"/>
    <cellStyle name="Normal 5 3 4 2 7" xfId="2605" xr:uid="{00000000-0005-0000-0000-0000391A0000}"/>
    <cellStyle name="Normal 5 3 4 2 7 2" xfId="6890" xr:uid="{00000000-0005-0000-0000-00003A1A0000}"/>
    <cellStyle name="Normal 5 3 4 2 7 2 2" xfId="15319" xr:uid="{9674174E-85A2-47A0-8680-0EC87A0DAD89}"/>
    <cellStyle name="Normal 5 3 4 2 7 2 3" xfId="27952" xr:uid="{2F118336-00D8-482D-9243-7D4AF5C1EE12}"/>
    <cellStyle name="Normal 5 3 4 2 7 3" xfId="11101" xr:uid="{170A012D-4E6A-4915-87E7-BB38F609D004}"/>
    <cellStyle name="Normal 5 3 4 2 7 3 2" xfId="23741" xr:uid="{AF7B223E-0403-4D78-9E7E-4784E51F9D0B}"/>
    <cellStyle name="Normal 5 3 4 2 7 4" xfId="19530" xr:uid="{78CD891B-80A8-4921-9C93-28BF09603AF0}"/>
    <cellStyle name="Normal 5 3 4 2 8" xfId="4825" xr:uid="{00000000-0005-0000-0000-00003B1A0000}"/>
    <cellStyle name="Normal 5 3 4 2 8 2" xfId="13254" xr:uid="{31C37B0F-80FC-42DF-A4D1-CFCA2DF2FA10}"/>
    <cellStyle name="Normal 5 3 4 2 8 3" xfId="25887" xr:uid="{9FF41D8E-859C-41BD-8CB1-9AF3E733C596}"/>
    <cellStyle name="Normal 5 3 4 2 9" xfId="9036" xr:uid="{994F9251-8721-4524-B2F7-0CCAF82C88AE}"/>
    <cellStyle name="Normal 5 3 4 2 9 2" xfId="21676" xr:uid="{B0CF1030-950D-4725-9ED3-9733AE708849}"/>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40EF490D-89E7-48AE-AE0B-24835E0AFEAA}"/>
    <cellStyle name="Normal 5 3 4 3 2 2 2 3" xfId="28447" xr:uid="{77AC4B39-3148-440F-B091-222358B72A7F}"/>
    <cellStyle name="Normal 5 3 4 3 2 2 3" xfId="11596" xr:uid="{C9AA7668-737C-42E6-AF2E-A34587EDDDA0}"/>
    <cellStyle name="Normal 5 3 4 3 2 2 3 2" xfId="24236" xr:uid="{E2F52D40-DF1E-4265-9D12-F0C3383ADEA5}"/>
    <cellStyle name="Normal 5 3 4 3 2 2 4" xfId="20025" xr:uid="{E6561843-79DA-47E8-9EB1-9DB7A20EF0A9}"/>
    <cellStyle name="Normal 5 3 4 3 2 3" xfId="5240" xr:uid="{00000000-0005-0000-0000-0000401A0000}"/>
    <cellStyle name="Normal 5 3 4 3 2 3 2" xfId="13669" xr:uid="{70225104-3405-478F-BA8D-D8512435A6A1}"/>
    <cellStyle name="Normal 5 3 4 3 2 3 3" xfId="26302" xr:uid="{7043204A-C0BA-40E7-8781-187796E40D7E}"/>
    <cellStyle name="Normal 5 3 4 3 2 4" xfId="9451" xr:uid="{2B8BECDD-0856-48BA-B97E-E2DE31E0EB2E}"/>
    <cellStyle name="Normal 5 3 4 3 2 4 2" xfId="22091" xr:uid="{ECF5B2A0-3819-4308-8A79-F20F9CA6FD2E}"/>
    <cellStyle name="Normal 5 3 4 3 2 5" xfId="17880" xr:uid="{71780F68-0966-43CB-86B6-F57B06028B30}"/>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34A7B796-D3DF-4C73-B7E2-5C8D27D216AA}"/>
    <cellStyle name="Normal 5 3 4 3 3 2 2 3" xfId="28860" xr:uid="{E7690203-92BA-4D75-8993-0D8A55EE1815}"/>
    <cellStyle name="Normal 5 3 4 3 3 2 3" xfId="12009" xr:uid="{84F8A26E-010E-45D5-B637-51F31F7D7266}"/>
    <cellStyle name="Normal 5 3 4 3 3 2 3 2" xfId="24649" xr:uid="{78280545-F763-41AA-AAE8-1EF590CCD18A}"/>
    <cellStyle name="Normal 5 3 4 3 3 2 4" xfId="20438" xr:uid="{00ADE217-62AA-4356-8FF3-243C779C21DD}"/>
    <cellStyle name="Normal 5 3 4 3 3 3" xfId="5653" xr:uid="{00000000-0005-0000-0000-0000441A0000}"/>
    <cellStyle name="Normal 5 3 4 3 3 3 2" xfId="14082" xr:uid="{7E8CA315-603A-4C4F-8200-F141CA8203FF}"/>
    <cellStyle name="Normal 5 3 4 3 3 3 3" xfId="26715" xr:uid="{00444D53-7DEC-48AF-995D-E75477E944CB}"/>
    <cellStyle name="Normal 5 3 4 3 3 4" xfId="9864" xr:uid="{94B1E654-699B-4AB2-AA52-3827D1747EBA}"/>
    <cellStyle name="Normal 5 3 4 3 3 4 2" xfId="22504" xr:uid="{0F464948-990F-472B-9037-E360D3F5D568}"/>
    <cellStyle name="Normal 5 3 4 3 3 5" xfId="18293" xr:uid="{0F949DC0-56CB-4A3C-8C8F-CADFEBC7C1A1}"/>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3CAD5EFB-C5AC-4443-81B9-D0FDC14E9D04}"/>
    <cellStyle name="Normal 5 3 4 3 4 2 2 3" xfId="29273" xr:uid="{8429AAD0-3E5B-466D-BC32-A4C7CED5AD1D}"/>
    <cellStyle name="Normal 5 3 4 3 4 2 3" xfId="12422" xr:uid="{501DFE03-780A-4174-A120-EB17BC53136E}"/>
    <cellStyle name="Normal 5 3 4 3 4 2 3 2" xfId="25062" xr:uid="{25E4ECDD-687B-4DD0-AC6B-C5F367731ECD}"/>
    <cellStyle name="Normal 5 3 4 3 4 2 4" xfId="20851" xr:uid="{0A35D1C6-AD17-4C96-99C4-C7B624A01E72}"/>
    <cellStyle name="Normal 5 3 4 3 4 3" xfId="6066" xr:uid="{00000000-0005-0000-0000-0000481A0000}"/>
    <cellStyle name="Normal 5 3 4 3 4 3 2" xfId="14495" xr:uid="{F6F87512-B717-4523-BD6D-C3F5C49BB45E}"/>
    <cellStyle name="Normal 5 3 4 3 4 3 3" xfId="27128" xr:uid="{439861FF-E38E-4C12-8647-674D7FEC32D6}"/>
    <cellStyle name="Normal 5 3 4 3 4 4" xfId="10277" xr:uid="{422A6730-0538-4874-BF7F-28E872117941}"/>
    <cellStyle name="Normal 5 3 4 3 4 4 2" xfId="22917" xr:uid="{1B5CD37C-F199-4D5C-A76E-B82B1630945C}"/>
    <cellStyle name="Normal 5 3 4 3 4 5" xfId="18706" xr:uid="{8414BA98-3FCE-4B4A-BB31-0F65B2043ACB}"/>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595AEC7A-2902-45C6-8B12-321DA50E2F32}"/>
    <cellStyle name="Normal 5 3 4 3 5 2 2 3" xfId="29686" xr:uid="{F0FBB781-3907-460E-96E7-EFAE94AC4273}"/>
    <cellStyle name="Normal 5 3 4 3 5 2 3" xfId="12835" xr:uid="{8BA602CD-D999-4D4D-8AC2-B6FFC391F084}"/>
    <cellStyle name="Normal 5 3 4 3 5 2 3 2" xfId="25475" xr:uid="{97DE3ADE-62ED-40A9-B58B-C987FA3833ED}"/>
    <cellStyle name="Normal 5 3 4 3 5 2 4" xfId="21264" xr:uid="{FA365244-86DF-41B3-B702-5B46618A4E1C}"/>
    <cellStyle name="Normal 5 3 4 3 5 3" xfId="6479" xr:uid="{00000000-0005-0000-0000-00004C1A0000}"/>
    <cellStyle name="Normal 5 3 4 3 5 3 2" xfId="14908" xr:uid="{2BA905B3-2E98-48FD-908D-8B32CBAC6BFC}"/>
    <cellStyle name="Normal 5 3 4 3 5 3 3" xfId="27541" xr:uid="{6E38EF73-B6F3-4FF0-B573-2488F2957AF4}"/>
    <cellStyle name="Normal 5 3 4 3 5 4" xfId="10690" xr:uid="{3468F253-9CFE-4086-A084-F183233DC730}"/>
    <cellStyle name="Normal 5 3 4 3 5 4 2" xfId="23330" xr:uid="{BAE118EE-C6F7-4BEE-A265-36B4B778732A}"/>
    <cellStyle name="Normal 5 3 4 3 5 5" xfId="19119" xr:uid="{D9539ECC-FB39-485B-916B-0734686834BA}"/>
    <cellStyle name="Normal 5 3 4 3 6" xfId="2607" xr:uid="{00000000-0005-0000-0000-00004D1A0000}"/>
    <cellStyle name="Normal 5 3 4 3 6 2" xfId="6892" xr:uid="{00000000-0005-0000-0000-00004E1A0000}"/>
    <cellStyle name="Normal 5 3 4 3 6 2 2" xfId="15321" xr:uid="{7C7AFA12-D279-474D-A935-D7FB02D93916}"/>
    <cellStyle name="Normal 5 3 4 3 6 2 3" xfId="27954" xr:uid="{444198FF-5290-4BC9-B138-714207ACC857}"/>
    <cellStyle name="Normal 5 3 4 3 6 3" xfId="11103" xr:uid="{C4DA086E-BEDE-4059-A3AD-08D08543BDCC}"/>
    <cellStyle name="Normal 5 3 4 3 6 3 2" xfId="23743" xr:uid="{D66D649D-4200-4EA3-9AFA-ACC3FEA07818}"/>
    <cellStyle name="Normal 5 3 4 3 6 4" xfId="19532" xr:uid="{279B51B5-865C-4EE7-8C6B-55DDA62704FE}"/>
    <cellStyle name="Normal 5 3 4 3 7" xfId="4827" xr:uid="{00000000-0005-0000-0000-00004F1A0000}"/>
    <cellStyle name="Normal 5 3 4 3 7 2" xfId="13256" xr:uid="{DBD14A27-81A3-4B9F-96CA-0580863CD156}"/>
    <cellStyle name="Normal 5 3 4 3 7 3" xfId="25889" xr:uid="{DB63296A-17AD-4D66-9C1D-02F37A0CEEFA}"/>
    <cellStyle name="Normal 5 3 4 3 8" xfId="9038" xr:uid="{F407A689-BB8E-4912-BFA8-682A80E441F4}"/>
    <cellStyle name="Normal 5 3 4 3 8 2" xfId="21678" xr:uid="{4F8F0031-8EBA-4DC2-AD71-5613DD5DA4D6}"/>
    <cellStyle name="Normal 5 3 4 3 9" xfId="17467" xr:uid="{E77C53C7-CD68-40F6-8FAE-A9DBB98271C5}"/>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60BE3DCB-551A-4174-B52D-7389616ED199}"/>
    <cellStyle name="Normal 5 3 4 4 2 2 3" xfId="28444" xr:uid="{C4698132-BA85-40C2-A8EE-BFF4F585982C}"/>
    <cellStyle name="Normal 5 3 4 4 2 3" xfId="11593" xr:uid="{764D6569-C9D7-4985-BFD0-D8DAE903F404}"/>
    <cellStyle name="Normal 5 3 4 4 2 3 2" xfId="24233" xr:uid="{0F8730D1-A390-4515-BC72-B3049E321038}"/>
    <cellStyle name="Normal 5 3 4 4 2 4" xfId="20022" xr:uid="{907B2EF4-C9A1-4B5D-9E6C-B38706B8B8BC}"/>
    <cellStyle name="Normal 5 3 4 4 3" xfId="5237" xr:uid="{00000000-0005-0000-0000-0000531A0000}"/>
    <cellStyle name="Normal 5 3 4 4 3 2" xfId="13666" xr:uid="{10BB19A7-E855-480E-9B8C-BA90F0457A46}"/>
    <cellStyle name="Normal 5 3 4 4 3 3" xfId="26299" xr:uid="{828C590A-A2A6-4BB0-A4DE-108084CEB6EE}"/>
    <cellStyle name="Normal 5 3 4 4 4" xfId="9448" xr:uid="{5DD88EEC-CA56-4E27-888E-3E62181C92CD}"/>
    <cellStyle name="Normal 5 3 4 4 4 2" xfId="22088" xr:uid="{6C6C9821-304E-42F4-85CF-4AE1874CB8A5}"/>
    <cellStyle name="Normal 5 3 4 4 5" xfId="17877" xr:uid="{22C66D21-E49E-472E-B29E-0815B13C549F}"/>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7003DDBD-8118-4145-A64F-F2A8A6A62F7E}"/>
    <cellStyle name="Normal 5 3 4 5 2 2 3" xfId="28857" xr:uid="{47FA156E-F9E2-46CF-811A-7A739ED7FE25}"/>
    <cellStyle name="Normal 5 3 4 5 2 3" xfId="12006" xr:uid="{20046D62-E3B9-41C7-9372-552D679248A0}"/>
    <cellStyle name="Normal 5 3 4 5 2 3 2" xfId="24646" xr:uid="{2C4B5D89-672C-4651-8234-DB9FBD82C7CB}"/>
    <cellStyle name="Normal 5 3 4 5 2 4" xfId="20435" xr:uid="{0C99C2F7-6E41-484A-BDB7-27A9F2AF26B9}"/>
    <cellStyle name="Normal 5 3 4 5 3" xfId="5650" xr:uid="{00000000-0005-0000-0000-0000571A0000}"/>
    <cellStyle name="Normal 5 3 4 5 3 2" xfId="14079" xr:uid="{CCFE02F0-9D90-4E02-97C7-32A86F94F7DC}"/>
    <cellStyle name="Normal 5 3 4 5 3 3" xfId="26712" xr:uid="{06A955EA-8E9C-4CBB-B8FA-7BFE5EC46707}"/>
    <cellStyle name="Normal 5 3 4 5 4" xfId="9861" xr:uid="{CED8AC5B-B27D-4550-810A-FC4CF4DDEEBB}"/>
    <cellStyle name="Normal 5 3 4 5 4 2" xfId="22501" xr:uid="{8250815E-C251-4FE4-A463-E7E13E180DE3}"/>
    <cellStyle name="Normal 5 3 4 5 5" xfId="18290" xr:uid="{EB396CCB-30F1-49F6-9051-4D5C4E0DAB28}"/>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FD99EB8C-EBFE-48C0-B963-6E6F096FABEC}"/>
    <cellStyle name="Normal 5 3 4 6 2 2 3" xfId="29270" xr:uid="{D545262A-8AAC-4B85-A6DD-E7DEEDB5512E}"/>
    <cellStyle name="Normal 5 3 4 6 2 3" xfId="12419" xr:uid="{B8A2B4E2-44B6-4CC5-956E-6718B68D9259}"/>
    <cellStyle name="Normal 5 3 4 6 2 3 2" xfId="25059" xr:uid="{FCEFC368-8D74-47C7-9D29-A67F3C37FFEC}"/>
    <cellStyle name="Normal 5 3 4 6 2 4" xfId="20848" xr:uid="{4116A95E-F8AA-4AF9-93E8-2BE9A56CB702}"/>
    <cellStyle name="Normal 5 3 4 6 3" xfId="6063" xr:uid="{00000000-0005-0000-0000-00005B1A0000}"/>
    <cellStyle name="Normal 5 3 4 6 3 2" xfId="14492" xr:uid="{9EFC47FA-7599-4752-9488-37C959E119D5}"/>
    <cellStyle name="Normal 5 3 4 6 3 3" xfId="27125" xr:uid="{3FD1795B-DCA2-4659-95C7-4BD7ADB8C119}"/>
    <cellStyle name="Normal 5 3 4 6 4" xfId="10274" xr:uid="{82337DE5-7B2A-49C1-8D7F-739B697F195B}"/>
    <cellStyle name="Normal 5 3 4 6 4 2" xfId="22914" xr:uid="{FA94C8DB-07E7-47C9-8658-AE15E1C3F0E1}"/>
    <cellStyle name="Normal 5 3 4 6 5" xfId="18703" xr:uid="{83546FEF-29DA-4553-A735-B17C5192E762}"/>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CC668E3C-B38C-4F27-9A55-013519902BC4}"/>
    <cellStyle name="Normal 5 3 4 7 2 2 3" xfId="29683" xr:uid="{65E55962-3059-4061-A419-9EB6F968F93F}"/>
    <cellStyle name="Normal 5 3 4 7 2 3" xfId="12832" xr:uid="{203457D3-F31B-4F7E-8DF5-4D5AD320A510}"/>
    <cellStyle name="Normal 5 3 4 7 2 3 2" xfId="25472" xr:uid="{DE875787-965C-44DF-8B20-B4C8521F1C3B}"/>
    <cellStyle name="Normal 5 3 4 7 2 4" xfId="21261" xr:uid="{47581B4B-3047-42C4-B87B-D181546FDC19}"/>
    <cellStyle name="Normal 5 3 4 7 3" xfId="6476" xr:uid="{00000000-0005-0000-0000-00005F1A0000}"/>
    <cellStyle name="Normal 5 3 4 7 3 2" xfId="14905" xr:uid="{0B765F8A-FEC5-47FA-B2EB-D6B0DCE1CDCE}"/>
    <cellStyle name="Normal 5 3 4 7 3 3" xfId="27538" xr:uid="{C0C9B3E8-4B15-4368-AEC0-2A148AD59AED}"/>
    <cellStyle name="Normal 5 3 4 7 4" xfId="10687" xr:uid="{FFA1C97B-C5E6-414E-AF8A-56DDE76D87EC}"/>
    <cellStyle name="Normal 5 3 4 7 4 2" xfId="23327" xr:uid="{A74D8A78-B53E-4F9C-971B-CA84D7B3DFB3}"/>
    <cellStyle name="Normal 5 3 4 7 5" xfId="19116" xr:uid="{AE6021B3-BBD2-4AF7-9C33-9F6D7222D4FD}"/>
    <cellStyle name="Normal 5 3 4 8" xfId="2604" xr:uid="{00000000-0005-0000-0000-0000601A0000}"/>
    <cellStyle name="Normal 5 3 4 8 2" xfId="6889" xr:uid="{00000000-0005-0000-0000-0000611A0000}"/>
    <cellStyle name="Normal 5 3 4 8 2 2" xfId="15318" xr:uid="{C0A2BDA3-B48C-49D9-8370-8CBCBDFD2608}"/>
    <cellStyle name="Normal 5 3 4 8 2 3" xfId="27951" xr:uid="{6AE276D5-492A-49E1-AC4E-9A225F8CCADE}"/>
    <cellStyle name="Normal 5 3 4 8 3" xfId="11100" xr:uid="{19FB1323-838C-4742-A230-79F512B74826}"/>
    <cellStyle name="Normal 5 3 4 8 3 2" xfId="23740" xr:uid="{74209BC2-A046-4461-932E-927BDD82CB2A}"/>
    <cellStyle name="Normal 5 3 4 8 4" xfId="19529" xr:uid="{402BF964-4559-45AA-9639-30BF70A3F271}"/>
    <cellStyle name="Normal 5 3 4 9" xfId="4824" xr:uid="{00000000-0005-0000-0000-0000621A0000}"/>
    <cellStyle name="Normal 5 3 4 9 2" xfId="13253" xr:uid="{462DB19D-85D1-4D24-8C7E-E71F7BEFF4E5}"/>
    <cellStyle name="Normal 5 3 4 9 3" xfId="25886" xr:uid="{59E204E9-2DB9-483B-9A93-68EB8CF44740}"/>
    <cellStyle name="Normal 5 3 5" xfId="453" xr:uid="{00000000-0005-0000-0000-0000631A0000}"/>
    <cellStyle name="Normal 5 3 5 10" xfId="17468" xr:uid="{86A620D5-A7E0-4C52-B0D0-72E1CF5C9E91}"/>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DEEF66E1-853A-441C-BE07-119D7C88FC6F}"/>
    <cellStyle name="Normal 5 3 5 2 2 2 2 3" xfId="28449" xr:uid="{9C9D796E-4AC7-4CF8-8D3D-FA764131A671}"/>
    <cellStyle name="Normal 5 3 5 2 2 2 3" xfId="11598" xr:uid="{D22C494E-D539-4BCF-AFE2-FA6BF451236D}"/>
    <cellStyle name="Normal 5 3 5 2 2 2 3 2" xfId="24238" xr:uid="{547314A6-9615-4218-B23C-4EFBD068ADC5}"/>
    <cellStyle name="Normal 5 3 5 2 2 2 4" xfId="20027" xr:uid="{E3DBC9F3-CA2B-4288-BE69-5C53EDC7B416}"/>
    <cellStyle name="Normal 5 3 5 2 2 3" xfId="5242" xr:uid="{00000000-0005-0000-0000-0000681A0000}"/>
    <cellStyle name="Normal 5 3 5 2 2 3 2" xfId="13671" xr:uid="{6BDE9CD4-F643-4696-BD77-073B41429B38}"/>
    <cellStyle name="Normal 5 3 5 2 2 3 3" xfId="26304" xr:uid="{2EEE3006-6CDB-453D-98FE-6CCAC5E3E4F2}"/>
    <cellStyle name="Normal 5 3 5 2 2 4" xfId="9453" xr:uid="{3EB8DCC4-7B80-42F5-B34B-939FA773B91E}"/>
    <cellStyle name="Normal 5 3 5 2 2 4 2" xfId="22093" xr:uid="{5B3A67FE-017D-47D9-A100-8A6C4B9CE6A5}"/>
    <cellStyle name="Normal 5 3 5 2 2 5" xfId="17882" xr:uid="{9193DEC1-3CB6-475D-A114-4D819BD99F28}"/>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575C088A-C319-44D8-A387-E8EF18591286}"/>
    <cellStyle name="Normal 5 3 5 2 3 2 2 3" xfId="28862" xr:uid="{27323597-F918-45B6-BE32-59A592E3A034}"/>
    <cellStyle name="Normal 5 3 5 2 3 2 3" xfId="12011" xr:uid="{A3D12F99-8699-42C3-A118-29C404DF0FB1}"/>
    <cellStyle name="Normal 5 3 5 2 3 2 3 2" xfId="24651" xr:uid="{A50CF9DB-C196-4C24-9C44-DE4E6153D920}"/>
    <cellStyle name="Normal 5 3 5 2 3 2 4" xfId="20440" xr:uid="{9BFDF649-83FD-4F16-93E4-0DD71303D9BC}"/>
    <cellStyle name="Normal 5 3 5 2 3 3" xfId="5655" xr:uid="{00000000-0005-0000-0000-00006C1A0000}"/>
    <cellStyle name="Normal 5 3 5 2 3 3 2" xfId="14084" xr:uid="{991AC559-B831-416E-B39B-DFF21CC10A78}"/>
    <cellStyle name="Normal 5 3 5 2 3 3 3" xfId="26717" xr:uid="{C5AA4790-FBFB-4B3B-87EE-68A0AA5A2EB8}"/>
    <cellStyle name="Normal 5 3 5 2 3 4" xfId="9866" xr:uid="{C080D5A4-76F5-435E-8F92-8B6153F343E2}"/>
    <cellStyle name="Normal 5 3 5 2 3 4 2" xfId="22506" xr:uid="{82C02AF2-4EEC-4675-B541-9C4A0E553844}"/>
    <cellStyle name="Normal 5 3 5 2 3 5" xfId="18295" xr:uid="{907C25E6-6845-4360-8998-A57B24246EF5}"/>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8642C721-7D33-417C-A365-8748690F5B79}"/>
    <cellStyle name="Normal 5 3 5 2 4 2 2 3" xfId="29275" xr:uid="{77AA47E1-187D-478F-BEEF-D8D4BA14C1FA}"/>
    <cellStyle name="Normal 5 3 5 2 4 2 3" xfId="12424" xr:uid="{57AB36CF-DCE0-4A1B-8FC0-2176B8E85230}"/>
    <cellStyle name="Normal 5 3 5 2 4 2 3 2" xfId="25064" xr:uid="{29E17372-F2FB-4774-842E-C25600EF9CE4}"/>
    <cellStyle name="Normal 5 3 5 2 4 2 4" xfId="20853" xr:uid="{8803653A-465B-41FA-B050-57023AE15F1D}"/>
    <cellStyle name="Normal 5 3 5 2 4 3" xfId="6068" xr:uid="{00000000-0005-0000-0000-0000701A0000}"/>
    <cellStyle name="Normal 5 3 5 2 4 3 2" xfId="14497" xr:uid="{F4676E41-B0E8-4137-96CF-EE6C9EE79C09}"/>
    <cellStyle name="Normal 5 3 5 2 4 3 3" xfId="27130" xr:uid="{F425FC30-9E1C-40CA-9DB6-4DE99A8F0CA4}"/>
    <cellStyle name="Normal 5 3 5 2 4 4" xfId="10279" xr:uid="{C5A08942-2AFD-40BD-8205-2F32559143EF}"/>
    <cellStyle name="Normal 5 3 5 2 4 4 2" xfId="22919" xr:uid="{3E43F04B-40F2-40A8-8E4E-86951DE7B686}"/>
    <cellStyle name="Normal 5 3 5 2 4 5" xfId="18708" xr:uid="{BCC65B41-62AE-4828-A2A8-DA7A9CEDC1A7}"/>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5441E689-5939-46AB-BA13-FD070EDDB5EC}"/>
    <cellStyle name="Normal 5 3 5 2 5 2 2 3" xfId="29688" xr:uid="{CBC6A9D8-4B84-4955-8198-90F296AF8C9D}"/>
    <cellStyle name="Normal 5 3 5 2 5 2 3" xfId="12837" xr:uid="{CA27039E-E862-4CF7-B854-460CD54C7BA5}"/>
    <cellStyle name="Normal 5 3 5 2 5 2 3 2" xfId="25477" xr:uid="{7A16927B-62DB-4273-96AC-668E4CB39735}"/>
    <cellStyle name="Normal 5 3 5 2 5 2 4" xfId="21266" xr:uid="{4967E4AD-D79C-4802-8FE7-F4BC467E58B2}"/>
    <cellStyle name="Normal 5 3 5 2 5 3" xfId="6481" xr:uid="{00000000-0005-0000-0000-0000741A0000}"/>
    <cellStyle name="Normal 5 3 5 2 5 3 2" xfId="14910" xr:uid="{5DAF693F-2BC0-47EB-8648-5F4486FEC5CE}"/>
    <cellStyle name="Normal 5 3 5 2 5 3 3" xfId="27543" xr:uid="{07A9B002-61B5-4E9A-B518-EF288E4FA4D9}"/>
    <cellStyle name="Normal 5 3 5 2 5 4" xfId="10692" xr:uid="{17B99CB9-474D-4317-9FCE-7CEEA428F107}"/>
    <cellStyle name="Normal 5 3 5 2 5 4 2" xfId="23332" xr:uid="{A2D24846-0C74-449A-B8ED-9665BC616FDE}"/>
    <cellStyle name="Normal 5 3 5 2 5 5" xfId="19121" xr:uid="{1CBD905D-74CF-4780-9AF2-D98D2EFA8953}"/>
    <cellStyle name="Normal 5 3 5 2 6" xfId="2609" xr:uid="{00000000-0005-0000-0000-0000751A0000}"/>
    <cellStyle name="Normal 5 3 5 2 6 2" xfId="6894" xr:uid="{00000000-0005-0000-0000-0000761A0000}"/>
    <cellStyle name="Normal 5 3 5 2 6 2 2" xfId="15323" xr:uid="{20CBDD47-B1A6-48CC-9E54-DA200893422E}"/>
    <cellStyle name="Normal 5 3 5 2 6 2 3" xfId="27956" xr:uid="{837613C6-D92B-4BCA-990F-8F4DB3B00169}"/>
    <cellStyle name="Normal 5 3 5 2 6 3" xfId="11105" xr:uid="{A16C6764-8893-4FB0-9AC0-CA75BAB1ECB4}"/>
    <cellStyle name="Normal 5 3 5 2 6 3 2" xfId="23745" xr:uid="{A9BB82EA-35EF-48CF-B1DC-03680BE4F1A1}"/>
    <cellStyle name="Normal 5 3 5 2 6 4" xfId="19534" xr:uid="{52EF6BC4-E5F0-4A7A-BE25-1875BAC79549}"/>
    <cellStyle name="Normal 5 3 5 2 7" xfId="4829" xr:uid="{00000000-0005-0000-0000-0000771A0000}"/>
    <cellStyle name="Normal 5 3 5 2 7 2" xfId="13258" xr:uid="{463D8688-6D6D-48AD-8254-A6D27AAFF360}"/>
    <cellStyle name="Normal 5 3 5 2 7 3" xfId="25891" xr:uid="{2A13FA4A-F9CC-461C-9280-6EF32A088C0E}"/>
    <cellStyle name="Normal 5 3 5 2 8" xfId="9040" xr:uid="{B5BF6509-AD30-4322-90CE-83D8B47D2F6D}"/>
    <cellStyle name="Normal 5 3 5 2 8 2" xfId="21680" xr:uid="{5B9D3319-A3D9-4181-B5AB-0D09FBFA0CE1}"/>
    <cellStyle name="Normal 5 3 5 2 9" xfId="17469" xr:uid="{DAB0CC1C-14C0-489A-B45D-4D55868DADA3}"/>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5046F404-F3BC-4FED-8BE2-470D89662195}"/>
    <cellStyle name="Normal 5 3 5 3 2 2 3" xfId="28448" xr:uid="{383B45EA-FCA3-4EFB-9354-39B6E9A91AE0}"/>
    <cellStyle name="Normal 5 3 5 3 2 3" xfId="11597" xr:uid="{96C3DC83-1427-4E7E-89BE-5527D2AD14F9}"/>
    <cellStyle name="Normal 5 3 5 3 2 3 2" xfId="24237" xr:uid="{069E0FB1-3DEF-40D0-925B-92FCF5DD332D}"/>
    <cellStyle name="Normal 5 3 5 3 2 4" xfId="20026" xr:uid="{D5A091FF-2556-4581-BC2B-01D459BD7CB5}"/>
    <cellStyle name="Normal 5 3 5 3 3" xfId="5241" xr:uid="{00000000-0005-0000-0000-00007B1A0000}"/>
    <cellStyle name="Normal 5 3 5 3 3 2" xfId="13670" xr:uid="{F94BF217-3EA8-40EC-9287-97E72C78835E}"/>
    <cellStyle name="Normal 5 3 5 3 3 3" xfId="26303" xr:uid="{10A13D5C-8ED7-4B08-A45F-B0D239F6392B}"/>
    <cellStyle name="Normal 5 3 5 3 4" xfId="9452" xr:uid="{303CD8BC-8824-4F22-8303-F56A2E7A72CE}"/>
    <cellStyle name="Normal 5 3 5 3 4 2" xfId="22092" xr:uid="{CADB7077-BBB0-47B1-A198-970143E04D47}"/>
    <cellStyle name="Normal 5 3 5 3 5" xfId="17881" xr:uid="{1B2243A3-D72A-4ED6-AFD3-849B452E0BBA}"/>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732063F6-D389-402F-9EDD-F5A7B0193DF3}"/>
    <cellStyle name="Normal 5 3 5 4 2 2 3" xfId="28861" xr:uid="{7CED0F7E-F4E0-4DE3-95DC-C8EECFF699EA}"/>
    <cellStyle name="Normal 5 3 5 4 2 3" xfId="12010" xr:uid="{D582B116-CA55-44AA-A540-86F90BD09E69}"/>
    <cellStyle name="Normal 5 3 5 4 2 3 2" xfId="24650" xr:uid="{B51B4418-D517-48BE-9585-C8A1FDF94045}"/>
    <cellStyle name="Normal 5 3 5 4 2 4" xfId="20439" xr:uid="{795B5B68-29B5-4B26-B66B-37DEB961DB46}"/>
    <cellStyle name="Normal 5 3 5 4 3" xfId="5654" xr:uid="{00000000-0005-0000-0000-00007F1A0000}"/>
    <cellStyle name="Normal 5 3 5 4 3 2" xfId="14083" xr:uid="{9B3FB07E-968E-4E5C-8287-E9D021BE3F34}"/>
    <cellStyle name="Normal 5 3 5 4 3 3" xfId="26716" xr:uid="{40E8A41E-7D8A-4956-8144-CDC0E9E8C1C4}"/>
    <cellStyle name="Normal 5 3 5 4 4" xfId="9865" xr:uid="{D651CE46-381F-4718-8352-C5000D4AEFCB}"/>
    <cellStyle name="Normal 5 3 5 4 4 2" xfId="22505" xr:uid="{00B8C653-6F28-4B32-ADFA-84E90B81D6F4}"/>
    <cellStyle name="Normal 5 3 5 4 5" xfId="18294" xr:uid="{830D341E-142B-4865-ACB4-AF2DDA13D32A}"/>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67B25E0F-9712-4388-B284-8C6675F98BFC}"/>
    <cellStyle name="Normal 5 3 5 5 2 2 3" xfId="29274" xr:uid="{70A7A451-8DB5-42E7-BE02-F3A0D3EFDBA4}"/>
    <cellStyle name="Normal 5 3 5 5 2 3" xfId="12423" xr:uid="{9E64C2FB-1E04-42B7-8A3E-3E606F958E38}"/>
    <cellStyle name="Normal 5 3 5 5 2 3 2" xfId="25063" xr:uid="{5F28A0F9-2892-4B62-92FC-33C0F6E60DCC}"/>
    <cellStyle name="Normal 5 3 5 5 2 4" xfId="20852" xr:uid="{3962D881-4D9D-4784-9B8D-3FFEC8CE2C1F}"/>
    <cellStyle name="Normal 5 3 5 5 3" xfId="6067" xr:uid="{00000000-0005-0000-0000-0000831A0000}"/>
    <cellStyle name="Normal 5 3 5 5 3 2" xfId="14496" xr:uid="{505E993A-9C04-4C45-AF8C-BA7BFFB71082}"/>
    <cellStyle name="Normal 5 3 5 5 3 3" xfId="27129" xr:uid="{2992A904-0480-4483-9002-381C7C155A39}"/>
    <cellStyle name="Normal 5 3 5 5 4" xfId="10278" xr:uid="{A1C2A8E9-87CE-4906-8830-DD34D3441745}"/>
    <cellStyle name="Normal 5 3 5 5 4 2" xfId="22918" xr:uid="{F930548A-06AA-4AAE-9091-2AA004451D20}"/>
    <cellStyle name="Normal 5 3 5 5 5" xfId="18707" xr:uid="{5A9C815D-1822-46B1-B8FF-4D96ED996FFD}"/>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DE503E81-EC96-40D6-B5CC-7E4DFCC0A8F3}"/>
    <cellStyle name="Normal 5 3 5 6 2 2 3" xfId="29687" xr:uid="{FE6CF609-F6A2-4DD9-97A4-A914E2E9EB82}"/>
    <cellStyle name="Normal 5 3 5 6 2 3" xfId="12836" xr:uid="{9A5AF900-A274-4463-9BC8-93ACBBF10ACF}"/>
    <cellStyle name="Normal 5 3 5 6 2 3 2" xfId="25476" xr:uid="{D155C632-E089-41C7-BE46-DFE70A8F469D}"/>
    <cellStyle name="Normal 5 3 5 6 2 4" xfId="21265" xr:uid="{C733F02A-49E4-4BE4-9AC2-ACB669A7EB3B}"/>
    <cellStyle name="Normal 5 3 5 6 3" xfId="6480" xr:uid="{00000000-0005-0000-0000-0000871A0000}"/>
    <cellStyle name="Normal 5 3 5 6 3 2" xfId="14909" xr:uid="{BE801CB4-6CAD-4694-8811-F22B0896F04E}"/>
    <cellStyle name="Normal 5 3 5 6 3 3" xfId="27542" xr:uid="{506AC56E-595A-48E6-8795-5DA9FB32BC9A}"/>
    <cellStyle name="Normal 5 3 5 6 4" xfId="10691" xr:uid="{465BD9D7-3A89-42EF-A3B9-B7506F71DF06}"/>
    <cellStyle name="Normal 5 3 5 6 4 2" xfId="23331" xr:uid="{00C518BE-46A4-4963-B482-E6A10F506274}"/>
    <cellStyle name="Normal 5 3 5 6 5" xfId="19120" xr:uid="{AB3A17DC-0025-4220-9D0E-438182896DD8}"/>
    <cellStyle name="Normal 5 3 5 7" xfId="2608" xr:uid="{00000000-0005-0000-0000-0000881A0000}"/>
    <cellStyle name="Normal 5 3 5 7 2" xfId="6893" xr:uid="{00000000-0005-0000-0000-0000891A0000}"/>
    <cellStyle name="Normal 5 3 5 7 2 2" xfId="15322" xr:uid="{F68BE59F-DDAD-4821-9264-0E4F16FF9A93}"/>
    <cellStyle name="Normal 5 3 5 7 2 3" xfId="27955" xr:uid="{F59C9C00-2E64-4BB5-B823-9889CABCEC0C}"/>
    <cellStyle name="Normal 5 3 5 7 3" xfId="11104" xr:uid="{8418AA80-71BC-43E3-B1D9-2491C9E63B9B}"/>
    <cellStyle name="Normal 5 3 5 7 3 2" xfId="23744" xr:uid="{B82B59BF-A664-4FEE-8547-BB40AAABA769}"/>
    <cellStyle name="Normal 5 3 5 7 4" xfId="19533" xr:uid="{2E10EB02-3627-473F-9967-6BE6895526FC}"/>
    <cellStyle name="Normal 5 3 5 8" xfId="4828" xr:uid="{00000000-0005-0000-0000-00008A1A0000}"/>
    <cellStyle name="Normal 5 3 5 8 2" xfId="13257" xr:uid="{AFA0410E-7424-4E83-A9A6-26F72EB017D3}"/>
    <cellStyle name="Normal 5 3 5 8 3" xfId="25890" xr:uid="{2561A882-B541-4242-B3F5-58ACADBE8637}"/>
    <cellStyle name="Normal 5 3 5 9" xfId="9039" xr:uid="{37E2F98E-C0C5-41FB-B738-344A4DBA16DF}"/>
    <cellStyle name="Normal 5 3 5 9 2" xfId="21679" xr:uid="{5FD342FC-9307-45A5-A9F8-C3124C76D48B}"/>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2B00DDCE-9B07-4ADD-8017-6D929198790E}"/>
    <cellStyle name="Normal 5 3 6 2 2 2 3" xfId="28450" xr:uid="{EB3EEA32-3931-4590-808A-215E11F4B179}"/>
    <cellStyle name="Normal 5 3 6 2 2 3" xfId="11599" xr:uid="{3F64BAD5-AE09-4741-BF8A-C932FDDFDFA4}"/>
    <cellStyle name="Normal 5 3 6 2 2 3 2" xfId="24239" xr:uid="{320D3DB0-CA53-4F9E-9BEF-95A1263E4504}"/>
    <cellStyle name="Normal 5 3 6 2 2 4" xfId="20028" xr:uid="{6649704E-6C79-4FE7-B6D7-7600601563E9}"/>
    <cellStyle name="Normal 5 3 6 2 3" xfId="5243" xr:uid="{00000000-0005-0000-0000-00008F1A0000}"/>
    <cellStyle name="Normal 5 3 6 2 3 2" xfId="13672" xr:uid="{EC33ABA4-ADB2-4DC1-BD59-94511CA4A460}"/>
    <cellStyle name="Normal 5 3 6 2 3 3" xfId="26305" xr:uid="{DC87D3A3-E6FB-4B54-8216-91AD63958598}"/>
    <cellStyle name="Normal 5 3 6 2 4" xfId="9454" xr:uid="{DE3CCED9-60C9-41EA-B198-03CA1C219157}"/>
    <cellStyle name="Normal 5 3 6 2 4 2" xfId="22094" xr:uid="{3013EEF1-31EE-4075-82C0-9D674BFE0E61}"/>
    <cellStyle name="Normal 5 3 6 2 5" xfId="17883" xr:uid="{A619FE5E-38B7-4CAE-B164-580722E0ED58}"/>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FFE76F42-39A1-470B-BD82-B9691E0A2E82}"/>
    <cellStyle name="Normal 5 3 6 3 2 2 3" xfId="28863" xr:uid="{37DFB21D-0D3D-443A-8258-1E7C19441877}"/>
    <cellStyle name="Normal 5 3 6 3 2 3" xfId="12012" xr:uid="{C9E2F040-BAB0-48F8-8160-A8A13585F3EB}"/>
    <cellStyle name="Normal 5 3 6 3 2 3 2" xfId="24652" xr:uid="{9F34F889-C306-4DEE-98D6-9DE1E3AABAA2}"/>
    <cellStyle name="Normal 5 3 6 3 2 4" xfId="20441" xr:uid="{75F5BD7E-388B-4B22-9E5A-70DF4EDFA300}"/>
    <cellStyle name="Normal 5 3 6 3 3" xfId="5656" xr:uid="{00000000-0005-0000-0000-0000931A0000}"/>
    <cellStyle name="Normal 5 3 6 3 3 2" xfId="14085" xr:uid="{F8554A0F-CC76-4741-8158-59DE2C9C031C}"/>
    <cellStyle name="Normal 5 3 6 3 3 3" xfId="26718" xr:uid="{69E72F06-D641-4CF5-B075-831FAB2B0D89}"/>
    <cellStyle name="Normal 5 3 6 3 4" xfId="9867" xr:uid="{1ED18373-0696-403E-84BE-4842CB7DFAE5}"/>
    <cellStyle name="Normal 5 3 6 3 4 2" xfId="22507" xr:uid="{1732D732-4E20-44EF-9228-E16D39D30879}"/>
    <cellStyle name="Normal 5 3 6 3 5" xfId="18296" xr:uid="{AF072791-33E9-47A7-8F7C-4C3BBB43A75A}"/>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48756039-41FA-4ED4-B016-C2184E097D28}"/>
    <cellStyle name="Normal 5 3 6 4 2 2 3" xfId="29276" xr:uid="{44E83D6F-FC2D-4F9B-84CD-CC4421C741EB}"/>
    <cellStyle name="Normal 5 3 6 4 2 3" xfId="12425" xr:uid="{722C5600-D49F-4FFD-B654-4CB30A31B40E}"/>
    <cellStyle name="Normal 5 3 6 4 2 3 2" xfId="25065" xr:uid="{5DCDCCCD-5E84-4DE6-9518-3DC4E1BE8D3A}"/>
    <cellStyle name="Normal 5 3 6 4 2 4" xfId="20854" xr:uid="{64AFC320-F763-469A-A050-BC1DA0AC0A42}"/>
    <cellStyle name="Normal 5 3 6 4 3" xfId="6069" xr:uid="{00000000-0005-0000-0000-0000971A0000}"/>
    <cellStyle name="Normal 5 3 6 4 3 2" xfId="14498" xr:uid="{BBA10F76-C27C-44F9-8CD3-6A1AF75F7ACB}"/>
    <cellStyle name="Normal 5 3 6 4 3 3" xfId="27131" xr:uid="{53434EF9-ACE6-40BF-B6E1-194CF5D7D3C6}"/>
    <cellStyle name="Normal 5 3 6 4 4" xfId="10280" xr:uid="{96D507DF-6E0D-45B9-8398-BD5F9AA97431}"/>
    <cellStyle name="Normal 5 3 6 4 4 2" xfId="22920" xr:uid="{7967F203-280C-413F-BBCB-821C58CA1432}"/>
    <cellStyle name="Normal 5 3 6 4 5" xfId="18709" xr:uid="{92A5CF7E-02E2-4E9A-B9AC-9519C425582A}"/>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C1B89225-BBCB-4FFB-8910-1B5DE7791844}"/>
    <cellStyle name="Normal 5 3 6 5 2 2 3" xfId="29689" xr:uid="{ACD235F5-6BCD-49ED-8EC6-14A13F94AFBF}"/>
    <cellStyle name="Normal 5 3 6 5 2 3" xfId="12838" xr:uid="{D5D254D9-222C-4DC2-B631-9B4EF6F9DA04}"/>
    <cellStyle name="Normal 5 3 6 5 2 3 2" xfId="25478" xr:uid="{7B9B024F-946F-41E5-9C49-61B47B14FED7}"/>
    <cellStyle name="Normal 5 3 6 5 2 4" xfId="21267" xr:uid="{E497965F-C5E2-44FF-B9AC-9EBEA9BC6D5D}"/>
    <cellStyle name="Normal 5 3 6 5 3" xfId="6482" xr:uid="{00000000-0005-0000-0000-00009B1A0000}"/>
    <cellStyle name="Normal 5 3 6 5 3 2" xfId="14911" xr:uid="{51ACC8CA-2CD9-48FE-8F97-B833B9B3CEE4}"/>
    <cellStyle name="Normal 5 3 6 5 3 3" xfId="27544" xr:uid="{DC3660EF-8E09-462A-9805-F1102ECFA489}"/>
    <cellStyle name="Normal 5 3 6 5 4" xfId="10693" xr:uid="{9C2E398A-F3EE-4929-82AB-4150BA57652D}"/>
    <cellStyle name="Normal 5 3 6 5 4 2" xfId="23333" xr:uid="{C4C56A22-0470-4892-AE65-4789DDFB53CC}"/>
    <cellStyle name="Normal 5 3 6 5 5" xfId="19122" xr:uid="{A37AA580-E5A6-4BBF-BE4F-9CC4D7E50130}"/>
    <cellStyle name="Normal 5 3 6 6" xfId="2610" xr:uid="{00000000-0005-0000-0000-00009C1A0000}"/>
    <cellStyle name="Normal 5 3 6 6 2" xfId="6895" xr:uid="{00000000-0005-0000-0000-00009D1A0000}"/>
    <cellStyle name="Normal 5 3 6 6 2 2" xfId="15324" xr:uid="{04563C02-A59D-4177-A166-BF1FD2EA8DCE}"/>
    <cellStyle name="Normal 5 3 6 6 2 3" xfId="27957" xr:uid="{DE61822E-8244-46F7-BB73-49020CD878AB}"/>
    <cellStyle name="Normal 5 3 6 6 3" xfId="11106" xr:uid="{5517AF0A-5A3D-4D47-875A-837A4972CEFB}"/>
    <cellStyle name="Normal 5 3 6 6 3 2" xfId="23746" xr:uid="{CC483E73-B476-4F16-97CF-1C51E6652848}"/>
    <cellStyle name="Normal 5 3 6 6 4" xfId="19535" xr:uid="{8EF8DAA9-F6B7-44E0-8325-74FDBADE1DE0}"/>
    <cellStyle name="Normal 5 3 6 7" xfId="4830" xr:uid="{00000000-0005-0000-0000-00009E1A0000}"/>
    <cellStyle name="Normal 5 3 6 7 2" xfId="13259" xr:uid="{48D7F186-19AB-4E58-96AB-F15326A4A47E}"/>
    <cellStyle name="Normal 5 3 6 7 3" xfId="25892" xr:uid="{A0B0E349-23B4-492E-B450-5B845435237B}"/>
    <cellStyle name="Normal 5 3 6 8" xfId="9041" xr:uid="{4C5803B4-DEC3-4CE5-AD05-0DB7F9844B1C}"/>
    <cellStyle name="Normal 5 3 6 8 2" xfId="21681" xr:uid="{8E9A0E32-AD35-48A9-9566-5B134A00083E}"/>
    <cellStyle name="Normal 5 3 6 9" xfId="17470" xr:uid="{14CB63BC-184A-413F-9388-8A6BDBF49346}"/>
    <cellStyle name="Normal 5 3 7" xfId="914" xr:uid="{00000000-0005-0000-0000-00009F1A0000}"/>
    <cellStyle name="Normal 5 3 7 2" xfId="3149" xr:uid="{00000000-0005-0000-0000-0000A01A0000}"/>
    <cellStyle name="Normal 5 3 7 2 2" xfId="7373" xr:uid="{00000000-0005-0000-0000-0000A11A0000}"/>
    <cellStyle name="Normal 5 3 7 2 2 2" xfId="15802" xr:uid="{83FA9271-2251-407B-B950-3541077B70BE}"/>
    <cellStyle name="Normal 5 3 7 2 2 3" xfId="28435" xr:uid="{6B5DA473-E73A-4F24-92FF-FE18255D6847}"/>
    <cellStyle name="Normal 5 3 7 2 3" xfId="11584" xr:uid="{59F8F356-3679-430B-920F-92F5CB3F3A0B}"/>
    <cellStyle name="Normal 5 3 7 2 3 2" xfId="24224" xr:uid="{9325EE83-30E4-43DF-8F58-69D19DB88CFF}"/>
    <cellStyle name="Normal 5 3 7 2 4" xfId="20013" xr:uid="{FE55B85C-236F-4394-81E2-F1DEBD164812}"/>
    <cellStyle name="Normal 5 3 7 3" xfId="5228" xr:uid="{00000000-0005-0000-0000-0000A21A0000}"/>
    <cellStyle name="Normal 5 3 7 3 2" xfId="13657" xr:uid="{D40FFB7B-0E39-4B60-B7A0-2303AB5356D8}"/>
    <cellStyle name="Normal 5 3 7 3 3" xfId="26290" xr:uid="{F36EF23B-F518-4FD6-AB0F-A98F37CF1996}"/>
    <cellStyle name="Normal 5 3 7 4" xfId="9439" xr:uid="{21066E2D-537A-4922-82A4-5D7C3235506B}"/>
    <cellStyle name="Normal 5 3 7 4 2" xfId="22079" xr:uid="{204E439C-7009-4358-B380-AB86661B1B10}"/>
    <cellStyle name="Normal 5 3 7 5" xfId="17868" xr:uid="{B15EAE1D-A029-44FA-9190-4B09F06034F0}"/>
    <cellStyle name="Normal 5 3 8" xfId="1332" xr:uid="{00000000-0005-0000-0000-0000A31A0000}"/>
    <cellStyle name="Normal 5 3 8 2" xfId="3562" xr:uid="{00000000-0005-0000-0000-0000A41A0000}"/>
    <cellStyle name="Normal 5 3 8 2 2" xfId="7786" xr:uid="{00000000-0005-0000-0000-0000A51A0000}"/>
    <cellStyle name="Normal 5 3 8 2 2 2" xfId="16215" xr:uid="{1F8F4669-4CFD-42D7-905C-6C352F27749B}"/>
    <cellStyle name="Normal 5 3 8 2 2 3" xfId="28848" xr:uid="{46D36DEC-9C28-4EFF-A267-ECD80E785681}"/>
    <cellStyle name="Normal 5 3 8 2 3" xfId="11997" xr:uid="{DE94714D-7019-47B3-A6BC-F603C6CB9BA9}"/>
    <cellStyle name="Normal 5 3 8 2 3 2" xfId="24637" xr:uid="{8FC20DEC-9252-451B-B936-E8036CF41419}"/>
    <cellStyle name="Normal 5 3 8 2 4" xfId="20426" xr:uid="{118A6A81-5D1A-4B27-9290-7D315725736F}"/>
    <cellStyle name="Normal 5 3 8 3" xfId="5641" xr:uid="{00000000-0005-0000-0000-0000A61A0000}"/>
    <cellStyle name="Normal 5 3 8 3 2" xfId="14070" xr:uid="{96C9B2D4-9ECF-4226-A8F1-2F0001BB9193}"/>
    <cellStyle name="Normal 5 3 8 3 3" xfId="26703" xr:uid="{0EE1196C-0374-4D36-9B5D-83B5C53E8653}"/>
    <cellStyle name="Normal 5 3 8 4" xfId="9852" xr:uid="{BED67AF9-FBDA-447B-A039-B87A48F1CC4F}"/>
    <cellStyle name="Normal 5 3 8 4 2" xfId="22492" xr:uid="{9B2B96C7-D569-45CB-8989-842A1432421A}"/>
    <cellStyle name="Normal 5 3 8 5" xfId="18281" xr:uid="{B939826D-AEDC-405F-9434-7D55DF415821}"/>
    <cellStyle name="Normal 5 3 9" xfId="1745" xr:uid="{00000000-0005-0000-0000-0000A71A0000}"/>
    <cellStyle name="Normal 5 3 9 2" xfId="3975" xr:uid="{00000000-0005-0000-0000-0000A81A0000}"/>
    <cellStyle name="Normal 5 3 9 2 2" xfId="8199" xr:uid="{00000000-0005-0000-0000-0000A91A0000}"/>
    <cellStyle name="Normal 5 3 9 2 2 2" xfId="16628" xr:uid="{194BDC54-7FCC-4129-AB70-7139B6A81EA2}"/>
    <cellStyle name="Normal 5 3 9 2 2 3" xfId="29261" xr:uid="{ED0F0610-2497-4B2C-AD36-B35FFE019C8F}"/>
    <cellStyle name="Normal 5 3 9 2 3" xfId="12410" xr:uid="{2292AA93-9AA8-4B89-BC12-F5BE6F0C7928}"/>
    <cellStyle name="Normal 5 3 9 2 3 2" xfId="25050" xr:uid="{ED557B6A-87F9-4D6D-8DC4-F10912982BD9}"/>
    <cellStyle name="Normal 5 3 9 2 4" xfId="20839" xr:uid="{C5EC14D4-7552-47EC-B8B1-E4CCCA219A24}"/>
    <cellStyle name="Normal 5 3 9 3" xfId="6054" xr:uid="{00000000-0005-0000-0000-0000AA1A0000}"/>
    <cellStyle name="Normal 5 3 9 3 2" xfId="14483" xr:uid="{3BC7CF90-48EB-47AE-BF39-9CAD7CFA0177}"/>
    <cellStyle name="Normal 5 3 9 3 3" xfId="27116" xr:uid="{6BAD73EC-5494-4A95-8543-93B709F5BADE}"/>
    <cellStyle name="Normal 5 3 9 4" xfId="10265" xr:uid="{0A46D70F-1247-46C7-911A-DD91B62074B1}"/>
    <cellStyle name="Normal 5 3 9 4 2" xfId="22905" xr:uid="{BF8B49C1-A0B8-484F-9E24-FF55A34D3F7E}"/>
    <cellStyle name="Normal 5 3 9 5" xfId="18694" xr:uid="{1051DBCD-C595-4A21-AE88-09C11EA3483A}"/>
    <cellStyle name="Normal 5 4" xfId="456" xr:uid="{00000000-0005-0000-0000-0000AB1A0000}"/>
    <cellStyle name="Normal 5 4 10" xfId="4831" xr:uid="{00000000-0005-0000-0000-0000AC1A0000}"/>
    <cellStyle name="Normal 5 4 10 2" xfId="13260" xr:uid="{6D904875-E0DD-431A-88A3-41E7D05F2CC4}"/>
    <cellStyle name="Normal 5 4 10 3" xfId="25893" xr:uid="{A60178B0-27CD-47AD-A39B-7583038EFF76}"/>
    <cellStyle name="Normal 5 4 11" xfId="9042" xr:uid="{ECB50BA6-658E-413A-8257-686F0174A6E2}"/>
    <cellStyle name="Normal 5 4 11 2" xfId="21682" xr:uid="{9F4693FB-73B4-41D9-B859-2542AD8B7A9D}"/>
    <cellStyle name="Normal 5 4 12" xfId="17471" xr:uid="{26C2E227-7120-4F82-81D6-B4BA978AA6A9}"/>
    <cellStyle name="Normal 5 4 2" xfId="457" xr:uid="{00000000-0005-0000-0000-0000AD1A0000}"/>
    <cellStyle name="Normal 5 4 2 10" xfId="9043" xr:uid="{4AB57703-FE7C-4338-BCA1-74B1BCA04C37}"/>
    <cellStyle name="Normal 5 4 2 10 2" xfId="21683" xr:uid="{51D605B2-EA68-4ECF-B520-82B05FFD6A93}"/>
    <cellStyle name="Normal 5 4 2 11" xfId="17472" xr:uid="{0E337F7E-0A67-4B72-AD80-77914CF649EC}"/>
    <cellStyle name="Normal 5 4 2 2" xfId="458" xr:uid="{00000000-0005-0000-0000-0000AE1A0000}"/>
    <cellStyle name="Normal 5 4 2 2 10" xfId="17473" xr:uid="{64C0A47C-34CD-4BCD-A9B3-E6555BB970D4}"/>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C705EFAA-2DAF-41FD-AD0E-83E82749B60F}"/>
    <cellStyle name="Normal 5 4 2 2 2 2 2 2 3" xfId="28454" xr:uid="{CA385E4F-FE13-4874-9FE9-4545FF039D0D}"/>
    <cellStyle name="Normal 5 4 2 2 2 2 2 3" xfId="11603" xr:uid="{122260FF-56EA-4F5D-93F9-D4AFECCD3963}"/>
    <cellStyle name="Normal 5 4 2 2 2 2 2 3 2" xfId="24243" xr:uid="{944E13A7-8425-4281-A510-4D6558589D42}"/>
    <cellStyle name="Normal 5 4 2 2 2 2 2 4" xfId="20032" xr:uid="{FBA00AB7-27DA-43DE-9AAA-3F5D3C699957}"/>
    <cellStyle name="Normal 5 4 2 2 2 2 3" xfId="5247" xr:uid="{00000000-0005-0000-0000-0000B31A0000}"/>
    <cellStyle name="Normal 5 4 2 2 2 2 3 2" xfId="13676" xr:uid="{32FE811C-6DB6-4FD7-A78B-E92EBC1A3F02}"/>
    <cellStyle name="Normal 5 4 2 2 2 2 3 3" xfId="26309" xr:uid="{1FF11221-C224-4BB1-B065-56EFEC1BF9F6}"/>
    <cellStyle name="Normal 5 4 2 2 2 2 4" xfId="9458" xr:uid="{593FC27F-86BD-4071-A4D7-C9D96B0F9470}"/>
    <cellStyle name="Normal 5 4 2 2 2 2 4 2" xfId="22098" xr:uid="{9EE4737E-68EB-4D84-BFDD-7D6749F65D99}"/>
    <cellStyle name="Normal 5 4 2 2 2 2 5" xfId="17887" xr:uid="{FB895308-1330-4C4F-BFA1-6640BDDD241F}"/>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DDDAA960-8C41-4F34-84AD-D6DEC9A48B65}"/>
    <cellStyle name="Normal 5 4 2 2 2 3 2 2 3" xfId="28867" xr:uid="{7FDA6D0F-13E5-479C-A499-E5381EA4CBEE}"/>
    <cellStyle name="Normal 5 4 2 2 2 3 2 3" xfId="12016" xr:uid="{D5C7F025-A5DD-4AF3-AB06-9469A8A3521F}"/>
    <cellStyle name="Normal 5 4 2 2 2 3 2 3 2" xfId="24656" xr:uid="{8937DCBD-71E8-4304-B732-11FE4A18E623}"/>
    <cellStyle name="Normal 5 4 2 2 2 3 2 4" xfId="20445" xr:uid="{CB9138FB-353B-4C1F-8EC9-7141FED167FA}"/>
    <cellStyle name="Normal 5 4 2 2 2 3 3" xfId="5660" xr:uid="{00000000-0005-0000-0000-0000B71A0000}"/>
    <cellStyle name="Normal 5 4 2 2 2 3 3 2" xfId="14089" xr:uid="{0566C94E-F767-44E1-B542-23F98D40F870}"/>
    <cellStyle name="Normal 5 4 2 2 2 3 3 3" xfId="26722" xr:uid="{E265E539-8765-48E2-9B6A-7046E5323FB1}"/>
    <cellStyle name="Normal 5 4 2 2 2 3 4" xfId="9871" xr:uid="{3C46C223-89E1-41E1-B993-33C0AFBB45BE}"/>
    <cellStyle name="Normal 5 4 2 2 2 3 4 2" xfId="22511" xr:uid="{DA19CFBC-8840-493E-8898-A34D94ED8DB1}"/>
    <cellStyle name="Normal 5 4 2 2 2 3 5" xfId="18300" xr:uid="{5F524918-42A5-46C0-969E-B909FA73EC78}"/>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46CF8CD8-B04F-4B1E-BA00-942F353FF3B8}"/>
    <cellStyle name="Normal 5 4 2 2 2 4 2 2 3" xfId="29280" xr:uid="{669E7340-8061-4422-AF6C-646EDB4250FC}"/>
    <cellStyle name="Normal 5 4 2 2 2 4 2 3" xfId="12429" xr:uid="{8C7CBA81-6744-4A54-8C64-2B57D9F84F49}"/>
    <cellStyle name="Normal 5 4 2 2 2 4 2 3 2" xfId="25069" xr:uid="{D4CCEDB5-2856-4B98-B8D8-137A122148D1}"/>
    <cellStyle name="Normal 5 4 2 2 2 4 2 4" xfId="20858" xr:uid="{A0141870-E1A2-4850-AE04-1E84FEC20D8E}"/>
    <cellStyle name="Normal 5 4 2 2 2 4 3" xfId="6073" xr:uid="{00000000-0005-0000-0000-0000BB1A0000}"/>
    <cellStyle name="Normal 5 4 2 2 2 4 3 2" xfId="14502" xr:uid="{EACE539E-6B8D-4E06-9AB8-379C16A09AB1}"/>
    <cellStyle name="Normal 5 4 2 2 2 4 3 3" xfId="27135" xr:uid="{A9F7A7CB-642F-4D36-B49B-26861F0D852E}"/>
    <cellStyle name="Normal 5 4 2 2 2 4 4" xfId="10284" xr:uid="{D6D134FE-A423-401C-953E-874CA4D2B4D7}"/>
    <cellStyle name="Normal 5 4 2 2 2 4 4 2" xfId="22924" xr:uid="{1EFB6AAA-518F-472E-8298-482F3013446F}"/>
    <cellStyle name="Normal 5 4 2 2 2 4 5" xfId="18713" xr:uid="{7FC40983-6B31-4C9E-8234-BFE05DC455A4}"/>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23674417-5166-4C76-B2E1-89C763347AAA}"/>
    <cellStyle name="Normal 5 4 2 2 2 5 2 2 3" xfId="29693" xr:uid="{11070A1B-FF59-4AEB-AFDF-2F47D38BE788}"/>
    <cellStyle name="Normal 5 4 2 2 2 5 2 3" xfId="12842" xr:uid="{DF2DF5DB-D705-4393-9845-511D76887763}"/>
    <cellStyle name="Normal 5 4 2 2 2 5 2 3 2" xfId="25482" xr:uid="{4DB7DECA-F371-4919-A0DD-72DFBAA66AB6}"/>
    <cellStyle name="Normal 5 4 2 2 2 5 2 4" xfId="21271" xr:uid="{CB133ECF-419C-47CA-A7D2-3F561ED8B341}"/>
    <cellStyle name="Normal 5 4 2 2 2 5 3" xfId="6486" xr:uid="{00000000-0005-0000-0000-0000BF1A0000}"/>
    <cellStyle name="Normal 5 4 2 2 2 5 3 2" xfId="14915" xr:uid="{15C1EF9A-3271-4791-9B94-1816F5508816}"/>
    <cellStyle name="Normal 5 4 2 2 2 5 3 3" xfId="27548" xr:uid="{21F674E7-1644-4F21-81BF-D4A02404C9D3}"/>
    <cellStyle name="Normal 5 4 2 2 2 5 4" xfId="10697" xr:uid="{5C1A3CEC-B34D-4EB9-9966-83425531FE74}"/>
    <cellStyle name="Normal 5 4 2 2 2 5 4 2" xfId="23337" xr:uid="{FEF20FFA-4816-4CD7-A6A3-DF3657E77A47}"/>
    <cellStyle name="Normal 5 4 2 2 2 5 5" xfId="19126" xr:uid="{472CB8B2-D5E3-420A-B5EB-72D2EF36A6A8}"/>
    <cellStyle name="Normal 5 4 2 2 2 6" xfId="2614" xr:uid="{00000000-0005-0000-0000-0000C01A0000}"/>
    <cellStyle name="Normal 5 4 2 2 2 6 2" xfId="6899" xr:uid="{00000000-0005-0000-0000-0000C11A0000}"/>
    <cellStyle name="Normal 5 4 2 2 2 6 2 2" xfId="15328" xr:uid="{C0A85DA6-FDD2-423F-9A97-C8F092CBE488}"/>
    <cellStyle name="Normal 5 4 2 2 2 6 2 3" xfId="27961" xr:uid="{50DEDC9F-F18B-452B-ACB7-418FDC7E6D10}"/>
    <cellStyle name="Normal 5 4 2 2 2 6 3" xfId="11110" xr:uid="{95EF5931-915A-4DCF-BDC7-7E91F978D6FD}"/>
    <cellStyle name="Normal 5 4 2 2 2 6 3 2" xfId="23750" xr:uid="{3722ED96-9EDC-4044-8E45-0842C11027DA}"/>
    <cellStyle name="Normal 5 4 2 2 2 6 4" xfId="19539" xr:uid="{B29AC479-43FA-4D13-8A84-71D854A14B23}"/>
    <cellStyle name="Normal 5 4 2 2 2 7" xfId="4834" xr:uid="{00000000-0005-0000-0000-0000C21A0000}"/>
    <cellStyle name="Normal 5 4 2 2 2 7 2" xfId="13263" xr:uid="{446D04B8-1E5C-41E3-83B8-68336267C186}"/>
    <cellStyle name="Normal 5 4 2 2 2 7 3" xfId="25896" xr:uid="{20499369-5793-4BEE-B519-BC4BBA7FF621}"/>
    <cellStyle name="Normal 5 4 2 2 2 8" xfId="9045" xr:uid="{75FE077A-FE83-4DFF-A4B6-9EECA69D6BCA}"/>
    <cellStyle name="Normal 5 4 2 2 2 8 2" xfId="21685" xr:uid="{4FA041A5-C5E1-46CC-96DC-FEF28C7041A5}"/>
    <cellStyle name="Normal 5 4 2 2 2 9" xfId="17474" xr:uid="{58457769-7919-4F80-B503-2F1081FD65AE}"/>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17D4AC81-BDED-4513-B2A6-501E65F980D8}"/>
    <cellStyle name="Normal 5 4 2 2 3 2 2 3" xfId="28453" xr:uid="{05870BBD-FD7F-4C2D-B535-3A9968B14652}"/>
    <cellStyle name="Normal 5 4 2 2 3 2 3" xfId="11602" xr:uid="{75B67D29-59BA-48CF-AD63-89BE4F09955E}"/>
    <cellStyle name="Normal 5 4 2 2 3 2 3 2" xfId="24242" xr:uid="{34E5CFA7-7A0F-4DE7-902A-A4DB0AA07315}"/>
    <cellStyle name="Normal 5 4 2 2 3 2 4" xfId="20031" xr:uid="{546B3E46-0913-4B2B-8304-9C78001D184F}"/>
    <cellStyle name="Normal 5 4 2 2 3 3" xfId="5246" xr:uid="{00000000-0005-0000-0000-0000C61A0000}"/>
    <cellStyle name="Normal 5 4 2 2 3 3 2" xfId="13675" xr:uid="{7E0752F8-A06D-4D8A-A6F7-E1D29F33B2AA}"/>
    <cellStyle name="Normal 5 4 2 2 3 3 3" xfId="26308" xr:uid="{03ABB233-2781-4B0A-A4FA-43B3634EC785}"/>
    <cellStyle name="Normal 5 4 2 2 3 4" xfId="9457" xr:uid="{FE1C9641-E615-4249-9AD1-407B1F4C1F08}"/>
    <cellStyle name="Normal 5 4 2 2 3 4 2" xfId="22097" xr:uid="{888CB6B1-58CA-462A-9654-0CCA11F1CBB5}"/>
    <cellStyle name="Normal 5 4 2 2 3 5" xfId="17886" xr:uid="{E50C67C7-C2CC-4661-BF88-9D65ACA9DBD9}"/>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E3639808-F6FA-4048-AC61-3C83AF049AFE}"/>
    <cellStyle name="Normal 5 4 2 2 4 2 2 3" xfId="28866" xr:uid="{61519CCB-5399-4581-9143-C821C8BA6A46}"/>
    <cellStyle name="Normal 5 4 2 2 4 2 3" xfId="12015" xr:uid="{5D970EAA-39C2-4716-B010-4CA5F35C0B7E}"/>
    <cellStyle name="Normal 5 4 2 2 4 2 3 2" xfId="24655" xr:uid="{E44EC002-C0CC-44A1-9314-8BC86558FE3F}"/>
    <cellStyle name="Normal 5 4 2 2 4 2 4" xfId="20444" xr:uid="{88187A96-4DFE-4458-A61C-7C92E3B94942}"/>
    <cellStyle name="Normal 5 4 2 2 4 3" xfId="5659" xr:uid="{00000000-0005-0000-0000-0000CA1A0000}"/>
    <cellStyle name="Normal 5 4 2 2 4 3 2" xfId="14088" xr:uid="{F6F44A52-791C-4265-AD40-780DD6583001}"/>
    <cellStyle name="Normal 5 4 2 2 4 3 3" xfId="26721" xr:uid="{976DC602-9E21-4C8B-A4C1-D0133B5181B7}"/>
    <cellStyle name="Normal 5 4 2 2 4 4" xfId="9870" xr:uid="{278106BA-7BD2-45A5-A5D5-EC1BD6A37334}"/>
    <cellStyle name="Normal 5 4 2 2 4 4 2" xfId="22510" xr:uid="{3398B6AA-736E-499E-BE74-78EE6016AAC4}"/>
    <cellStyle name="Normal 5 4 2 2 4 5" xfId="18299" xr:uid="{05E53C03-CB2A-40E3-AF34-25B4A00F22E2}"/>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165B91A0-F557-43E8-B211-D5811F93322D}"/>
    <cellStyle name="Normal 5 4 2 2 5 2 2 3" xfId="29279" xr:uid="{D2F789AF-9B08-4394-979D-9E713AB8A6FF}"/>
    <cellStyle name="Normal 5 4 2 2 5 2 3" xfId="12428" xr:uid="{28722110-0BCD-4B8F-BC04-8B18E1002BA0}"/>
    <cellStyle name="Normal 5 4 2 2 5 2 3 2" xfId="25068" xr:uid="{AD690D1C-8250-488F-A4C8-6442B740A532}"/>
    <cellStyle name="Normal 5 4 2 2 5 2 4" xfId="20857" xr:uid="{A7748155-BE00-4FE3-85F2-28B356D58526}"/>
    <cellStyle name="Normal 5 4 2 2 5 3" xfId="6072" xr:uid="{00000000-0005-0000-0000-0000CE1A0000}"/>
    <cellStyle name="Normal 5 4 2 2 5 3 2" xfId="14501" xr:uid="{19837628-23F7-454E-87A9-44AF861E4A3C}"/>
    <cellStyle name="Normal 5 4 2 2 5 3 3" xfId="27134" xr:uid="{7527F2AB-ECF2-4731-8543-095CADDA40D9}"/>
    <cellStyle name="Normal 5 4 2 2 5 4" xfId="10283" xr:uid="{B505A940-E839-4050-BB1A-1B414242A862}"/>
    <cellStyle name="Normal 5 4 2 2 5 4 2" xfId="22923" xr:uid="{71DF75FD-FE73-442C-AA8B-B2116A8FBCB5}"/>
    <cellStyle name="Normal 5 4 2 2 5 5" xfId="18712" xr:uid="{9617E395-5153-4110-8BED-44A91F0C46D0}"/>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27E58596-55FA-4D00-A5F2-E62493770EF2}"/>
    <cellStyle name="Normal 5 4 2 2 6 2 2 3" xfId="29692" xr:uid="{9EC0555A-7A28-47F8-B557-BBD5CA1B0196}"/>
    <cellStyle name="Normal 5 4 2 2 6 2 3" xfId="12841" xr:uid="{50296818-9DFF-4F17-8EBA-08F6112B8CCB}"/>
    <cellStyle name="Normal 5 4 2 2 6 2 3 2" xfId="25481" xr:uid="{3755B164-388E-4F06-A252-9C21F75461EE}"/>
    <cellStyle name="Normal 5 4 2 2 6 2 4" xfId="21270" xr:uid="{E9ED6DB1-4070-4499-8CEF-1A4A41E5403F}"/>
    <cellStyle name="Normal 5 4 2 2 6 3" xfId="6485" xr:uid="{00000000-0005-0000-0000-0000D21A0000}"/>
    <cellStyle name="Normal 5 4 2 2 6 3 2" xfId="14914" xr:uid="{12D5182B-06F2-40BF-B79E-43EBC1D63E6D}"/>
    <cellStyle name="Normal 5 4 2 2 6 3 3" xfId="27547" xr:uid="{3629B603-472C-4CBB-8237-D524789B19D2}"/>
    <cellStyle name="Normal 5 4 2 2 6 4" xfId="10696" xr:uid="{B2654F1D-4158-4BD3-9F81-B07303490AAE}"/>
    <cellStyle name="Normal 5 4 2 2 6 4 2" xfId="23336" xr:uid="{9E367D63-0170-46C7-B613-CB3A985CBBE0}"/>
    <cellStyle name="Normal 5 4 2 2 6 5" xfId="19125" xr:uid="{563B25FF-5098-4CA9-AF5E-622156D51095}"/>
    <cellStyle name="Normal 5 4 2 2 7" xfId="2613" xr:uid="{00000000-0005-0000-0000-0000D31A0000}"/>
    <cellStyle name="Normal 5 4 2 2 7 2" xfId="6898" xr:uid="{00000000-0005-0000-0000-0000D41A0000}"/>
    <cellStyle name="Normal 5 4 2 2 7 2 2" xfId="15327" xr:uid="{29B897E3-3F88-436A-8F9C-E1046E9CE203}"/>
    <cellStyle name="Normal 5 4 2 2 7 2 3" xfId="27960" xr:uid="{4914A444-EA4C-4F77-82C3-70748BE171F9}"/>
    <cellStyle name="Normal 5 4 2 2 7 3" xfId="11109" xr:uid="{6E97EF45-5F43-4C21-8EB7-78EE6E5D4A01}"/>
    <cellStyle name="Normal 5 4 2 2 7 3 2" xfId="23749" xr:uid="{451A3855-8C12-49D8-A94C-9A43E7A96BC9}"/>
    <cellStyle name="Normal 5 4 2 2 7 4" xfId="19538" xr:uid="{14243B20-3E1C-4CAA-82F4-9CC3544B1D38}"/>
    <cellStyle name="Normal 5 4 2 2 8" xfId="4833" xr:uid="{00000000-0005-0000-0000-0000D51A0000}"/>
    <cellStyle name="Normal 5 4 2 2 8 2" xfId="13262" xr:uid="{19A13D9D-9D0A-4906-874A-DB34721AE6CF}"/>
    <cellStyle name="Normal 5 4 2 2 8 3" xfId="25895" xr:uid="{F99A64BA-D38D-46D3-84FD-D1A7518BEB6B}"/>
    <cellStyle name="Normal 5 4 2 2 9" xfId="9044" xr:uid="{B336BD05-2F8D-4F8E-86A2-5889B3591F0B}"/>
    <cellStyle name="Normal 5 4 2 2 9 2" xfId="21684" xr:uid="{6E8512DB-2DE5-4BFC-A571-5CD6F2A3BB13}"/>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22F855AA-EBFF-4B6C-9DCE-301EAEBD0F5A}"/>
    <cellStyle name="Normal 5 4 2 3 2 2 2 3" xfId="28455" xr:uid="{9FA508DC-15CF-4076-8BD5-BF4F74BCC269}"/>
    <cellStyle name="Normal 5 4 2 3 2 2 3" xfId="11604" xr:uid="{DA62C0EB-FACC-4047-88EC-F16FC3CDB574}"/>
    <cellStyle name="Normal 5 4 2 3 2 2 3 2" xfId="24244" xr:uid="{92D8B1D2-0FE7-4451-94E0-75C5EBC5168D}"/>
    <cellStyle name="Normal 5 4 2 3 2 2 4" xfId="20033" xr:uid="{E08C28B2-C097-4C74-AE9D-D6C15EB36134}"/>
    <cellStyle name="Normal 5 4 2 3 2 3" xfId="5248" xr:uid="{00000000-0005-0000-0000-0000DA1A0000}"/>
    <cellStyle name="Normal 5 4 2 3 2 3 2" xfId="13677" xr:uid="{2850DB5C-F707-4DDC-83F9-976A73A0A89B}"/>
    <cellStyle name="Normal 5 4 2 3 2 3 3" xfId="26310" xr:uid="{CD3BC66C-0A14-432C-B310-5992942C367C}"/>
    <cellStyle name="Normal 5 4 2 3 2 4" xfId="9459" xr:uid="{2FDF04C8-AB77-4B49-B570-438EACE28741}"/>
    <cellStyle name="Normal 5 4 2 3 2 4 2" xfId="22099" xr:uid="{F2F31423-30B5-470A-9B73-1AF730DED38C}"/>
    <cellStyle name="Normal 5 4 2 3 2 5" xfId="17888" xr:uid="{EB68C177-5EC6-4E46-BD2F-6E8E6AD8B2C0}"/>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AD938F8D-AFC5-4C9C-98EC-9E925871EF98}"/>
    <cellStyle name="Normal 5 4 2 3 3 2 2 3" xfId="28868" xr:uid="{F8776ADA-6DA3-49E7-8C7E-764B0AD4298C}"/>
    <cellStyle name="Normal 5 4 2 3 3 2 3" xfId="12017" xr:uid="{9F3D908E-8FDB-4762-8BD4-E14EE9C64E5B}"/>
    <cellStyle name="Normal 5 4 2 3 3 2 3 2" xfId="24657" xr:uid="{EA09223C-0C1D-4517-997D-DD964289FF8E}"/>
    <cellStyle name="Normal 5 4 2 3 3 2 4" xfId="20446" xr:uid="{CA37857A-B01D-46E9-A507-D1243196E780}"/>
    <cellStyle name="Normal 5 4 2 3 3 3" xfId="5661" xr:uid="{00000000-0005-0000-0000-0000DE1A0000}"/>
    <cellStyle name="Normal 5 4 2 3 3 3 2" xfId="14090" xr:uid="{898438B0-1456-4F77-A28C-F4B9CF11CF0F}"/>
    <cellStyle name="Normal 5 4 2 3 3 3 3" xfId="26723" xr:uid="{B41DC8A1-9B4F-4E59-9734-3461B1469F35}"/>
    <cellStyle name="Normal 5 4 2 3 3 4" xfId="9872" xr:uid="{D7074FE0-619B-4402-8F19-EA53DA8A6373}"/>
    <cellStyle name="Normal 5 4 2 3 3 4 2" xfId="22512" xr:uid="{2E372FC4-8C07-4805-AF2D-A44F3ECC505B}"/>
    <cellStyle name="Normal 5 4 2 3 3 5" xfId="18301" xr:uid="{9D080D60-7F86-4BA5-934C-689796C8BD12}"/>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1E73D8A9-92A2-4F93-9378-AC075E2B8739}"/>
    <cellStyle name="Normal 5 4 2 3 4 2 2 3" xfId="29281" xr:uid="{6021DD9F-4118-4217-AB63-BFC6E3D58259}"/>
    <cellStyle name="Normal 5 4 2 3 4 2 3" xfId="12430" xr:uid="{853B7A0A-036A-4DBA-840A-AABF909437BB}"/>
    <cellStyle name="Normal 5 4 2 3 4 2 3 2" xfId="25070" xr:uid="{6928EC6A-DEA4-4EA8-9448-B1EB5B4C97D5}"/>
    <cellStyle name="Normal 5 4 2 3 4 2 4" xfId="20859" xr:uid="{10B60D9E-99E0-4671-9CE6-F01E5AD90812}"/>
    <cellStyle name="Normal 5 4 2 3 4 3" xfId="6074" xr:uid="{00000000-0005-0000-0000-0000E21A0000}"/>
    <cellStyle name="Normal 5 4 2 3 4 3 2" xfId="14503" xr:uid="{9F7B8F27-4A65-4DEE-AF37-00A1BCD0C491}"/>
    <cellStyle name="Normal 5 4 2 3 4 3 3" xfId="27136" xr:uid="{2BE76083-573A-4C17-931A-B5987532705E}"/>
    <cellStyle name="Normal 5 4 2 3 4 4" xfId="10285" xr:uid="{F3FDD1FA-EECF-4D6B-8D28-1DAABA66CFA5}"/>
    <cellStyle name="Normal 5 4 2 3 4 4 2" xfId="22925" xr:uid="{8A307564-C6D4-4343-8021-835C7A0F0C99}"/>
    <cellStyle name="Normal 5 4 2 3 4 5" xfId="18714" xr:uid="{5AFF636E-EB90-425F-93A1-080CE0558DB9}"/>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1B446062-5641-4B2E-A285-A0FF625CD9B6}"/>
    <cellStyle name="Normal 5 4 2 3 5 2 2 3" xfId="29694" xr:uid="{3472D36E-4AE0-4401-8AA8-81C07D985C9C}"/>
    <cellStyle name="Normal 5 4 2 3 5 2 3" xfId="12843" xr:uid="{E1DFC2FC-CCA6-49EA-802E-5B3EF2970C60}"/>
    <cellStyle name="Normal 5 4 2 3 5 2 3 2" xfId="25483" xr:uid="{2430ECF1-788D-4E4A-8514-B2D25D80623D}"/>
    <cellStyle name="Normal 5 4 2 3 5 2 4" xfId="21272" xr:uid="{0054956D-09F7-4019-9D16-38AAC8EAEE5F}"/>
    <cellStyle name="Normal 5 4 2 3 5 3" xfId="6487" xr:uid="{00000000-0005-0000-0000-0000E61A0000}"/>
    <cellStyle name="Normal 5 4 2 3 5 3 2" xfId="14916" xr:uid="{6A6E82D7-6577-45FF-9F62-5F5B018B5D4B}"/>
    <cellStyle name="Normal 5 4 2 3 5 3 3" xfId="27549" xr:uid="{EA2A0AA8-9714-4239-B8BB-2E7A662D4F2B}"/>
    <cellStyle name="Normal 5 4 2 3 5 4" xfId="10698" xr:uid="{73BF573B-6A95-4824-A926-B8D6C1006B9F}"/>
    <cellStyle name="Normal 5 4 2 3 5 4 2" xfId="23338" xr:uid="{C9971F94-065A-4647-993A-9C5C520375AB}"/>
    <cellStyle name="Normal 5 4 2 3 5 5" xfId="19127" xr:uid="{89BE24AA-B0C4-4A47-800A-49742F786E46}"/>
    <cellStyle name="Normal 5 4 2 3 6" xfId="2615" xr:uid="{00000000-0005-0000-0000-0000E71A0000}"/>
    <cellStyle name="Normal 5 4 2 3 6 2" xfId="6900" xr:uid="{00000000-0005-0000-0000-0000E81A0000}"/>
    <cellStyle name="Normal 5 4 2 3 6 2 2" xfId="15329" xr:uid="{CA338723-0C57-493E-9F14-222B46C293E4}"/>
    <cellStyle name="Normal 5 4 2 3 6 2 3" xfId="27962" xr:uid="{B027E367-AF2C-4815-A07C-854E4D6C6760}"/>
    <cellStyle name="Normal 5 4 2 3 6 3" xfId="11111" xr:uid="{D852E033-B32C-4D54-B71D-F612A2F72A5F}"/>
    <cellStyle name="Normal 5 4 2 3 6 3 2" xfId="23751" xr:uid="{E084EEE1-150D-4256-B487-91ABCC8F41A8}"/>
    <cellStyle name="Normal 5 4 2 3 6 4" xfId="19540" xr:uid="{37D11827-02EE-4133-8CDF-35F98535BF81}"/>
    <cellStyle name="Normal 5 4 2 3 7" xfId="4835" xr:uid="{00000000-0005-0000-0000-0000E91A0000}"/>
    <cellStyle name="Normal 5 4 2 3 7 2" xfId="13264" xr:uid="{808DCC50-E3F0-4B7A-8B9A-08C4C00571F3}"/>
    <cellStyle name="Normal 5 4 2 3 7 3" xfId="25897" xr:uid="{7FCBB474-E510-4E0E-B3B4-26D82A122FCC}"/>
    <cellStyle name="Normal 5 4 2 3 8" xfId="9046" xr:uid="{CFBDA3BB-78D2-4A13-A174-83A76675AA91}"/>
    <cellStyle name="Normal 5 4 2 3 8 2" xfId="21686" xr:uid="{9DAD1039-1D7D-44B3-9ADE-04561D46085C}"/>
    <cellStyle name="Normal 5 4 2 3 9" xfId="17475" xr:uid="{58CF0E71-7E36-4419-AB15-3CF92F291162}"/>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8AE84178-2502-4D43-BBED-313223E03B9A}"/>
    <cellStyle name="Normal 5 4 2 4 2 2 3" xfId="28452" xr:uid="{9D2AA629-993C-48A6-9726-C20167ECB1FF}"/>
    <cellStyle name="Normal 5 4 2 4 2 3" xfId="11601" xr:uid="{BB880A7E-0150-406A-BE93-571E4CABE1F3}"/>
    <cellStyle name="Normal 5 4 2 4 2 3 2" xfId="24241" xr:uid="{9113C920-EDE1-4C36-BA09-F0FB70257B0E}"/>
    <cellStyle name="Normal 5 4 2 4 2 4" xfId="20030" xr:uid="{36BB7FEF-5826-4490-BB23-689298224E0A}"/>
    <cellStyle name="Normal 5 4 2 4 3" xfId="5245" xr:uid="{00000000-0005-0000-0000-0000ED1A0000}"/>
    <cellStyle name="Normal 5 4 2 4 3 2" xfId="13674" xr:uid="{77E2AC66-1A54-4237-9BC8-DC74B4A88E3F}"/>
    <cellStyle name="Normal 5 4 2 4 3 3" xfId="26307" xr:uid="{2DFCD2A5-679C-455C-AD1E-F52D05A6816A}"/>
    <cellStyle name="Normal 5 4 2 4 4" xfId="9456" xr:uid="{E1DBFB0B-0627-47CC-82A9-2E45EEA9358D}"/>
    <cellStyle name="Normal 5 4 2 4 4 2" xfId="22096" xr:uid="{2C3859F6-2767-4A33-ABB4-59BBFFB4622B}"/>
    <cellStyle name="Normal 5 4 2 4 5" xfId="17885" xr:uid="{D0649F19-FB45-4544-A9F7-3B1286B903F1}"/>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7CA90306-50AE-4A36-AE3A-7B726571D19C}"/>
    <cellStyle name="Normal 5 4 2 5 2 2 3" xfId="28865" xr:uid="{B4C9A6B3-024E-4750-931A-AE641EF67917}"/>
    <cellStyle name="Normal 5 4 2 5 2 3" xfId="12014" xr:uid="{BC3337BD-345B-412F-8F8B-32136DCA324C}"/>
    <cellStyle name="Normal 5 4 2 5 2 3 2" xfId="24654" xr:uid="{8938913E-DCB0-4E13-9D25-89FEAE73DBDC}"/>
    <cellStyle name="Normal 5 4 2 5 2 4" xfId="20443" xr:uid="{9A13D799-D1D7-4443-9193-68C6E5DFF094}"/>
    <cellStyle name="Normal 5 4 2 5 3" xfId="5658" xr:uid="{00000000-0005-0000-0000-0000F11A0000}"/>
    <cellStyle name="Normal 5 4 2 5 3 2" xfId="14087" xr:uid="{057A512A-85C9-4EAD-A05F-D3D075926050}"/>
    <cellStyle name="Normal 5 4 2 5 3 3" xfId="26720" xr:uid="{4C90E2C3-0F22-42D1-BCF7-0CC9F4C6834B}"/>
    <cellStyle name="Normal 5 4 2 5 4" xfId="9869" xr:uid="{6F7C54BD-3FC1-45F9-8838-865255110996}"/>
    <cellStyle name="Normal 5 4 2 5 4 2" xfId="22509" xr:uid="{0FDC3FEE-5405-42DA-A666-F6067000120E}"/>
    <cellStyle name="Normal 5 4 2 5 5" xfId="18298" xr:uid="{341F9BF4-68F5-475A-8CF9-3AF977A6649E}"/>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79279C45-8DE9-4D92-B752-44023C400843}"/>
    <cellStyle name="Normal 5 4 2 6 2 2 3" xfId="29278" xr:uid="{FCE19FDC-4F3E-4E70-97FD-5C92D757BCE7}"/>
    <cellStyle name="Normal 5 4 2 6 2 3" xfId="12427" xr:uid="{A114C91A-65B0-4595-8490-BE3B7783883C}"/>
    <cellStyle name="Normal 5 4 2 6 2 3 2" xfId="25067" xr:uid="{8EF65843-3000-4FBF-87E5-D667CA2B4216}"/>
    <cellStyle name="Normal 5 4 2 6 2 4" xfId="20856" xr:uid="{6CCDF6F2-A9AF-4D25-B18E-D6053495D81D}"/>
    <cellStyle name="Normal 5 4 2 6 3" xfId="6071" xr:uid="{00000000-0005-0000-0000-0000F51A0000}"/>
    <cellStyle name="Normal 5 4 2 6 3 2" xfId="14500" xr:uid="{4CF29D23-BF3C-4D98-A9BF-EB3B35F5478A}"/>
    <cellStyle name="Normal 5 4 2 6 3 3" xfId="27133" xr:uid="{81DB136B-E6F8-4457-8CE5-30ED44FF2147}"/>
    <cellStyle name="Normal 5 4 2 6 4" xfId="10282" xr:uid="{5094EA36-8191-4D03-AFDC-64798747FF9C}"/>
    <cellStyle name="Normal 5 4 2 6 4 2" xfId="22922" xr:uid="{15DFAC2D-08BE-406B-AB47-60317A97A6DD}"/>
    <cellStyle name="Normal 5 4 2 6 5" xfId="18711" xr:uid="{0CF9B078-548A-450C-9DC0-7AAE6E62EA2E}"/>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75053D3D-C3C7-4D07-938E-D7AD5C0FD94F}"/>
    <cellStyle name="Normal 5 4 2 7 2 2 3" xfId="29691" xr:uid="{FA5CBF76-4A30-4D0A-BC4D-FF2F27066A73}"/>
    <cellStyle name="Normal 5 4 2 7 2 3" xfId="12840" xr:uid="{2E8808FA-E3B3-4DE5-A56F-F971A30C968C}"/>
    <cellStyle name="Normal 5 4 2 7 2 3 2" xfId="25480" xr:uid="{46A8544C-F6B0-4AB8-9A8A-4E2FC6457FC2}"/>
    <cellStyle name="Normal 5 4 2 7 2 4" xfId="21269" xr:uid="{0B7D545C-16F7-4CBD-9952-BE7B298137A0}"/>
    <cellStyle name="Normal 5 4 2 7 3" xfId="6484" xr:uid="{00000000-0005-0000-0000-0000F91A0000}"/>
    <cellStyle name="Normal 5 4 2 7 3 2" xfId="14913" xr:uid="{85344B67-89DA-4BB8-BE4F-B83326750E5B}"/>
    <cellStyle name="Normal 5 4 2 7 3 3" xfId="27546" xr:uid="{AD38EC3D-143C-4C84-8B97-C658750EF35B}"/>
    <cellStyle name="Normal 5 4 2 7 4" xfId="10695" xr:uid="{B2C79373-4F0B-4815-A88D-0E0AB6E6EA5E}"/>
    <cellStyle name="Normal 5 4 2 7 4 2" xfId="23335" xr:uid="{DE93CD96-EEEE-4C5C-A40B-07319B34C26C}"/>
    <cellStyle name="Normal 5 4 2 7 5" xfId="19124" xr:uid="{5EDFCF9A-CB7D-410F-9243-CEA704062481}"/>
    <cellStyle name="Normal 5 4 2 8" xfId="2612" xr:uid="{00000000-0005-0000-0000-0000FA1A0000}"/>
    <cellStyle name="Normal 5 4 2 8 2" xfId="6897" xr:uid="{00000000-0005-0000-0000-0000FB1A0000}"/>
    <cellStyle name="Normal 5 4 2 8 2 2" xfId="15326" xr:uid="{A935479D-31E6-4F40-A447-BBF321D1E523}"/>
    <cellStyle name="Normal 5 4 2 8 2 3" xfId="27959" xr:uid="{D43A37D9-1EDE-443B-BA70-7E09F59753CB}"/>
    <cellStyle name="Normal 5 4 2 8 3" xfId="11108" xr:uid="{43321CD1-B1B4-4A72-8EAE-0EBD48703944}"/>
    <cellStyle name="Normal 5 4 2 8 3 2" xfId="23748" xr:uid="{6A573BA3-A5C9-4949-87D2-62563DDEFD92}"/>
    <cellStyle name="Normal 5 4 2 8 4" xfId="19537" xr:uid="{CA4B8794-E5E8-4F27-AD54-6F481DD74D68}"/>
    <cellStyle name="Normal 5 4 2 9" xfId="4832" xr:uid="{00000000-0005-0000-0000-0000FC1A0000}"/>
    <cellStyle name="Normal 5 4 2 9 2" xfId="13261" xr:uid="{D96257CE-BCB3-42A2-A960-26BECE801208}"/>
    <cellStyle name="Normal 5 4 2 9 3" xfId="25894" xr:uid="{95063AA8-73B7-4D14-A867-7B044103C228}"/>
    <cellStyle name="Normal 5 4 3" xfId="461" xr:uid="{00000000-0005-0000-0000-0000FD1A0000}"/>
    <cellStyle name="Normal 5 4 3 10" xfId="17476" xr:uid="{8959283C-D07B-466A-B78B-4C416724FD53}"/>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E0411220-1595-4550-8B4B-4799D8124DE3}"/>
    <cellStyle name="Normal 5 4 3 2 2 2 2 3" xfId="28457" xr:uid="{0CD2D10E-D1EF-4990-8900-FA59D1F74389}"/>
    <cellStyle name="Normal 5 4 3 2 2 2 3" xfId="11606" xr:uid="{079D0E97-A089-4824-9173-D51E081DD524}"/>
    <cellStyle name="Normal 5 4 3 2 2 2 3 2" xfId="24246" xr:uid="{F5780338-F0F0-4B8D-A225-E2C48954073E}"/>
    <cellStyle name="Normal 5 4 3 2 2 2 4" xfId="20035" xr:uid="{9BD3C52B-DF54-407B-8AF3-9BF9A9D6A633}"/>
    <cellStyle name="Normal 5 4 3 2 2 3" xfId="5250" xr:uid="{00000000-0005-0000-0000-0000021B0000}"/>
    <cellStyle name="Normal 5 4 3 2 2 3 2" xfId="13679" xr:uid="{5ACB9097-8E3C-4071-94CF-3D3D29D3B785}"/>
    <cellStyle name="Normal 5 4 3 2 2 3 3" xfId="26312" xr:uid="{CB1486CD-32F3-4291-8094-9A7C5A95A5FD}"/>
    <cellStyle name="Normal 5 4 3 2 2 4" xfId="9461" xr:uid="{7B3EC9BF-0914-4822-B5EB-954640CB8F65}"/>
    <cellStyle name="Normal 5 4 3 2 2 4 2" xfId="22101" xr:uid="{8F37BC17-7C23-4F2F-835D-7E7F202396B2}"/>
    <cellStyle name="Normal 5 4 3 2 2 5" xfId="17890" xr:uid="{542847DE-8250-48DD-9ACB-02466FC04840}"/>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96662FD1-B88B-4FA2-A2E6-F6AC72C8E823}"/>
    <cellStyle name="Normal 5 4 3 2 3 2 2 3" xfId="28870" xr:uid="{56DD4AF2-8F51-4A90-A71A-2E8C8EC8A8FD}"/>
    <cellStyle name="Normal 5 4 3 2 3 2 3" xfId="12019" xr:uid="{FD9B803C-B9B2-47B6-9054-C615F99CEA4E}"/>
    <cellStyle name="Normal 5 4 3 2 3 2 3 2" xfId="24659" xr:uid="{DE01A0FA-67D4-4F18-88D6-8E55049C2DA8}"/>
    <cellStyle name="Normal 5 4 3 2 3 2 4" xfId="20448" xr:uid="{3CB00CEC-E244-4F1E-9BF8-DEF6A87DF376}"/>
    <cellStyle name="Normal 5 4 3 2 3 3" xfId="5663" xr:uid="{00000000-0005-0000-0000-0000061B0000}"/>
    <cellStyle name="Normal 5 4 3 2 3 3 2" xfId="14092" xr:uid="{D422D06D-C14C-41C6-8FA6-E5D82AF8128B}"/>
    <cellStyle name="Normal 5 4 3 2 3 3 3" xfId="26725" xr:uid="{173267A5-8B3B-4556-95D6-ACA6B0582D0B}"/>
    <cellStyle name="Normal 5 4 3 2 3 4" xfId="9874" xr:uid="{AD63B841-9D29-4225-B8D8-26472DA05579}"/>
    <cellStyle name="Normal 5 4 3 2 3 4 2" xfId="22514" xr:uid="{5B782ABF-0F75-4182-959F-D21370B91B9F}"/>
    <cellStyle name="Normal 5 4 3 2 3 5" xfId="18303" xr:uid="{F3ED0897-422B-433A-95C5-D57715ACD758}"/>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572A3578-2D39-4A12-BD88-CCAD8766F9A2}"/>
    <cellStyle name="Normal 5 4 3 2 4 2 2 3" xfId="29283" xr:uid="{E1F8B5AE-5CFF-4E59-AB83-CF6A752151E4}"/>
    <cellStyle name="Normal 5 4 3 2 4 2 3" xfId="12432" xr:uid="{50BB8E52-0FAD-4520-8B41-AD5FD4FFED8D}"/>
    <cellStyle name="Normal 5 4 3 2 4 2 3 2" xfId="25072" xr:uid="{20D93342-A26D-4649-AD07-249D79121862}"/>
    <cellStyle name="Normal 5 4 3 2 4 2 4" xfId="20861" xr:uid="{9BD7300D-B155-4F82-BB7B-1564EB66AF07}"/>
    <cellStyle name="Normal 5 4 3 2 4 3" xfId="6076" xr:uid="{00000000-0005-0000-0000-00000A1B0000}"/>
    <cellStyle name="Normal 5 4 3 2 4 3 2" xfId="14505" xr:uid="{95C05811-3172-46E0-B7CC-F0F5E96C030F}"/>
    <cellStyle name="Normal 5 4 3 2 4 3 3" xfId="27138" xr:uid="{4B7F96AA-1906-4AE9-8006-9A98AC4BF486}"/>
    <cellStyle name="Normal 5 4 3 2 4 4" xfId="10287" xr:uid="{790D891D-518E-4578-ACE8-EDA3D5B09DCE}"/>
    <cellStyle name="Normal 5 4 3 2 4 4 2" xfId="22927" xr:uid="{53AE4BE4-C03C-4A94-8CC3-31857ED1E663}"/>
    <cellStyle name="Normal 5 4 3 2 4 5" xfId="18716" xr:uid="{F29E8C7C-4B13-4D1E-990A-91DC3235829E}"/>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89D97A9C-A272-432D-965E-4FC92F415B9D}"/>
    <cellStyle name="Normal 5 4 3 2 5 2 2 3" xfId="29696" xr:uid="{3D2C3159-F5A2-426B-8369-20EEF562C759}"/>
    <cellStyle name="Normal 5 4 3 2 5 2 3" xfId="12845" xr:uid="{A28482B1-BF34-4A72-9EAA-AF2C92625308}"/>
    <cellStyle name="Normal 5 4 3 2 5 2 3 2" xfId="25485" xr:uid="{991E75EA-0602-47BA-888B-385067344F93}"/>
    <cellStyle name="Normal 5 4 3 2 5 2 4" xfId="21274" xr:uid="{0D8CD073-7E27-4EBF-A01B-6B3361A22396}"/>
    <cellStyle name="Normal 5 4 3 2 5 3" xfId="6489" xr:uid="{00000000-0005-0000-0000-00000E1B0000}"/>
    <cellStyle name="Normal 5 4 3 2 5 3 2" xfId="14918" xr:uid="{F1AA0F27-4D8D-40D5-8CF6-196681E45C0A}"/>
    <cellStyle name="Normal 5 4 3 2 5 3 3" xfId="27551" xr:uid="{1D17564B-72E7-4C43-B505-B7EE7982B24D}"/>
    <cellStyle name="Normal 5 4 3 2 5 4" xfId="10700" xr:uid="{25BBEEEB-D055-483D-BC1E-152AFFDAAEB6}"/>
    <cellStyle name="Normal 5 4 3 2 5 4 2" xfId="23340" xr:uid="{3FEC22B9-41B4-4095-90AE-163238F3A2E7}"/>
    <cellStyle name="Normal 5 4 3 2 5 5" xfId="19129" xr:uid="{04ECF798-63DF-4031-AD25-1388A73CBC27}"/>
    <cellStyle name="Normal 5 4 3 2 6" xfId="2617" xr:uid="{00000000-0005-0000-0000-00000F1B0000}"/>
    <cellStyle name="Normal 5 4 3 2 6 2" xfId="6902" xr:uid="{00000000-0005-0000-0000-0000101B0000}"/>
    <cellStyle name="Normal 5 4 3 2 6 2 2" xfId="15331" xr:uid="{EFA74CB8-D16A-4C2D-A6AE-BDF47E3717E2}"/>
    <cellStyle name="Normal 5 4 3 2 6 2 3" xfId="27964" xr:uid="{F41A0FAD-8058-458D-9293-9634AD3B0801}"/>
    <cellStyle name="Normal 5 4 3 2 6 3" xfId="11113" xr:uid="{CDE95D5B-B547-4DE1-8E46-C809B4EC0E2E}"/>
    <cellStyle name="Normal 5 4 3 2 6 3 2" xfId="23753" xr:uid="{017098AB-3516-4583-A1D5-4F51A07C3255}"/>
    <cellStyle name="Normal 5 4 3 2 6 4" xfId="19542" xr:uid="{91F18282-7EE3-4E93-B07E-451B2F59D8E1}"/>
    <cellStyle name="Normal 5 4 3 2 7" xfId="4837" xr:uid="{00000000-0005-0000-0000-0000111B0000}"/>
    <cellStyle name="Normal 5 4 3 2 7 2" xfId="13266" xr:uid="{FEA40357-AA96-44C5-A2C8-69133898B2C8}"/>
    <cellStyle name="Normal 5 4 3 2 7 3" xfId="25899" xr:uid="{C95A30E9-1FD0-44E5-98E4-71DAE06D4555}"/>
    <cellStyle name="Normal 5 4 3 2 8" xfId="9048" xr:uid="{4E3D68C8-7615-4312-80AC-266F344A9C5E}"/>
    <cellStyle name="Normal 5 4 3 2 8 2" xfId="21688" xr:uid="{16EDF4F3-62A7-4286-A228-2394A32B3686}"/>
    <cellStyle name="Normal 5 4 3 2 9" xfId="17477" xr:uid="{39B85241-1058-4F9B-80B2-725252DFBFF5}"/>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2F1EC94D-101F-4D65-9BC9-296886FBC4C0}"/>
    <cellStyle name="Normal 5 4 3 3 2 2 3" xfId="28456" xr:uid="{161FB01F-0E4E-4906-89E6-78C3EB5D6BBC}"/>
    <cellStyle name="Normal 5 4 3 3 2 3" xfId="11605" xr:uid="{7AAA8212-22D5-48AE-BCA2-3DA5638FE3E6}"/>
    <cellStyle name="Normal 5 4 3 3 2 3 2" xfId="24245" xr:uid="{9B8FA885-B544-42F1-9984-0E23438E0C84}"/>
    <cellStyle name="Normal 5 4 3 3 2 4" xfId="20034" xr:uid="{2FB48340-9B4C-4626-B520-75AF65848D6F}"/>
    <cellStyle name="Normal 5 4 3 3 3" xfId="5249" xr:uid="{00000000-0005-0000-0000-0000151B0000}"/>
    <cellStyle name="Normal 5 4 3 3 3 2" xfId="13678" xr:uid="{2E4AF907-49A0-4D4B-962A-55D97FD20F5A}"/>
    <cellStyle name="Normal 5 4 3 3 3 3" xfId="26311" xr:uid="{2B890681-DE38-4557-BD1C-A2DFF7BEE260}"/>
    <cellStyle name="Normal 5 4 3 3 4" xfId="9460" xr:uid="{FCA346E3-43ED-4138-8D44-A8A7E3D522FD}"/>
    <cellStyle name="Normal 5 4 3 3 4 2" xfId="22100" xr:uid="{C8CB2CF0-B1C5-4851-8E7D-FBBEB81E75F5}"/>
    <cellStyle name="Normal 5 4 3 3 5" xfId="17889" xr:uid="{A2679003-3C23-4695-8EF2-B4E73FEA7399}"/>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30CA2BA6-8B3E-4B78-8028-980C2F451C95}"/>
    <cellStyle name="Normal 5 4 3 4 2 2 3" xfId="28869" xr:uid="{CB14C5F4-A844-485A-BD20-54A9C097FFE9}"/>
    <cellStyle name="Normal 5 4 3 4 2 3" xfId="12018" xr:uid="{48501AB3-0924-45A4-A462-7BABDDDCC2EA}"/>
    <cellStyle name="Normal 5 4 3 4 2 3 2" xfId="24658" xr:uid="{319D1F94-614C-4948-A624-0BBD722E1A58}"/>
    <cellStyle name="Normal 5 4 3 4 2 4" xfId="20447" xr:uid="{3C69D35D-2328-4FFB-BD48-0ED24F29AE91}"/>
    <cellStyle name="Normal 5 4 3 4 3" xfId="5662" xr:uid="{00000000-0005-0000-0000-0000191B0000}"/>
    <cellStyle name="Normal 5 4 3 4 3 2" xfId="14091" xr:uid="{347A4329-E498-43D5-84C4-E6D669AC7856}"/>
    <cellStyle name="Normal 5 4 3 4 3 3" xfId="26724" xr:uid="{9646B5A8-9824-42C7-873A-D6056FED6D24}"/>
    <cellStyle name="Normal 5 4 3 4 4" xfId="9873" xr:uid="{CC9DC2B8-68BF-4D3C-BD29-E854E06E9D6A}"/>
    <cellStyle name="Normal 5 4 3 4 4 2" xfId="22513" xr:uid="{67696A37-D57A-4912-9717-AAED37149664}"/>
    <cellStyle name="Normal 5 4 3 4 5" xfId="18302" xr:uid="{EB87EFB1-D005-4CE5-99FD-AD9C33C17BAE}"/>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5B3CAA98-E706-45A6-A05A-81FB1F666E7A}"/>
    <cellStyle name="Normal 5 4 3 5 2 2 3" xfId="29282" xr:uid="{C6ED0CA8-F0AC-449F-8D5A-F380A72A758A}"/>
    <cellStyle name="Normal 5 4 3 5 2 3" xfId="12431" xr:uid="{EB5FE422-1287-4D3E-A661-080C5F3B3B08}"/>
    <cellStyle name="Normal 5 4 3 5 2 3 2" xfId="25071" xr:uid="{EC74B930-D12A-43C9-8452-D03CFD399F58}"/>
    <cellStyle name="Normal 5 4 3 5 2 4" xfId="20860" xr:uid="{D5D1AE69-26FB-40CB-91B3-52BE81C90242}"/>
    <cellStyle name="Normal 5 4 3 5 3" xfId="6075" xr:uid="{00000000-0005-0000-0000-00001D1B0000}"/>
    <cellStyle name="Normal 5 4 3 5 3 2" xfId="14504" xr:uid="{CF20061E-EC74-43DD-8C75-EA3EEC59D90D}"/>
    <cellStyle name="Normal 5 4 3 5 3 3" xfId="27137" xr:uid="{0C5C671A-37C3-4352-BA97-EEB91D1A6E63}"/>
    <cellStyle name="Normal 5 4 3 5 4" xfId="10286" xr:uid="{ADE9FE50-A1B7-4C55-884F-058E6C6D8D35}"/>
    <cellStyle name="Normal 5 4 3 5 4 2" xfId="22926" xr:uid="{25C2D570-3FE4-477B-B4B8-CA1A1D357C89}"/>
    <cellStyle name="Normal 5 4 3 5 5" xfId="18715" xr:uid="{DCF3093B-4138-4534-BB86-E2BBE29CA834}"/>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8895DF1B-2BFB-4C2E-AAB6-4939D795145E}"/>
    <cellStyle name="Normal 5 4 3 6 2 2 3" xfId="29695" xr:uid="{46398BC2-E004-4491-B284-C5D1EBCB5CEE}"/>
    <cellStyle name="Normal 5 4 3 6 2 3" xfId="12844" xr:uid="{EE5D78FE-C258-4005-8D53-790268320E9B}"/>
    <cellStyle name="Normal 5 4 3 6 2 3 2" xfId="25484" xr:uid="{BAE0227E-D5BE-40D1-91D5-20805B43152F}"/>
    <cellStyle name="Normal 5 4 3 6 2 4" xfId="21273" xr:uid="{3A65583A-75BB-44F9-94C3-47985FD33933}"/>
    <cellStyle name="Normal 5 4 3 6 3" xfId="6488" xr:uid="{00000000-0005-0000-0000-0000211B0000}"/>
    <cellStyle name="Normal 5 4 3 6 3 2" xfId="14917" xr:uid="{4066F40E-92FA-4ACA-B5E5-84CC1FF5155F}"/>
    <cellStyle name="Normal 5 4 3 6 3 3" xfId="27550" xr:uid="{F0AE6F21-8A69-4C77-AF53-E96676913D28}"/>
    <cellStyle name="Normal 5 4 3 6 4" xfId="10699" xr:uid="{0702B257-7686-4886-9282-CAB153E856A7}"/>
    <cellStyle name="Normal 5 4 3 6 4 2" xfId="23339" xr:uid="{AB92AD3E-723E-4F39-A69F-DF094140A1E2}"/>
    <cellStyle name="Normal 5 4 3 6 5" xfId="19128" xr:uid="{BB344335-780F-4A4B-930A-1DB8D42DDAB3}"/>
    <cellStyle name="Normal 5 4 3 7" xfId="2616" xr:uid="{00000000-0005-0000-0000-0000221B0000}"/>
    <cellStyle name="Normal 5 4 3 7 2" xfId="6901" xr:uid="{00000000-0005-0000-0000-0000231B0000}"/>
    <cellStyle name="Normal 5 4 3 7 2 2" xfId="15330" xr:uid="{641DDFCD-49B9-4756-9CC9-B6E61948AC61}"/>
    <cellStyle name="Normal 5 4 3 7 2 3" xfId="27963" xr:uid="{3F36A8D2-5A65-47FC-A418-F87A54BF0B6A}"/>
    <cellStyle name="Normal 5 4 3 7 3" xfId="11112" xr:uid="{7CBFEAEB-7318-4E99-A946-36303366B359}"/>
    <cellStyle name="Normal 5 4 3 7 3 2" xfId="23752" xr:uid="{68E49383-43F9-4319-9AB2-EB7E64B92E65}"/>
    <cellStyle name="Normal 5 4 3 7 4" xfId="19541" xr:uid="{B366C2FD-8661-42B4-8BA9-94055D7BC368}"/>
    <cellStyle name="Normal 5 4 3 8" xfId="4836" xr:uid="{00000000-0005-0000-0000-0000241B0000}"/>
    <cellStyle name="Normal 5 4 3 8 2" xfId="13265" xr:uid="{31AFD278-FD50-4A5C-AD36-4D70FCDFEE62}"/>
    <cellStyle name="Normal 5 4 3 8 3" xfId="25898" xr:uid="{653BF961-9B85-4CD2-886C-CC683F589214}"/>
    <cellStyle name="Normal 5 4 3 9" xfId="9047" xr:uid="{0705B64F-7A2B-406E-820D-EB24784031ED}"/>
    <cellStyle name="Normal 5 4 3 9 2" xfId="21687" xr:uid="{60319C69-62D5-446D-B277-A2C928773A76}"/>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F5E37D9A-5923-40A4-B6BB-4D5C604643C1}"/>
    <cellStyle name="Normal 5 4 4 2 2 2 3" xfId="28458" xr:uid="{9BC16473-7E91-46E9-BAF9-1AB7221859FA}"/>
    <cellStyle name="Normal 5 4 4 2 2 3" xfId="11607" xr:uid="{667D404B-E434-4535-BD96-795DD0CCECC0}"/>
    <cellStyle name="Normal 5 4 4 2 2 3 2" xfId="24247" xr:uid="{4CDA97E6-0582-4D18-A69F-88275B3D040D}"/>
    <cellStyle name="Normal 5 4 4 2 2 4" xfId="20036" xr:uid="{478D25C7-61D3-4CE5-8A2D-338FB7F4C634}"/>
    <cellStyle name="Normal 5 4 4 2 3" xfId="5251" xr:uid="{00000000-0005-0000-0000-0000291B0000}"/>
    <cellStyle name="Normal 5 4 4 2 3 2" xfId="13680" xr:uid="{FF45B2AE-A5A7-4F0C-99EE-D9AB02B66602}"/>
    <cellStyle name="Normal 5 4 4 2 3 3" xfId="26313" xr:uid="{5870E458-1BD1-47E2-938B-7FA6E9AADBA4}"/>
    <cellStyle name="Normal 5 4 4 2 4" xfId="9462" xr:uid="{66DF81AE-3186-47CB-A290-63E91064CC09}"/>
    <cellStyle name="Normal 5 4 4 2 4 2" xfId="22102" xr:uid="{24E86DDD-8078-41FA-81B5-B09BAC119DC7}"/>
    <cellStyle name="Normal 5 4 4 2 5" xfId="17891" xr:uid="{8B1C3183-6C82-4853-8B53-BB82A29F14C9}"/>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B0E5C1BA-BD73-43EC-9CB1-76FC25F0C36F}"/>
    <cellStyle name="Normal 5 4 4 3 2 2 3" xfId="28871" xr:uid="{6FB53BE6-8B34-4392-9C2F-78D6FBD7C456}"/>
    <cellStyle name="Normal 5 4 4 3 2 3" xfId="12020" xr:uid="{2B3171AF-21E8-4EA2-9A92-24CC690C8B6D}"/>
    <cellStyle name="Normal 5 4 4 3 2 3 2" xfId="24660" xr:uid="{D20E0EE0-A024-4986-99C1-482272B262C0}"/>
    <cellStyle name="Normal 5 4 4 3 2 4" xfId="20449" xr:uid="{A26F6BF9-C6C5-4C14-86FD-BDB6DE95FE59}"/>
    <cellStyle name="Normal 5 4 4 3 3" xfId="5664" xr:uid="{00000000-0005-0000-0000-00002D1B0000}"/>
    <cellStyle name="Normal 5 4 4 3 3 2" xfId="14093" xr:uid="{AFDB19E0-FF09-4B8A-9A3F-27272150B208}"/>
    <cellStyle name="Normal 5 4 4 3 3 3" xfId="26726" xr:uid="{77BEB04B-CC1F-4C31-8CB7-B23047A012AC}"/>
    <cellStyle name="Normal 5 4 4 3 4" xfId="9875" xr:uid="{510C0FD2-7222-4B5E-95E5-884021246125}"/>
    <cellStyle name="Normal 5 4 4 3 4 2" xfId="22515" xr:uid="{10E0C66E-A202-42A4-BE84-F5F295730C81}"/>
    <cellStyle name="Normal 5 4 4 3 5" xfId="18304" xr:uid="{4A4CD2DE-B8C8-4DED-825C-527FADC81002}"/>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4613C88D-49D4-4C4E-BAFF-55274251DD2C}"/>
    <cellStyle name="Normal 5 4 4 4 2 2 3" xfId="29284" xr:uid="{C7425207-B237-42E6-B92A-80BF591930BF}"/>
    <cellStyle name="Normal 5 4 4 4 2 3" xfId="12433" xr:uid="{D05B4BBB-A914-490C-AC4B-D95565FA1D62}"/>
    <cellStyle name="Normal 5 4 4 4 2 3 2" xfId="25073" xr:uid="{FCD9A792-744B-4AB5-9AF0-B83E671E09ED}"/>
    <cellStyle name="Normal 5 4 4 4 2 4" xfId="20862" xr:uid="{1381C8E3-FA22-4B43-B480-2EA74FF501FF}"/>
    <cellStyle name="Normal 5 4 4 4 3" xfId="6077" xr:uid="{00000000-0005-0000-0000-0000311B0000}"/>
    <cellStyle name="Normal 5 4 4 4 3 2" xfId="14506" xr:uid="{76744380-C138-4E74-8F9C-C000E43C0585}"/>
    <cellStyle name="Normal 5 4 4 4 3 3" xfId="27139" xr:uid="{E686C343-F3D9-498B-B636-8BB7873996C6}"/>
    <cellStyle name="Normal 5 4 4 4 4" xfId="10288" xr:uid="{3700AE06-69C3-4B06-A0B0-FE6A5DB027DB}"/>
    <cellStyle name="Normal 5 4 4 4 4 2" xfId="22928" xr:uid="{C47835DA-5CDE-430B-8DE1-0AD5EA573816}"/>
    <cellStyle name="Normal 5 4 4 4 5" xfId="18717" xr:uid="{A6E6F66A-67A8-4CAC-9CDF-0A1FF80517CF}"/>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1B21D0EE-55D8-4957-B4F3-B2223A366423}"/>
    <cellStyle name="Normal 5 4 4 5 2 2 3" xfId="29697" xr:uid="{2CA08E11-5A0E-4295-82AE-2D550E1A7BF2}"/>
    <cellStyle name="Normal 5 4 4 5 2 3" xfId="12846" xr:uid="{20234CCE-13C3-413B-9819-E5404E113FF9}"/>
    <cellStyle name="Normal 5 4 4 5 2 3 2" xfId="25486" xr:uid="{32C7E59B-2CB3-45A1-8B50-E5D61E877E1A}"/>
    <cellStyle name="Normal 5 4 4 5 2 4" xfId="21275" xr:uid="{F9EC8B21-1B24-4200-8B02-A5B4D8129F16}"/>
    <cellStyle name="Normal 5 4 4 5 3" xfId="6490" xr:uid="{00000000-0005-0000-0000-0000351B0000}"/>
    <cellStyle name="Normal 5 4 4 5 3 2" xfId="14919" xr:uid="{3354FE21-E0EB-4C87-9411-9769D86975AA}"/>
    <cellStyle name="Normal 5 4 4 5 3 3" xfId="27552" xr:uid="{DC0CEC34-DBD4-4F1D-BCEA-17B5D076B81D}"/>
    <cellStyle name="Normal 5 4 4 5 4" xfId="10701" xr:uid="{91713D98-AD18-4590-BE16-214DD75BD6B8}"/>
    <cellStyle name="Normal 5 4 4 5 4 2" xfId="23341" xr:uid="{B844388A-1D52-46A5-B857-EAE473B01461}"/>
    <cellStyle name="Normal 5 4 4 5 5" xfId="19130" xr:uid="{2C7B0931-4B32-4388-B28D-193F4D9B9C05}"/>
    <cellStyle name="Normal 5 4 4 6" xfId="2618" xr:uid="{00000000-0005-0000-0000-0000361B0000}"/>
    <cellStyle name="Normal 5 4 4 6 2" xfId="6903" xr:uid="{00000000-0005-0000-0000-0000371B0000}"/>
    <cellStyle name="Normal 5 4 4 6 2 2" xfId="15332" xr:uid="{C1B4E5B7-68C4-4374-B4D3-550ADEE41E8E}"/>
    <cellStyle name="Normal 5 4 4 6 2 3" xfId="27965" xr:uid="{5A210953-642B-4999-A4A0-913B22A93B01}"/>
    <cellStyle name="Normal 5 4 4 6 3" xfId="11114" xr:uid="{855EA881-0FBF-421B-98C5-470AEA0A83A9}"/>
    <cellStyle name="Normal 5 4 4 6 3 2" xfId="23754" xr:uid="{1F65F634-5D7E-425A-9FFE-E029AF6B95EA}"/>
    <cellStyle name="Normal 5 4 4 6 4" xfId="19543" xr:uid="{1A531C14-EB2C-4033-9AA4-4B9D7107A332}"/>
    <cellStyle name="Normal 5 4 4 7" xfId="4838" xr:uid="{00000000-0005-0000-0000-0000381B0000}"/>
    <cellStyle name="Normal 5 4 4 7 2" xfId="13267" xr:uid="{9C8FA334-BACB-48CF-8162-CE6F4811ED7B}"/>
    <cellStyle name="Normal 5 4 4 7 3" xfId="25900" xr:uid="{E138B5F7-BAF7-4208-83D7-097C8D54081A}"/>
    <cellStyle name="Normal 5 4 4 8" xfId="9049" xr:uid="{B29246D8-0582-4163-A015-433CF8E262A9}"/>
    <cellStyle name="Normal 5 4 4 8 2" xfId="21689" xr:uid="{C1CE1111-AA5B-4547-9520-8FCEDF4B7F92}"/>
    <cellStyle name="Normal 5 4 4 9" xfId="17478" xr:uid="{A602C6FA-334D-4915-8221-A71A41C4CA8B}"/>
    <cellStyle name="Normal 5 4 5" xfId="931" xr:uid="{00000000-0005-0000-0000-0000391B0000}"/>
    <cellStyle name="Normal 5 4 5 2" xfId="3165" xr:uid="{00000000-0005-0000-0000-00003A1B0000}"/>
    <cellStyle name="Normal 5 4 5 2 2" xfId="7389" xr:uid="{00000000-0005-0000-0000-00003B1B0000}"/>
    <cellStyle name="Normal 5 4 5 2 2 2" xfId="15818" xr:uid="{817C78D8-946B-4E39-8411-E8D354116463}"/>
    <cellStyle name="Normal 5 4 5 2 2 3" xfId="28451" xr:uid="{984D68EA-AA14-4312-9279-7AD53D05B1FA}"/>
    <cellStyle name="Normal 5 4 5 2 3" xfId="11600" xr:uid="{D82CF815-ECBC-45F3-929D-13A8F14D8639}"/>
    <cellStyle name="Normal 5 4 5 2 3 2" xfId="24240" xr:uid="{9BDD6B73-AE82-41DB-8C23-65BABF7AA31E}"/>
    <cellStyle name="Normal 5 4 5 2 4" xfId="20029" xr:uid="{86958F99-666E-4E46-928C-3DA2BA932818}"/>
    <cellStyle name="Normal 5 4 5 3" xfId="5244" xr:uid="{00000000-0005-0000-0000-00003C1B0000}"/>
    <cellStyle name="Normal 5 4 5 3 2" xfId="13673" xr:uid="{3748B64B-55A6-4575-8261-1D22B6E80DB9}"/>
    <cellStyle name="Normal 5 4 5 3 3" xfId="26306" xr:uid="{0D4B9DE9-E35C-4571-9210-03B19A81E8E3}"/>
    <cellStyle name="Normal 5 4 5 4" xfId="9455" xr:uid="{58F07522-26B0-45D4-A282-8893C06900E7}"/>
    <cellStyle name="Normal 5 4 5 4 2" xfId="22095" xr:uid="{C4BD58DF-7678-4687-BBB2-2E72D3F030BE}"/>
    <cellStyle name="Normal 5 4 5 5" xfId="17884" xr:uid="{55FF9F7B-2772-42CC-B72B-082DC6B5AE19}"/>
    <cellStyle name="Normal 5 4 6" xfId="1348" xr:uid="{00000000-0005-0000-0000-00003D1B0000}"/>
    <cellStyle name="Normal 5 4 6 2" xfId="3578" xr:uid="{00000000-0005-0000-0000-00003E1B0000}"/>
    <cellStyle name="Normal 5 4 6 2 2" xfId="7802" xr:uid="{00000000-0005-0000-0000-00003F1B0000}"/>
    <cellStyle name="Normal 5 4 6 2 2 2" xfId="16231" xr:uid="{56C5000F-37F3-43A4-B27E-248C76DCF086}"/>
    <cellStyle name="Normal 5 4 6 2 2 3" xfId="28864" xr:uid="{172031A8-59D9-45A2-B6C1-1BE6002A4765}"/>
    <cellStyle name="Normal 5 4 6 2 3" xfId="12013" xr:uid="{EB8F3C27-C8DA-44D9-ABDB-843F402B989B}"/>
    <cellStyle name="Normal 5 4 6 2 3 2" xfId="24653" xr:uid="{AC56A79C-9B15-4783-951E-2859D6FEC14B}"/>
    <cellStyle name="Normal 5 4 6 2 4" xfId="20442" xr:uid="{B8EBAD92-EA0B-49FD-B026-74779BF2A7D7}"/>
    <cellStyle name="Normal 5 4 6 3" xfId="5657" xr:uid="{00000000-0005-0000-0000-0000401B0000}"/>
    <cellStyle name="Normal 5 4 6 3 2" xfId="14086" xr:uid="{09B3FC10-97C2-4056-B1AE-365F0201DFA2}"/>
    <cellStyle name="Normal 5 4 6 3 3" xfId="26719" xr:uid="{FDA88D43-7196-433C-9860-AB64320EC8AA}"/>
    <cellStyle name="Normal 5 4 6 4" xfId="9868" xr:uid="{35E3DD62-2A06-419E-97D0-5995187CDC63}"/>
    <cellStyle name="Normal 5 4 6 4 2" xfId="22508" xr:uid="{BD793B5F-D1FA-4E87-80AE-092DD85373B0}"/>
    <cellStyle name="Normal 5 4 6 5" xfId="18297" xr:uid="{F1CA7A7A-0B70-4F36-B694-84A3A5C2DD3A}"/>
    <cellStyle name="Normal 5 4 7" xfId="1761" xr:uid="{00000000-0005-0000-0000-0000411B0000}"/>
    <cellStyle name="Normal 5 4 7 2" xfId="3991" xr:uid="{00000000-0005-0000-0000-0000421B0000}"/>
    <cellStyle name="Normal 5 4 7 2 2" xfId="8215" xr:uid="{00000000-0005-0000-0000-0000431B0000}"/>
    <cellStyle name="Normal 5 4 7 2 2 2" xfId="16644" xr:uid="{59B1926A-1083-4B84-851D-0DAC8C7E52C9}"/>
    <cellStyle name="Normal 5 4 7 2 2 3" xfId="29277" xr:uid="{B2043BF6-91DB-4C59-B72C-64A58228A8F3}"/>
    <cellStyle name="Normal 5 4 7 2 3" xfId="12426" xr:uid="{6EE33A46-555D-48FE-B6FE-FFDAAF0E4125}"/>
    <cellStyle name="Normal 5 4 7 2 3 2" xfId="25066" xr:uid="{C2756949-B58D-4B64-BC37-C58177D92BBE}"/>
    <cellStyle name="Normal 5 4 7 2 4" xfId="20855" xr:uid="{941D6F40-65FC-44EC-A98D-BAA7A7FC63C6}"/>
    <cellStyle name="Normal 5 4 7 3" xfId="6070" xr:uid="{00000000-0005-0000-0000-0000441B0000}"/>
    <cellStyle name="Normal 5 4 7 3 2" xfId="14499" xr:uid="{CAF4B3EE-B27F-4E75-93BB-E41104E5073E}"/>
    <cellStyle name="Normal 5 4 7 3 3" xfId="27132" xr:uid="{5814CC61-5D28-4BE0-8FEE-E3F51849D8F5}"/>
    <cellStyle name="Normal 5 4 7 4" xfId="10281" xr:uid="{06D3B8BD-C0F4-4B87-8528-9768C81D53C9}"/>
    <cellStyle name="Normal 5 4 7 4 2" xfId="22921" xr:uid="{6B353794-6DD4-4B4D-830E-BF232C50DA02}"/>
    <cellStyle name="Normal 5 4 7 5" xfId="18710" xr:uid="{6C40743D-7D3E-458B-A750-3B97A41E9D9E}"/>
    <cellStyle name="Normal 5 4 8" xfId="2175" xr:uid="{00000000-0005-0000-0000-0000451B0000}"/>
    <cellStyle name="Normal 5 4 8 2" xfId="4404" xr:uid="{00000000-0005-0000-0000-0000461B0000}"/>
    <cellStyle name="Normal 5 4 8 2 2" xfId="8628" xr:uid="{00000000-0005-0000-0000-0000471B0000}"/>
    <cellStyle name="Normal 5 4 8 2 2 2" xfId="17057" xr:uid="{DFD9A555-4776-4B7F-8C62-789794FDE9B4}"/>
    <cellStyle name="Normal 5 4 8 2 2 3" xfId="29690" xr:uid="{C5E7348B-6451-470F-86E5-314F22462DB3}"/>
    <cellStyle name="Normal 5 4 8 2 3" xfId="12839" xr:uid="{60377778-C854-47F7-BE18-EA1BD2CC4825}"/>
    <cellStyle name="Normal 5 4 8 2 3 2" xfId="25479" xr:uid="{5E0C49AD-9D49-4F10-ACEE-539CA65991FA}"/>
    <cellStyle name="Normal 5 4 8 2 4" xfId="21268" xr:uid="{F2FA3B9F-4B53-43EE-B279-47CEF5D47571}"/>
    <cellStyle name="Normal 5 4 8 3" xfId="6483" xr:uid="{00000000-0005-0000-0000-0000481B0000}"/>
    <cellStyle name="Normal 5 4 8 3 2" xfId="14912" xr:uid="{4473EA40-9D00-402E-AD03-6CCBDC14AEE2}"/>
    <cellStyle name="Normal 5 4 8 3 3" xfId="27545" xr:uid="{BEAD9145-1524-4F7E-8E93-ED1B86474783}"/>
    <cellStyle name="Normal 5 4 8 4" xfId="10694" xr:uid="{1D0BE2A2-7436-450D-A177-57D8DB66C487}"/>
    <cellStyle name="Normal 5 4 8 4 2" xfId="23334" xr:uid="{C0DA8245-8F5A-4B22-9502-48FDE3268EB5}"/>
    <cellStyle name="Normal 5 4 8 5" xfId="19123" xr:uid="{0C17FF79-5C56-4185-972E-AAFC301D6B0A}"/>
    <cellStyle name="Normal 5 4 9" xfId="2611" xr:uid="{00000000-0005-0000-0000-0000491B0000}"/>
    <cellStyle name="Normal 5 4 9 2" xfId="6896" xr:uid="{00000000-0005-0000-0000-00004A1B0000}"/>
    <cellStyle name="Normal 5 4 9 2 2" xfId="15325" xr:uid="{B7105E4C-0C6B-4BD4-B72A-F2A2514FB5E2}"/>
    <cellStyle name="Normal 5 4 9 2 3" xfId="27958" xr:uid="{A3C356C6-1171-42F6-873F-6E9ABDADDF1E}"/>
    <cellStyle name="Normal 5 4 9 3" xfId="11107" xr:uid="{6A4E3A99-A600-427F-B11C-95BADAF135B1}"/>
    <cellStyle name="Normal 5 4 9 3 2" xfId="23747" xr:uid="{74761A61-CCAB-44C9-BE34-966FAE8CB9E7}"/>
    <cellStyle name="Normal 5 4 9 4" xfId="19536" xr:uid="{557C4176-D02C-43D9-B5A9-2BBEA8573876}"/>
    <cellStyle name="Normal 5 5" xfId="464" xr:uid="{00000000-0005-0000-0000-00004B1B0000}"/>
    <cellStyle name="Normal 5 5 10" xfId="9050" xr:uid="{E506E9AA-535E-4B2D-9C2C-5EE55806E13A}"/>
    <cellStyle name="Normal 5 5 10 2" xfId="21690" xr:uid="{FA193349-4098-4F9C-B9AC-3FB19352256C}"/>
    <cellStyle name="Normal 5 5 11" xfId="17479" xr:uid="{846F61A2-7FD3-440D-B206-9D329CD19125}"/>
    <cellStyle name="Normal 5 5 2" xfId="465" xr:uid="{00000000-0005-0000-0000-00004C1B0000}"/>
    <cellStyle name="Normal 5 5 2 10" xfId="17480" xr:uid="{5A925DDA-DA47-4CB0-B96A-62B354FA12A3}"/>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AB88F3C5-726A-4177-BB23-CF8290097467}"/>
    <cellStyle name="Normal 5 5 2 2 2 2 2 3" xfId="28461" xr:uid="{213F718F-205F-458D-92A5-DD151217F46F}"/>
    <cellStyle name="Normal 5 5 2 2 2 2 3" xfId="11610" xr:uid="{F7E813B1-4858-4CD2-9A5C-9869B7F0911F}"/>
    <cellStyle name="Normal 5 5 2 2 2 2 3 2" xfId="24250" xr:uid="{3AD3305D-5FBC-4B10-A073-DD1C4F54833D}"/>
    <cellStyle name="Normal 5 5 2 2 2 2 4" xfId="20039" xr:uid="{086B0CF8-FB90-494F-ABD6-34F87E8FDC22}"/>
    <cellStyle name="Normal 5 5 2 2 2 3" xfId="5254" xr:uid="{00000000-0005-0000-0000-0000511B0000}"/>
    <cellStyle name="Normal 5 5 2 2 2 3 2" xfId="13683" xr:uid="{BF481EBE-EA3B-4087-BDA9-F02129AA0D99}"/>
    <cellStyle name="Normal 5 5 2 2 2 3 3" xfId="26316" xr:uid="{34918B11-3C0F-44B4-9A89-3BDE2A02BEA6}"/>
    <cellStyle name="Normal 5 5 2 2 2 4" xfId="9465" xr:uid="{C599BECF-9BB3-488B-9A58-0B7766302C78}"/>
    <cellStyle name="Normal 5 5 2 2 2 4 2" xfId="22105" xr:uid="{CACCBD97-16B8-45B7-8C9D-B30061BADA97}"/>
    <cellStyle name="Normal 5 5 2 2 2 5" xfId="17894" xr:uid="{623440DE-ABC2-46E2-A75B-104C4356A8E3}"/>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4ECC314D-D1F6-4EFD-B633-09B14B765DA3}"/>
    <cellStyle name="Normal 5 5 2 2 3 2 2 3" xfId="28874" xr:uid="{8B361695-204E-489C-A526-1F7F74E46B31}"/>
    <cellStyle name="Normal 5 5 2 2 3 2 3" xfId="12023" xr:uid="{FF60895E-1476-40F9-9F9B-AF603C4FF0F0}"/>
    <cellStyle name="Normal 5 5 2 2 3 2 3 2" xfId="24663" xr:uid="{F48E97DA-A0AA-4A76-ABED-D1C4D5E218A2}"/>
    <cellStyle name="Normal 5 5 2 2 3 2 4" xfId="20452" xr:uid="{B1F1A422-695C-44D4-8B10-987B984103FA}"/>
    <cellStyle name="Normal 5 5 2 2 3 3" xfId="5667" xr:uid="{00000000-0005-0000-0000-0000551B0000}"/>
    <cellStyle name="Normal 5 5 2 2 3 3 2" xfId="14096" xr:uid="{7616D4FD-646B-4A47-A913-7F2C9913153D}"/>
    <cellStyle name="Normal 5 5 2 2 3 3 3" xfId="26729" xr:uid="{5A1CC5B3-D771-4201-A23C-C639EA4D2DB4}"/>
    <cellStyle name="Normal 5 5 2 2 3 4" xfId="9878" xr:uid="{6A50F6C9-1157-4289-9F41-30A0C855B79E}"/>
    <cellStyle name="Normal 5 5 2 2 3 4 2" xfId="22518" xr:uid="{A3E987F3-41F8-45E1-BB8B-C4E7CB65889B}"/>
    <cellStyle name="Normal 5 5 2 2 3 5" xfId="18307" xr:uid="{8B494860-B83B-4FE9-9712-3BC4C5BCD380}"/>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A02F092F-34B5-4541-A462-2BB23FB38EEA}"/>
    <cellStyle name="Normal 5 5 2 2 4 2 2 3" xfId="29287" xr:uid="{0D11C1A4-6034-4959-8E08-0A76CE57C594}"/>
    <cellStyle name="Normal 5 5 2 2 4 2 3" xfId="12436" xr:uid="{1C5F2B18-259C-47E7-84CF-678820DCA0AA}"/>
    <cellStyle name="Normal 5 5 2 2 4 2 3 2" xfId="25076" xr:uid="{A107A7B5-C11D-4974-BEC3-4C6EF2FC84FE}"/>
    <cellStyle name="Normal 5 5 2 2 4 2 4" xfId="20865" xr:uid="{4B6D6ED9-4E50-4465-960F-6F51C73A1289}"/>
    <cellStyle name="Normal 5 5 2 2 4 3" xfId="6080" xr:uid="{00000000-0005-0000-0000-0000591B0000}"/>
    <cellStyle name="Normal 5 5 2 2 4 3 2" xfId="14509" xr:uid="{A46D810E-787A-4797-98BF-0674B37F877E}"/>
    <cellStyle name="Normal 5 5 2 2 4 3 3" xfId="27142" xr:uid="{00698AD3-3B87-4BB1-8B1D-4A8F0C82E559}"/>
    <cellStyle name="Normal 5 5 2 2 4 4" xfId="10291" xr:uid="{3269744C-E075-488F-9C5E-098804672BAC}"/>
    <cellStyle name="Normal 5 5 2 2 4 4 2" xfId="22931" xr:uid="{B4A478BA-AE30-4E0E-A66A-A90E2C8A131A}"/>
    <cellStyle name="Normal 5 5 2 2 4 5" xfId="18720" xr:uid="{5974392F-9803-4053-AAC9-07A6FD2133C5}"/>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A526D46F-3598-4D8B-9F60-8B92159557F5}"/>
    <cellStyle name="Normal 5 5 2 2 5 2 2 3" xfId="29700" xr:uid="{AD530F9C-42AE-4F97-B7A9-12E04FF56224}"/>
    <cellStyle name="Normal 5 5 2 2 5 2 3" xfId="12849" xr:uid="{827BCC55-5222-49FC-91F7-AC35F7015125}"/>
    <cellStyle name="Normal 5 5 2 2 5 2 3 2" xfId="25489" xr:uid="{688C54A0-9DF1-4C5C-946C-0952F9EB9F9B}"/>
    <cellStyle name="Normal 5 5 2 2 5 2 4" xfId="21278" xr:uid="{6C880393-11FD-47A0-815A-AFA06BD3BEA7}"/>
    <cellStyle name="Normal 5 5 2 2 5 3" xfId="6493" xr:uid="{00000000-0005-0000-0000-00005D1B0000}"/>
    <cellStyle name="Normal 5 5 2 2 5 3 2" xfId="14922" xr:uid="{217E93A2-5E95-4876-B9D9-22157EA0EDC4}"/>
    <cellStyle name="Normal 5 5 2 2 5 3 3" xfId="27555" xr:uid="{8A1384F7-9A1D-4383-8591-71454173C2D8}"/>
    <cellStyle name="Normal 5 5 2 2 5 4" xfId="10704" xr:uid="{E069212D-B0FD-4C07-A704-9014E164EE35}"/>
    <cellStyle name="Normal 5 5 2 2 5 4 2" xfId="23344" xr:uid="{4BF040E9-6F76-4AAD-B85F-371A08618E3F}"/>
    <cellStyle name="Normal 5 5 2 2 5 5" xfId="19133" xr:uid="{4268D949-F723-4317-8DA7-5323B9C32A7D}"/>
    <cellStyle name="Normal 5 5 2 2 6" xfId="2621" xr:uid="{00000000-0005-0000-0000-00005E1B0000}"/>
    <cellStyle name="Normal 5 5 2 2 6 2" xfId="6906" xr:uid="{00000000-0005-0000-0000-00005F1B0000}"/>
    <cellStyle name="Normal 5 5 2 2 6 2 2" xfId="15335" xr:uid="{DB835D6C-7651-4924-B2D4-F21AF91C30E3}"/>
    <cellStyle name="Normal 5 5 2 2 6 2 3" xfId="27968" xr:uid="{6373AAFD-ACA0-45A5-97CA-63FC39F77688}"/>
    <cellStyle name="Normal 5 5 2 2 6 3" xfId="11117" xr:uid="{BAE8A095-2D42-43E9-807A-3F1C0149637B}"/>
    <cellStyle name="Normal 5 5 2 2 6 3 2" xfId="23757" xr:uid="{BBDE21DB-1589-4548-BABD-AFF3E2DFBE2D}"/>
    <cellStyle name="Normal 5 5 2 2 6 4" xfId="19546" xr:uid="{57C6721F-8780-45F7-9D5E-49C3A1283239}"/>
    <cellStyle name="Normal 5 5 2 2 7" xfId="4841" xr:uid="{00000000-0005-0000-0000-0000601B0000}"/>
    <cellStyle name="Normal 5 5 2 2 7 2" xfId="13270" xr:uid="{306EAE45-B6A8-497C-8861-7520121F87AC}"/>
    <cellStyle name="Normal 5 5 2 2 7 3" xfId="25903" xr:uid="{DB050BB2-A57A-438A-9FA1-243EF4CA4A65}"/>
    <cellStyle name="Normal 5 5 2 2 8" xfId="9052" xr:uid="{1803266F-B4BD-4005-9366-587813F68CB6}"/>
    <cellStyle name="Normal 5 5 2 2 8 2" xfId="21692" xr:uid="{95634883-4AFA-4EC8-BA1F-7BE4B0E92A64}"/>
    <cellStyle name="Normal 5 5 2 2 9" xfId="17481" xr:uid="{83F7BA29-7818-4508-BBC3-DDFAA20A0270}"/>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C250A7B0-8B37-4CCB-A117-ABB889DE7431}"/>
    <cellStyle name="Normal 5 5 2 3 2 2 3" xfId="28460" xr:uid="{AE1D8DE2-8AD7-42F9-BF64-917A0E5AAA22}"/>
    <cellStyle name="Normal 5 5 2 3 2 3" xfId="11609" xr:uid="{FF0D7D19-8133-49D4-BABD-42CAD9121D3D}"/>
    <cellStyle name="Normal 5 5 2 3 2 3 2" xfId="24249" xr:uid="{21961E3F-584D-4318-BCC9-BAA9FEB40108}"/>
    <cellStyle name="Normal 5 5 2 3 2 4" xfId="20038" xr:uid="{69EE37E2-7DF0-4C91-B6F7-D53E94223ED3}"/>
    <cellStyle name="Normal 5 5 2 3 3" xfId="5253" xr:uid="{00000000-0005-0000-0000-0000641B0000}"/>
    <cellStyle name="Normal 5 5 2 3 3 2" xfId="13682" xr:uid="{FCAD2757-A8BE-456C-B5F5-88B5A9028692}"/>
    <cellStyle name="Normal 5 5 2 3 3 3" xfId="26315" xr:uid="{48069371-9DED-4EEB-8E1B-9F1428603696}"/>
    <cellStyle name="Normal 5 5 2 3 4" xfId="9464" xr:uid="{11E55451-870B-422C-9E63-0AFFF2F410DB}"/>
    <cellStyle name="Normal 5 5 2 3 4 2" xfId="22104" xr:uid="{F2F6FDC8-70DB-4695-8D2A-FACB69E7CEF7}"/>
    <cellStyle name="Normal 5 5 2 3 5" xfId="17893" xr:uid="{24495627-0732-4392-B86E-A852EF6E89B8}"/>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E781B5F6-F3CB-41D0-8EA0-BDAD2839750A}"/>
    <cellStyle name="Normal 5 5 2 4 2 2 3" xfId="28873" xr:uid="{0333D110-AC10-4781-B9C4-63F1E5B31ED1}"/>
    <cellStyle name="Normal 5 5 2 4 2 3" xfId="12022" xr:uid="{4700E35A-DA80-4A21-B1D6-11C0280AD40C}"/>
    <cellStyle name="Normal 5 5 2 4 2 3 2" xfId="24662" xr:uid="{E40A78EA-CC50-4C89-AEAA-7236EE552463}"/>
    <cellStyle name="Normal 5 5 2 4 2 4" xfId="20451" xr:uid="{1AFF9062-C93A-4129-BD59-373A382BD41B}"/>
    <cellStyle name="Normal 5 5 2 4 3" xfId="5666" xr:uid="{00000000-0005-0000-0000-0000681B0000}"/>
    <cellStyle name="Normal 5 5 2 4 3 2" xfId="14095" xr:uid="{2115136E-DE02-4499-B40D-EEA350CC3824}"/>
    <cellStyle name="Normal 5 5 2 4 3 3" xfId="26728" xr:uid="{75AB5791-0DD1-4F8C-9E06-11AECCD9434F}"/>
    <cellStyle name="Normal 5 5 2 4 4" xfId="9877" xr:uid="{DC6B05CC-2E76-444B-94E2-B9868FB6ED25}"/>
    <cellStyle name="Normal 5 5 2 4 4 2" xfId="22517" xr:uid="{04D4A317-8E66-46B3-BE06-B2F9AFDC845E}"/>
    <cellStyle name="Normal 5 5 2 4 5" xfId="18306" xr:uid="{F6E41D87-117B-4888-8FC3-1F34A6A29119}"/>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0340EDCA-A6EE-454A-B5DB-720F421827ED}"/>
    <cellStyle name="Normal 5 5 2 5 2 2 3" xfId="29286" xr:uid="{F2F27A9A-972E-4841-9ECF-46B7D0030272}"/>
    <cellStyle name="Normal 5 5 2 5 2 3" xfId="12435" xr:uid="{35A197B0-4A04-4786-9B57-AD364AC2C05F}"/>
    <cellStyle name="Normal 5 5 2 5 2 3 2" xfId="25075" xr:uid="{7E89B9E0-478A-4B68-ACDD-1267B3B26106}"/>
    <cellStyle name="Normal 5 5 2 5 2 4" xfId="20864" xr:uid="{5A8A0467-59D1-4373-B4F9-C0B4343A752E}"/>
    <cellStyle name="Normal 5 5 2 5 3" xfId="6079" xr:uid="{00000000-0005-0000-0000-00006C1B0000}"/>
    <cellStyle name="Normal 5 5 2 5 3 2" xfId="14508" xr:uid="{F855DDEC-0C29-48BA-9DBA-F0DFDFF7904A}"/>
    <cellStyle name="Normal 5 5 2 5 3 3" xfId="27141" xr:uid="{C9950F00-38BC-4C75-9D4D-FC54FE5BA1BA}"/>
    <cellStyle name="Normal 5 5 2 5 4" xfId="10290" xr:uid="{465E54E6-8360-44E8-AE63-05AD6C11E467}"/>
    <cellStyle name="Normal 5 5 2 5 4 2" xfId="22930" xr:uid="{4E546E4C-41DC-4BF9-B85E-93C5CCA56B8E}"/>
    <cellStyle name="Normal 5 5 2 5 5" xfId="18719" xr:uid="{FD684D4A-D042-468A-92DE-30FD8E17E311}"/>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E93353E1-8BB0-445C-879B-FB0AF98DC89E}"/>
    <cellStyle name="Normal 5 5 2 6 2 2 3" xfId="29699" xr:uid="{5368F4E9-6677-43DC-8522-E8229A9AA3C7}"/>
    <cellStyle name="Normal 5 5 2 6 2 3" xfId="12848" xr:uid="{5608DF75-F68F-4394-803A-B9CD6AF3FC5D}"/>
    <cellStyle name="Normal 5 5 2 6 2 3 2" xfId="25488" xr:uid="{E812429E-FEE9-41B5-BC4F-6A24C1697F8A}"/>
    <cellStyle name="Normal 5 5 2 6 2 4" xfId="21277" xr:uid="{10FD1CAC-4582-4283-8868-0156D8559F96}"/>
    <cellStyle name="Normal 5 5 2 6 3" xfId="6492" xr:uid="{00000000-0005-0000-0000-0000701B0000}"/>
    <cellStyle name="Normal 5 5 2 6 3 2" xfId="14921" xr:uid="{F7602391-0F5D-4B26-8641-27D53BEED170}"/>
    <cellStyle name="Normal 5 5 2 6 3 3" xfId="27554" xr:uid="{EA40DEAC-BFA5-457A-809C-E6450D013AF9}"/>
    <cellStyle name="Normal 5 5 2 6 4" xfId="10703" xr:uid="{C0196D84-A39C-4D85-B8A7-820DB34CAF37}"/>
    <cellStyle name="Normal 5 5 2 6 4 2" xfId="23343" xr:uid="{6A74A312-CF2F-41DC-9A39-75ED43D9773B}"/>
    <cellStyle name="Normal 5 5 2 6 5" xfId="19132" xr:uid="{FEBE7FF1-4C4D-4C99-861F-01FEA17EC94C}"/>
    <cellStyle name="Normal 5 5 2 7" xfId="2620" xr:uid="{00000000-0005-0000-0000-0000711B0000}"/>
    <cellStyle name="Normal 5 5 2 7 2" xfId="6905" xr:uid="{00000000-0005-0000-0000-0000721B0000}"/>
    <cellStyle name="Normal 5 5 2 7 2 2" xfId="15334" xr:uid="{5123CD75-25C4-4867-92AA-AA90C67A84BC}"/>
    <cellStyle name="Normal 5 5 2 7 2 3" xfId="27967" xr:uid="{3FD950A8-830E-4CB1-A8C4-786927E030CB}"/>
    <cellStyle name="Normal 5 5 2 7 3" xfId="11116" xr:uid="{18ADD2AF-839C-4F4A-ABCE-8CE7FCAB1900}"/>
    <cellStyle name="Normal 5 5 2 7 3 2" xfId="23756" xr:uid="{A137A0A1-4D43-4CF3-95C9-6D7ACD9F05FD}"/>
    <cellStyle name="Normal 5 5 2 7 4" xfId="19545" xr:uid="{4FD8C768-A734-4955-83BD-C84DBFFE2419}"/>
    <cellStyle name="Normal 5 5 2 8" xfId="4840" xr:uid="{00000000-0005-0000-0000-0000731B0000}"/>
    <cellStyle name="Normal 5 5 2 8 2" xfId="13269" xr:uid="{C1FAEE06-9CA1-46CE-A11D-8C45D9BE1680}"/>
    <cellStyle name="Normal 5 5 2 8 3" xfId="25902" xr:uid="{34178357-EB42-4AB5-B0EE-E813C02B4CCE}"/>
    <cellStyle name="Normal 5 5 2 9" xfId="9051" xr:uid="{89B178A5-F9CC-44E4-94E4-EA2FEA0FBF57}"/>
    <cellStyle name="Normal 5 5 2 9 2" xfId="21691" xr:uid="{760ABC6F-BDA3-4B68-ACFF-9F3F43F40D75}"/>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67285658-773B-478D-B1E3-97443E3872C2}"/>
    <cellStyle name="Normal 5 5 3 2 2 2 3" xfId="28462" xr:uid="{08B05E42-83DE-4F86-AACC-109C79489EBA}"/>
    <cellStyle name="Normal 5 5 3 2 2 3" xfId="11611" xr:uid="{A249A2A2-86A2-40FA-B171-CD5AB18EF3A3}"/>
    <cellStyle name="Normal 5 5 3 2 2 3 2" xfId="24251" xr:uid="{3363D73F-5ADA-43B5-8133-3D4DB7E54CE7}"/>
    <cellStyle name="Normal 5 5 3 2 2 4" xfId="20040" xr:uid="{67818B66-B155-46C7-B180-DA7241A86004}"/>
    <cellStyle name="Normal 5 5 3 2 3" xfId="5255" xr:uid="{00000000-0005-0000-0000-0000781B0000}"/>
    <cellStyle name="Normal 5 5 3 2 3 2" xfId="13684" xr:uid="{F0B4DA14-5E6D-4644-A6FC-AD5306A28B45}"/>
    <cellStyle name="Normal 5 5 3 2 3 3" xfId="26317" xr:uid="{D36A5916-1B14-4C05-AAB4-197679CF3F59}"/>
    <cellStyle name="Normal 5 5 3 2 4" xfId="9466" xr:uid="{F9DDAE67-44E2-45EC-A960-DAA341C1A568}"/>
    <cellStyle name="Normal 5 5 3 2 4 2" xfId="22106" xr:uid="{03D66E63-A026-46E7-8476-DF6C3A2593F8}"/>
    <cellStyle name="Normal 5 5 3 2 5" xfId="17895" xr:uid="{27499579-51BA-47FE-AE97-E468EF5D287D}"/>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CD34C6B8-AAE5-4560-84CE-AF34F5B8A267}"/>
    <cellStyle name="Normal 5 5 3 3 2 2 3" xfId="28875" xr:uid="{A78D4207-B8F2-4EC1-9F46-7F4C1EF8E871}"/>
    <cellStyle name="Normal 5 5 3 3 2 3" xfId="12024" xr:uid="{B69645B9-3590-495B-BA2D-2AE77C036F6B}"/>
    <cellStyle name="Normal 5 5 3 3 2 3 2" xfId="24664" xr:uid="{1CC50562-537C-4CC6-9262-173B3AAF9F12}"/>
    <cellStyle name="Normal 5 5 3 3 2 4" xfId="20453" xr:uid="{339E5238-E878-4655-90FB-8541E6C38FB1}"/>
    <cellStyle name="Normal 5 5 3 3 3" xfId="5668" xr:uid="{00000000-0005-0000-0000-00007C1B0000}"/>
    <cellStyle name="Normal 5 5 3 3 3 2" xfId="14097" xr:uid="{4D2FD736-40F8-440F-ACA6-C066BD457E9B}"/>
    <cellStyle name="Normal 5 5 3 3 3 3" xfId="26730" xr:uid="{684A2F7C-2E9C-41C6-AD33-C28632824E76}"/>
    <cellStyle name="Normal 5 5 3 3 4" xfId="9879" xr:uid="{EC9E36C9-B4A9-41CD-9C69-3ABCD3644E58}"/>
    <cellStyle name="Normal 5 5 3 3 4 2" xfId="22519" xr:uid="{A2F78504-DFF6-4A83-9282-58E4C9C159B9}"/>
    <cellStyle name="Normal 5 5 3 3 5" xfId="18308" xr:uid="{6E35B606-4A0A-4281-AD94-03DF2AA868E7}"/>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0A37DDF8-E0DD-4040-9140-7AA6201B99C1}"/>
    <cellStyle name="Normal 5 5 3 4 2 2 3" xfId="29288" xr:uid="{9D17835F-0E23-41F2-B168-6CAF2873A855}"/>
    <cellStyle name="Normal 5 5 3 4 2 3" xfId="12437" xr:uid="{2514236F-65CF-469A-9FD7-8885E0DFC190}"/>
    <cellStyle name="Normal 5 5 3 4 2 3 2" xfId="25077" xr:uid="{0F1D478B-96A8-43B5-9103-C2C8AA3081ED}"/>
    <cellStyle name="Normal 5 5 3 4 2 4" xfId="20866" xr:uid="{E47464EA-794E-4301-B515-D4E7597B8659}"/>
    <cellStyle name="Normal 5 5 3 4 3" xfId="6081" xr:uid="{00000000-0005-0000-0000-0000801B0000}"/>
    <cellStyle name="Normal 5 5 3 4 3 2" xfId="14510" xr:uid="{893F10D9-D809-4DAC-AB58-4AC0ED2C7748}"/>
    <cellStyle name="Normal 5 5 3 4 3 3" xfId="27143" xr:uid="{9AFF6A2F-4906-4B2C-8A65-2B45104C04D7}"/>
    <cellStyle name="Normal 5 5 3 4 4" xfId="10292" xr:uid="{1CD9357D-FB2E-4B26-B4E4-CB6F248346D2}"/>
    <cellStyle name="Normal 5 5 3 4 4 2" xfId="22932" xr:uid="{EB1363B1-20A0-482B-943D-8BD69C132B9B}"/>
    <cellStyle name="Normal 5 5 3 4 5" xfId="18721" xr:uid="{7A67942D-E432-497C-BC95-814F1B74F348}"/>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E6027716-2F14-4EB1-8034-145BBD062A4B}"/>
    <cellStyle name="Normal 5 5 3 5 2 2 3" xfId="29701" xr:uid="{A02FE677-3213-4A2C-9AC8-A2D87A26175B}"/>
    <cellStyle name="Normal 5 5 3 5 2 3" xfId="12850" xr:uid="{D7BDB10E-646E-402D-8E67-855261715CAB}"/>
    <cellStyle name="Normal 5 5 3 5 2 3 2" xfId="25490" xr:uid="{327799CE-102F-4498-8B6A-1C5D05ED4BD7}"/>
    <cellStyle name="Normal 5 5 3 5 2 4" xfId="21279" xr:uid="{84B798C2-11CE-4AD6-931F-410CCF81108E}"/>
    <cellStyle name="Normal 5 5 3 5 3" xfId="6494" xr:uid="{00000000-0005-0000-0000-0000841B0000}"/>
    <cellStyle name="Normal 5 5 3 5 3 2" xfId="14923" xr:uid="{AB408A73-8328-41B1-8193-C103386C1468}"/>
    <cellStyle name="Normal 5 5 3 5 3 3" xfId="27556" xr:uid="{E00404A7-3198-42DB-A271-33DED2D1E207}"/>
    <cellStyle name="Normal 5 5 3 5 4" xfId="10705" xr:uid="{6C0422AE-FF62-4AEC-AEA0-F8E69999BB7B}"/>
    <cellStyle name="Normal 5 5 3 5 4 2" xfId="23345" xr:uid="{A908F6B0-DB29-49AF-A93C-BEF2C0B5F1C4}"/>
    <cellStyle name="Normal 5 5 3 5 5" xfId="19134" xr:uid="{9369DA19-DB95-4F08-8CCF-A51DC8B4A991}"/>
    <cellStyle name="Normal 5 5 3 6" xfId="2622" xr:uid="{00000000-0005-0000-0000-0000851B0000}"/>
    <cellStyle name="Normal 5 5 3 6 2" xfId="6907" xr:uid="{00000000-0005-0000-0000-0000861B0000}"/>
    <cellStyle name="Normal 5 5 3 6 2 2" xfId="15336" xr:uid="{B5DBA40E-195C-44F1-A889-358873E35580}"/>
    <cellStyle name="Normal 5 5 3 6 2 3" xfId="27969" xr:uid="{39755E9F-D5DC-46E7-8063-43DA128A2A39}"/>
    <cellStyle name="Normal 5 5 3 6 3" xfId="11118" xr:uid="{CCDCFBF8-15E0-4DD1-AEAE-E8480157F759}"/>
    <cellStyle name="Normal 5 5 3 6 3 2" xfId="23758" xr:uid="{DB567442-1143-427B-8682-362A8D8FC4A7}"/>
    <cellStyle name="Normal 5 5 3 6 4" xfId="19547" xr:uid="{CD6A9CF3-BFC5-4A68-8143-F6C46B84E2EB}"/>
    <cellStyle name="Normal 5 5 3 7" xfId="4842" xr:uid="{00000000-0005-0000-0000-0000871B0000}"/>
    <cellStyle name="Normal 5 5 3 7 2" xfId="13271" xr:uid="{E457B5CD-8381-46DA-9333-8208CC99A2BD}"/>
    <cellStyle name="Normal 5 5 3 7 3" xfId="25904" xr:uid="{5B4B116E-95FE-4F31-B6BD-3F3425C3AF7B}"/>
    <cellStyle name="Normal 5 5 3 8" xfId="9053" xr:uid="{E2E96421-247F-43DA-AF99-D7DAA23F9AB4}"/>
    <cellStyle name="Normal 5 5 3 8 2" xfId="21693" xr:uid="{E401137C-6EBD-4E27-A183-CD445ACAB666}"/>
    <cellStyle name="Normal 5 5 3 9" xfId="17482" xr:uid="{A873BE82-5761-466B-AC2A-A56E9E0A255C}"/>
    <cellStyle name="Normal 5 5 4" xfId="939" xr:uid="{00000000-0005-0000-0000-0000881B0000}"/>
    <cellStyle name="Normal 5 5 4 2" xfId="3173" xr:uid="{00000000-0005-0000-0000-0000891B0000}"/>
    <cellStyle name="Normal 5 5 4 2 2" xfId="7397" xr:uid="{00000000-0005-0000-0000-00008A1B0000}"/>
    <cellStyle name="Normal 5 5 4 2 2 2" xfId="15826" xr:uid="{3BECECA8-7FE6-464C-BFF7-51A50811007A}"/>
    <cellStyle name="Normal 5 5 4 2 2 3" xfId="28459" xr:uid="{5DBC25E5-54ED-45EB-8980-7D16A6BB5AA5}"/>
    <cellStyle name="Normal 5 5 4 2 3" xfId="11608" xr:uid="{93C8C4D9-1037-433B-9549-DDC8E63AB0C3}"/>
    <cellStyle name="Normal 5 5 4 2 3 2" xfId="24248" xr:uid="{F3FE3C96-2093-4499-B0EF-5CFF7F47580A}"/>
    <cellStyle name="Normal 5 5 4 2 4" xfId="20037" xr:uid="{24623983-CCE9-48A1-8FC4-D53A7C58D69B}"/>
    <cellStyle name="Normal 5 5 4 3" xfId="5252" xr:uid="{00000000-0005-0000-0000-00008B1B0000}"/>
    <cellStyle name="Normal 5 5 4 3 2" xfId="13681" xr:uid="{65956FD6-A224-4C35-8B93-AA47C0B99050}"/>
    <cellStyle name="Normal 5 5 4 3 3" xfId="26314" xr:uid="{3A30D7E5-86B4-4F51-9153-C74F70A59A51}"/>
    <cellStyle name="Normal 5 5 4 4" xfId="9463" xr:uid="{3980C7CC-7AFF-44F3-9C0D-19A271951035}"/>
    <cellStyle name="Normal 5 5 4 4 2" xfId="22103" xr:uid="{3B026166-F621-4379-A16F-E7951AF48B9B}"/>
    <cellStyle name="Normal 5 5 4 5" xfId="17892" xr:uid="{993D5E4D-C08D-4F8B-936F-327FC7EAD058}"/>
    <cellStyle name="Normal 5 5 5" xfId="1356" xr:uid="{00000000-0005-0000-0000-00008C1B0000}"/>
    <cellStyle name="Normal 5 5 5 2" xfId="3586" xr:uid="{00000000-0005-0000-0000-00008D1B0000}"/>
    <cellStyle name="Normal 5 5 5 2 2" xfId="7810" xr:uid="{00000000-0005-0000-0000-00008E1B0000}"/>
    <cellStyle name="Normal 5 5 5 2 2 2" xfId="16239" xr:uid="{49A77E02-3937-401A-A3C6-8365FABB2E3B}"/>
    <cellStyle name="Normal 5 5 5 2 2 3" xfId="28872" xr:uid="{73B8CA3E-6C8B-4D5C-ADF0-0B05AA034EC8}"/>
    <cellStyle name="Normal 5 5 5 2 3" xfId="12021" xr:uid="{FD3D2698-F259-4772-8EF8-AC30977624AB}"/>
    <cellStyle name="Normal 5 5 5 2 3 2" xfId="24661" xr:uid="{3A4F5396-3E40-4D5E-B7B0-BFBF9FB2B1AC}"/>
    <cellStyle name="Normal 5 5 5 2 4" xfId="20450" xr:uid="{4C21873B-BA46-4CC2-AA36-E3EA3BE020DB}"/>
    <cellStyle name="Normal 5 5 5 3" xfId="5665" xr:uid="{00000000-0005-0000-0000-00008F1B0000}"/>
    <cellStyle name="Normal 5 5 5 3 2" xfId="14094" xr:uid="{D002181E-07A2-44D4-975B-5617AF79A30A}"/>
    <cellStyle name="Normal 5 5 5 3 3" xfId="26727" xr:uid="{032082D8-4424-4D32-AD9C-65C266C2E4B8}"/>
    <cellStyle name="Normal 5 5 5 4" xfId="9876" xr:uid="{8B2B9878-B534-453B-BCDC-0D45C579966F}"/>
    <cellStyle name="Normal 5 5 5 4 2" xfId="22516" xr:uid="{5E72E899-27EF-4A47-8CB9-A17900084D89}"/>
    <cellStyle name="Normal 5 5 5 5" xfId="18305" xr:uid="{EA5B61E1-2B77-4CF8-A6CA-3164CD5E3089}"/>
    <cellStyle name="Normal 5 5 6" xfId="1769" xr:uid="{00000000-0005-0000-0000-0000901B0000}"/>
    <cellStyle name="Normal 5 5 6 2" xfId="3999" xr:uid="{00000000-0005-0000-0000-0000911B0000}"/>
    <cellStyle name="Normal 5 5 6 2 2" xfId="8223" xr:uid="{00000000-0005-0000-0000-0000921B0000}"/>
    <cellStyle name="Normal 5 5 6 2 2 2" xfId="16652" xr:uid="{A131FE3A-3B9C-4579-B6A3-114C146E6218}"/>
    <cellStyle name="Normal 5 5 6 2 2 3" xfId="29285" xr:uid="{8FE1B95C-4866-4C20-BECD-5FD26CFCB56D}"/>
    <cellStyle name="Normal 5 5 6 2 3" xfId="12434" xr:uid="{C5183E8D-38A5-4F41-A1FA-A18C6EF80A68}"/>
    <cellStyle name="Normal 5 5 6 2 3 2" xfId="25074" xr:uid="{9C835294-3A70-4D4E-9644-D3C7CFBBFE65}"/>
    <cellStyle name="Normal 5 5 6 2 4" xfId="20863" xr:uid="{F405EFDD-7D14-47C7-BDC3-25408ED6F7D1}"/>
    <cellStyle name="Normal 5 5 6 3" xfId="6078" xr:uid="{00000000-0005-0000-0000-0000931B0000}"/>
    <cellStyle name="Normal 5 5 6 3 2" xfId="14507" xr:uid="{1165ABA9-C702-44F8-AB73-016DDDF1C205}"/>
    <cellStyle name="Normal 5 5 6 3 3" xfId="27140" xr:uid="{BA1EBFB7-42DF-4EA0-86A0-6C5BAC03521B}"/>
    <cellStyle name="Normal 5 5 6 4" xfId="10289" xr:uid="{C0FFA14E-F953-470B-85CF-334DAE95AD3E}"/>
    <cellStyle name="Normal 5 5 6 4 2" xfId="22929" xr:uid="{1B1900C7-FA46-4345-B357-C493DB00B62D}"/>
    <cellStyle name="Normal 5 5 6 5" xfId="18718" xr:uid="{4924993F-99F3-4D4A-90E8-A21A9EC10F32}"/>
    <cellStyle name="Normal 5 5 7" xfId="2183" xr:uid="{00000000-0005-0000-0000-0000941B0000}"/>
    <cellStyle name="Normal 5 5 7 2" xfId="4412" xr:uid="{00000000-0005-0000-0000-0000951B0000}"/>
    <cellStyle name="Normal 5 5 7 2 2" xfId="8636" xr:uid="{00000000-0005-0000-0000-0000961B0000}"/>
    <cellStyle name="Normal 5 5 7 2 2 2" xfId="17065" xr:uid="{89B6A806-4810-4F91-9ED0-0FAA1262CC3F}"/>
    <cellStyle name="Normal 5 5 7 2 2 3" xfId="29698" xr:uid="{D92784A7-4642-4A0E-9B8C-339FAB8288F3}"/>
    <cellStyle name="Normal 5 5 7 2 3" xfId="12847" xr:uid="{BB73A30A-8EDF-47D0-84F5-E670D1F2D5E0}"/>
    <cellStyle name="Normal 5 5 7 2 3 2" xfId="25487" xr:uid="{29722AA0-FD54-4822-B46B-0C4C38211997}"/>
    <cellStyle name="Normal 5 5 7 2 4" xfId="21276" xr:uid="{84352EEF-BB29-417D-8780-2E0D7E0D41A1}"/>
    <cellStyle name="Normal 5 5 7 3" xfId="6491" xr:uid="{00000000-0005-0000-0000-0000971B0000}"/>
    <cellStyle name="Normal 5 5 7 3 2" xfId="14920" xr:uid="{9C15DE94-2448-413E-B627-C0884B404BDB}"/>
    <cellStyle name="Normal 5 5 7 3 3" xfId="27553" xr:uid="{B1092C87-3E36-4938-8164-7653B3F6AA19}"/>
    <cellStyle name="Normal 5 5 7 4" xfId="10702" xr:uid="{144AA503-1C1F-47D8-970E-C28D9D820781}"/>
    <cellStyle name="Normal 5 5 7 4 2" xfId="23342" xr:uid="{7727F63B-2FA3-41B5-9850-8E6E66E0C93A}"/>
    <cellStyle name="Normal 5 5 7 5" xfId="19131" xr:uid="{ED532F38-427C-4B38-BB07-634087A3F16B}"/>
    <cellStyle name="Normal 5 5 8" xfId="2619" xr:uid="{00000000-0005-0000-0000-0000981B0000}"/>
    <cellStyle name="Normal 5 5 8 2" xfId="6904" xr:uid="{00000000-0005-0000-0000-0000991B0000}"/>
    <cellStyle name="Normal 5 5 8 2 2" xfId="15333" xr:uid="{7BB0EE5A-E390-4CCE-8034-AAAD6CF64C23}"/>
    <cellStyle name="Normal 5 5 8 2 3" xfId="27966" xr:uid="{3B0C1CB9-230E-4FB5-972B-989965DFA6C8}"/>
    <cellStyle name="Normal 5 5 8 3" xfId="11115" xr:uid="{39CE1D3C-7E30-4A45-9EC4-80CA7D46D57A}"/>
    <cellStyle name="Normal 5 5 8 3 2" xfId="23755" xr:uid="{EBA2C365-0E79-4DD8-A110-DC29DB57AEC6}"/>
    <cellStyle name="Normal 5 5 8 4" xfId="19544" xr:uid="{FC7A7E99-B071-47AE-957F-54B4231D2C7E}"/>
    <cellStyle name="Normal 5 5 9" xfId="4839" xr:uid="{00000000-0005-0000-0000-00009A1B0000}"/>
    <cellStyle name="Normal 5 5 9 2" xfId="13268" xr:uid="{32F33B56-E9AE-4D36-B94D-B1361345A99E}"/>
    <cellStyle name="Normal 5 5 9 3" xfId="25901" xr:uid="{61E9B224-8804-4C57-BB90-9A455EAE20ED}"/>
    <cellStyle name="Normal 5 6" xfId="468" xr:uid="{00000000-0005-0000-0000-00009B1B0000}"/>
    <cellStyle name="Normal 5 6 10" xfId="17483" xr:uid="{05709341-9FF3-41BC-AA5C-EF6BFF83B709}"/>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A1881B60-1630-4C03-B3D8-26404685CDF8}"/>
    <cellStyle name="Normal 5 6 2 2 2 2 3" xfId="28464" xr:uid="{73DF6B65-0B8E-4AF9-BD53-F1537157E25B}"/>
    <cellStyle name="Normal 5 6 2 2 2 3" xfId="11613" xr:uid="{DBF79D94-ABC0-4BD1-B2D2-525C77FC8E5F}"/>
    <cellStyle name="Normal 5 6 2 2 2 3 2" xfId="24253" xr:uid="{526C6A57-3603-4445-8CE4-64FC8A6552B3}"/>
    <cellStyle name="Normal 5 6 2 2 2 4" xfId="20042" xr:uid="{929F9DBF-E386-4FA2-A332-0BECA9D45AD0}"/>
    <cellStyle name="Normal 5 6 2 2 3" xfId="5257" xr:uid="{00000000-0005-0000-0000-0000A01B0000}"/>
    <cellStyle name="Normal 5 6 2 2 3 2" xfId="13686" xr:uid="{08CBD15F-48BA-45C8-8475-2C59C4ECD5F5}"/>
    <cellStyle name="Normal 5 6 2 2 3 3" xfId="26319" xr:uid="{83588A67-30B6-44B6-AF7D-60441685A715}"/>
    <cellStyle name="Normal 5 6 2 2 4" xfId="9468" xr:uid="{092ADFE8-4E2A-47A0-9D4C-5A3001160429}"/>
    <cellStyle name="Normal 5 6 2 2 4 2" xfId="22108" xr:uid="{11E0183F-55EB-42D8-9E8E-45664604F14E}"/>
    <cellStyle name="Normal 5 6 2 2 5" xfId="17897" xr:uid="{85DBDB0F-EB19-4D6D-A73F-8A3FF057265A}"/>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424695A1-B8AD-4F74-B29E-EE8A6B3B4EFF}"/>
    <cellStyle name="Normal 5 6 2 3 2 2 3" xfId="28877" xr:uid="{3F3784F9-9984-4C9B-9E03-072CDA241865}"/>
    <cellStyle name="Normal 5 6 2 3 2 3" xfId="12026" xr:uid="{A77E8D8F-A6F1-4D88-A94F-517D068A012F}"/>
    <cellStyle name="Normal 5 6 2 3 2 3 2" xfId="24666" xr:uid="{ED02EEE3-99D8-437D-A2F8-D4184FE5014B}"/>
    <cellStyle name="Normal 5 6 2 3 2 4" xfId="20455" xr:uid="{9B3747E5-F9A0-4C0F-AB86-E653801E13D8}"/>
    <cellStyle name="Normal 5 6 2 3 3" xfId="5670" xr:uid="{00000000-0005-0000-0000-0000A41B0000}"/>
    <cellStyle name="Normal 5 6 2 3 3 2" xfId="14099" xr:uid="{042CE661-9AA5-49A8-AB9B-3A835CCE9E28}"/>
    <cellStyle name="Normal 5 6 2 3 3 3" xfId="26732" xr:uid="{B9AD9CE4-85A6-4636-BBE8-82FC206E5D27}"/>
    <cellStyle name="Normal 5 6 2 3 4" xfId="9881" xr:uid="{914DEC5D-F740-42F6-B457-8A5964F04B34}"/>
    <cellStyle name="Normal 5 6 2 3 4 2" xfId="22521" xr:uid="{2EE16779-63E9-46E9-A206-976102205A3B}"/>
    <cellStyle name="Normal 5 6 2 3 5" xfId="18310" xr:uid="{1F644C4B-2DB9-4595-B69A-EA3259CF390C}"/>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B5B840DA-8E62-4A0A-ADF5-E99C628B96D8}"/>
    <cellStyle name="Normal 5 6 2 4 2 2 3" xfId="29290" xr:uid="{100F15C3-2F2F-47AD-8F5E-4757FA8A4B45}"/>
    <cellStyle name="Normal 5 6 2 4 2 3" xfId="12439" xr:uid="{E9E0F811-24BD-410F-9C33-FBB57EF9892D}"/>
    <cellStyle name="Normal 5 6 2 4 2 3 2" xfId="25079" xr:uid="{0DC1F310-A11E-447C-9BCB-FF10A6CB0494}"/>
    <cellStyle name="Normal 5 6 2 4 2 4" xfId="20868" xr:uid="{2B7B5954-1B86-46BD-8F5C-B5D4F5C28F44}"/>
    <cellStyle name="Normal 5 6 2 4 3" xfId="6083" xr:uid="{00000000-0005-0000-0000-0000A81B0000}"/>
    <cellStyle name="Normal 5 6 2 4 3 2" xfId="14512" xr:uid="{818CAB73-8718-43FF-8F19-EC310B891478}"/>
    <cellStyle name="Normal 5 6 2 4 3 3" xfId="27145" xr:uid="{F4ADB3C3-7C06-4F91-AAB7-70B828C008DD}"/>
    <cellStyle name="Normal 5 6 2 4 4" xfId="10294" xr:uid="{73AAC3FC-9FB0-45CD-87BA-B2836A704578}"/>
    <cellStyle name="Normal 5 6 2 4 4 2" xfId="22934" xr:uid="{0527C42B-3AAA-4D73-8762-0FE121A0C53F}"/>
    <cellStyle name="Normal 5 6 2 4 5" xfId="18723" xr:uid="{C34F6CFC-3F19-4DEF-B7A0-9DA3C5508D31}"/>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288FEF6F-8190-42AF-B5D0-ACEE62C7591E}"/>
    <cellStyle name="Normal 5 6 2 5 2 2 3" xfId="29703" xr:uid="{63FA7866-6453-4382-B52E-E153D7B9D304}"/>
    <cellStyle name="Normal 5 6 2 5 2 3" xfId="12852" xr:uid="{FA2F3F61-6FE9-41F8-B2BA-951121CBB625}"/>
    <cellStyle name="Normal 5 6 2 5 2 3 2" xfId="25492" xr:uid="{551962A1-7984-4972-B1D0-EAE493110029}"/>
    <cellStyle name="Normal 5 6 2 5 2 4" xfId="21281" xr:uid="{10A17B2A-AB44-46C4-B6E0-4498843D0B97}"/>
    <cellStyle name="Normal 5 6 2 5 3" xfId="6496" xr:uid="{00000000-0005-0000-0000-0000AC1B0000}"/>
    <cellStyle name="Normal 5 6 2 5 3 2" xfId="14925" xr:uid="{C0758B19-2CAF-40FF-9ED4-C3F28029C449}"/>
    <cellStyle name="Normal 5 6 2 5 3 3" xfId="27558" xr:uid="{1CE4D6F2-0EC4-4564-A19D-06A7FA46D070}"/>
    <cellStyle name="Normal 5 6 2 5 4" xfId="10707" xr:uid="{2019F6C2-0CB6-4C66-81DA-2E4FBB911408}"/>
    <cellStyle name="Normal 5 6 2 5 4 2" xfId="23347" xr:uid="{4F65656B-DBEB-4A05-8929-BB1AE485B232}"/>
    <cellStyle name="Normal 5 6 2 5 5" xfId="19136" xr:uid="{57BA72BD-49E3-4708-B632-737B97EF28A0}"/>
    <cellStyle name="Normal 5 6 2 6" xfId="2624" xr:uid="{00000000-0005-0000-0000-0000AD1B0000}"/>
    <cellStyle name="Normal 5 6 2 6 2" xfId="6909" xr:uid="{00000000-0005-0000-0000-0000AE1B0000}"/>
    <cellStyle name="Normal 5 6 2 6 2 2" xfId="15338" xr:uid="{FEC2CF43-F7DF-4415-BC45-64E852905866}"/>
    <cellStyle name="Normal 5 6 2 6 2 3" xfId="27971" xr:uid="{3F7D6DE6-1E7A-4EFA-8436-4CB2E21F2899}"/>
    <cellStyle name="Normal 5 6 2 6 3" xfId="11120" xr:uid="{A3721CBE-84AA-47F8-B889-C39B3B03ED6A}"/>
    <cellStyle name="Normal 5 6 2 6 3 2" xfId="23760" xr:uid="{9014F182-4DC3-49A4-90BC-DC443443878D}"/>
    <cellStyle name="Normal 5 6 2 6 4" xfId="19549" xr:uid="{812A09B7-85F5-4711-B202-5D99E3571139}"/>
    <cellStyle name="Normal 5 6 2 7" xfId="4844" xr:uid="{00000000-0005-0000-0000-0000AF1B0000}"/>
    <cellStyle name="Normal 5 6 2 7 2" xfId="13273" xr:uid="{BDB5420D-C9F0-40F9-8811-D8687E538E69}"/>
    <cellStyle name="Normal 5 6 2 7 3" xfId="25906" xr:uid="{9839BE12-B348-41FD-8E22-71544A6DEA09}"/>
    <cellStyle name="Normal 5 6 2 8" xfId="9055" xr:uid="{A369B91D-C56F-4DAE-AFA6-E7F3CB1391D0}"/>
    <cellStyle name="Normal 5 6 2 8 2" xfId="21695" xr:uid="{6930BA6D-EE76-43D3-B36F-2B8DEDC5109A}"/>
    <cellStyle name="Normal 5 6 2 9" xfId="17484" xr:uid="{DE0A23DD-4EF0-47A8-9789-6BA31BD701EB}"/>
    <cellStyle name="Normal 5 6 3" xfId="943" xr:uid="{00000000-0005-0000-0000-0000B01B0000}"/>
    <cellStyle name="Normal 5 6 3 2" xfId="3177" xr:uid="{00000000-0005-0000-0000-0000B11B0000}"/>
    <cellStyle name="Normal 5 6 3 2 2" xfId="7401" xr:uid="{00000000-0005-0000-0000-0000B21B0000}"/>
    <cellStyle name="Normal 5 6 3 2 2 2" xfId="15830" xr:uid="{38869CE9-AC4F-4E20-81E5-8B70E411740E}"/>
    <cellStyle name="Normal 5 6 3 2 2 3" xfId="28463" xr:uid="{D0FC2682-0740-482F-9107-B6B7ECC33E7C}"/>
    <cellStyle name="Normal 5 6 3 2 3" xfId="11612" xr:uid="{408F3B99-0095-4EC5-9E5D-F0D940EA8846}"/>
    <cellStyle name="Normal 5 6 3 2 3 2" xfId="24252" xr:uid="{B6B93A71-B22D-47BA-B045-A98721E361BC}"/>
    <cellStyle name="Normal 5 6 3 2 4" xfId="20041" xr:uid="{E9D4F41C-8383-475E-89B7-879820601F9A}"/>
    <cellStyle name="Normal 5 6 3 3" xfId="5256" xr:uid="{00000000-0005-0000-0000-0000B31B0000}"/>
    <cellStyle name="Normal 5 6 3 3 2" xfId="13685" xr:uid="{4C9735C9-24DB-42FB-9566-C7EEBBB58DEA}"/>
    <cellStyle name="Normal 5 6 3 3 3" xfId="26318" xr:uid="{259A506F-BD88-4D83-A6AD-EC708FDCE619}"/>
    <cellStyle name="Normal 5 6 3 4" xfId="9467" xr:uid="{6B145ED3-9D9B-4D4C-8E38-DDA07672EE47}"/>
    <cellStyle name="Normal 5 6 3 4 2" xfId="22107" xr:uid="{0CD800FA-146C-4E4A-9925-4C5463B390E1}"/>
    <cellStyle name="Normal 5 6 3 5" xfId="17896" xr:uid="{A0BAF29E-C4FA-46D1-B37E-F1CA43103491}"/>
    <cellStyle name="Normal 5 6 4" xfId="1360" xr:uid="{00000000-0005-0000-0000-0000B41B0000}"/>
    <cellStyle name="Normal 5 6 4 2" xfId="3590" xr:uid="{00000000-0005-0000-0000-0000B51B0000}"/>
    <cellStyle name="Normal 5 6 4 2 2" xfId="7814" xr:uid="{00000000-0005-0000-0000-0000B61B0000}"/>
    <cellStyle name="Normal 5 6 4 2 2 2" xfId="16243" xr:uid="{2264C40A-6FCF-4DAB-87FB-B14251EDB30C}"/>
    <cellStyle name="Normal 5 6 4 2 2 3" xfId="28876" xr:uid="{741275B5-E4AB-413E-9972-5646BAC87BA9}"/>
    <cellStyle name="Normal 5 6 4 2 3" xfId="12025" xr:uid="{9B5B705F-B45A-4B75-A37D-B563B3E8BBF1}"/>
    <cellStyle name="Normal 5 6 4 2 3 2" xfId="24665" xr:uid="{464121C5-F963-4C54-9E4C-C509BE32DC86}"/>
    <cellStyle name="Normal 5 6 4 2 4" xfId="20454" xr:uid="{DEE79522-5F70-47EA-B761-2530DAB89B97}"/>
    <cellStyle name="Normal 5 6 4 3" xfId="5669" xr:uid="{00000000-0005-0000-0000-0000B71B0000}"/>
    <cellStyle name="Normal 5 6 4 3 2" xfId="14098" xr:uid="{6902EB63-DD3B-4523-A69D-910E01757013}"/>
    <cellStyle name="Normal 5 6 4 3 3" xfId="26731" xr:uid="{EF7D2FA8-CC39-442A-A64D-A593990C82C0}"/>
    <cellStyle name="Normal 5 6 4 4" xfId="9880" xr:uid="{645375CC-2B9E-4F44-A7BB-940F26C4B60B}"/>
    <cellStyle name="Normal 5 6 4 4 2" xfId="22520" xr:uid="{4E00CC63-F860-4C53-A47B-6C23A42D6815}"/>
    <cellStyle name="Normal 5 6 4 5" xfId="18309" xr:uid="{D715CD19-0DE3-4FD0-BCDB-902B827EAC3D}"/>
    <cellStyle name="Normal 5 6 5" xfId="1773" xr:uid="{00000000-0005-0000-0000-0000B81B0000}"/>
    <cellStyle name="Normal 5 6 5 2" xfId="4003" xr:uid="{00000000-0005-0000-0000-0000B91B0000}"/>
    <cellStyle name="Normal 5 6 5 2 2" xfId="8227" xr:uid="{00000000-0005-0000-0000-0000BA1B0000}"/>
    <cellStyle name="Normal 5 6 5 2 2 2" xfId="16656" xr:uid="{8196A217-835E-4B68-AA2E-AA283E157F1F}"/>
    <cellStyle name="Normal 5 6 5 2 2 3" xfId="29289" xr:uid="{21770CB7-BC46-41A9-BF49-5DF8A59121E9}"/>
    <cellStyle name="Normal 5 6 5 2 3" xfId="12438" xr:uid="{0AE7A2F8-655C-4849-9F69-DF36431C3A12}"/>
    <cellStyle name="Normal 5 6 5 2 3 2" xfId="25078" xr:uid="{910EDA6F-D1BB-4125-B2CD-A6D84156CB1A}"/>
    <cellStyle name="Normal 5 6 5 2 4" xfId="20867" xr:uid="{05161E85-9AAC-4941-A48B-77ECFF18470B}"/>
    <cellStyle name="Normal 5 6 5 3" xfId="6082" xr:uid="{00000000-0005-0000-0000-0000BB1B0000}"/>
    <cellStyle name="Normal 5 6 5 3 2" xfId="14511" xr:uid="{BCA9A78D-88B3-4318-8923-AC61365805CF}"/>
    <cellStyle name="Normal 5 6 5 3 3" xfId="27144" xr:uid="{2E57974C-C7C3-4F5C-8FCA-F181656C18B5}"/>
    <cellStyle name="Normal 5 6 5 4" xfId="10293" xr:uid="{A83DE90E-2724-4805-8C87-5AC9AA6C6C56}"/>
    <cellStyle name="Normal 5 6 5 4 2" xfId="22933" xr:uid="{6DDC45ED-90A4-4BF1-9143-062781C4465A}"/>
    <cellStyle name="Normal 5 6 5 5" xfId="18722" xr:uid="{5E286895-2B75-4B42-A4B4-36C948754039}"/>
    <cellStyle name="Normal 5 6 6" xfId="2187" xr:uid="{00000000-0005-0000-0000-0000BC1B0000}"/>
    <cellStyle name="Normal 5 6 6 2" xfId="4416" xr:uid="{00000000-0005-0000-0000-0000BD1B0000}"/>
    <cellStyle name="Normal 5 6 6 2 2" xfId="8640" xr:uid="{00000000-0005-0000-0000-0000BE1B0000}"/>
    <cellStyle name="Normal 5 6 6 2 2 2" xfId="17069" xr:uid="{4FF85FDD-8C6C-44D3-B66F-1F46BCCAD5D6}"/>
    <cellStyle name="Normal 5 6 6 2 2 3" xfId="29702" xr:uid="{BC2BEF79-CA13-48FD-9485-781B6A8FE646}"/>
    <cellStyle name="Normal 5 6 6 2 3" xfId="12851" xr:uid="{FCA98CDB-BE75-47C6-9875-F34940317998}"/>
    <cellStyle name="Normal 5 6 6 2 3 2" xfId="25491" xr:uid="{DB65F3A3-FB58-4A75-841D-776D5E53681D}"/>
    <cellStyle name="Normal 5 6 6 2 4" xfId="21280" xr:uid="{6BA88CD4-DC68-4D46-AE30-14CB759623C5}"/>
    <cellStyle name="Normal 5 6 6 3" xfId="6495" xr:uid="{00000000-0005-0000-0000-0000BF1B0000}"/>
    <cellStyle name="Normal 5 6 6 3 2" xfId="14924" xr:uid="{26B0B742-2FC7-4CD3-8E02-5C135D2BD031}"/>
    <cellStyle name="Normal 5 6 6 3 3" xfId="27557" xr:uid="{866BB98A-E67A-4950-AB26-3CABC77D90CD}"/>
    <cellStyle name="Normal 5 6 6 4" xfId="10706" xr:uid="{4E783911-45B8-4A70-AFAF-35BB3DD305FE}"/>
    <cellStyle name="Normal 5 6 6 4 2" xfId="23346" xr:uid="{F5D40E82-BDD4-4114-A39B-02EA68F5BBA8}"/>
    <cellStyle name="Normal 5 6 6 5" xfId="19135" xr:uid="{97FA7DA0-B21E-44FB-9DBB-49B866A60D6A}"/>
    <cellStyle name="Normal 5 6 7" xfId="2623" xr:uid="{00000000-0005-0000-0000-0000C01B0000}"/>
    <cellStyle name="Normal 5 6 7 2" xfId="6908" xr:uid="{00000000-0005-0000-0000-0000C11B0000}"/>
    <cellStyle name="Normal 5 6 7 2 2" xfId="15337" xr:uid="{90B2B8B2-35F4-4E78-B5B2-1F5C5067FEFA}"/>
    <cellStyle name="Normal 5 6 7 2 3" xfId="27970" xr:uid="{653535AA-2346-47D9-B0D0-D75307C2AB58}"/>
    <cellStyle name="Normal 5 6 7 3" xfId="11119" xr:uid="{D8650299-951A-410B-BCD4-26C7F56D007F}"/>
    <cellStyle name="Normal 5 6 7 3 2" xfId="23759" xr:uid="{635F3EDB-FADB-41A1-81BB-6D7B0009C502}"/>
    <cellStyle name="Normal 5 6 7 4" xfId="19548" xr:uid="{40B23224-CD34-4DB7-8594-9D78606596D9}"/>
    <cellStyle name="Normal 5 6 8" xfId="4843" xr:uid="{00000000-0005-0000-0000-0000C21B0000}"/>
    <cellStyle name="Normal 5 6 8 2" xfId="13272" xr:uid="{6BE3993C-F231-4F75-8F1A-A0E9D7F03478}"/>
    <cellStyle name="Normal 5 6 8 3" xfId="25905" xr:uid="{B9DD6245-94EE-4858-9EDD-65E3FAB4D082}"/>
    <cellStyle name="Normal 5 6 9" xfId="9054" xr:uid="{588376D6-30EC-4337-83E3-D955C495C2FB}"/>
    <cellStyle name="Normal 5 6 9 2" xfId="21694" xr:uid="{E3940326-0607-4800-911E-0F19D1253A2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A0BA31E5-D998-4D0A-ACAD-7F4CBB47985E}"/>
    <cellStyle name="Normal 5 7 2 2 2 3" xfId="28465" xr:uid="{3A3E7268-9FC3-4AF1-A2CA-9645A6193035}"/>
    <cellStyle name="Normal 5 7 2 2 3" xfId="11614" xr:uid="{4BA15D07-E001-4119-AE43-5F68EAFDFFCA}"/>
    <cellStyle name="Normal 5 7 2 2 3 2" xfId="24254" xr:uid="{584A934D-E1D3-4F70-98B4-939BAFEF3B20}"/>
    <cellStyle name="Normal 5 7 2 2 4" xfId="20043" xr:uid="{15A324EA-8212-44CB-A12B-AC7E8EFDECC5}"/>
    <cellStyle name="Normal 5 7 2 3" xfId="5258" xr:uid="{00000000-0005-0000-0000-0000C71B0000}"/>
    <cellStyle name="Normal 5 7 2 3 2" xfId="13687" xr:uid="{03C693B5-25FA-42EF-AF8B-8C67F9AAC729}"/>
    <cellStyle name="Normal 5 7 2 3 3" xfId="26320" xr:uid="{3D4AE292-BC4B-42DA-8AE1-3292EDEB15EF}"/>
    <cellStyle name="Normal 5 7 2 4" xfId="9469" xr:uid="{43FF7B8D-6DF0-4522-8C64-91B8BA83F53B}"/>
    <cellStyle name="Normal 5 7 2 4 2" xfId="22109" xr:uid="{2DB5B31F-D724-4BB3-A66B-476E55010350}"/>
    <cellStyle name="Normal 5 7 2 5" xfId="17898" xr:uid="{694F6608-1F9D-4CC8-B818-8693832ACDEC}"/>
    <cellStyle name="Normal 5 7 3" xfId="1362" xr:uid="{00000000-0005-0000-0000-0000C81B0000}"/>
    <cellStyle name="Normal 5 7 3 2" xfId="3592" xr:uid="{00000000-0005-0000-0000-0000C91B0000}"/>
    <cellStyle name="Normal 5 7 3 2 2" xfId="7816" xr:uid="{00000000-0005-0000-0000-0000CA1B0000}"/>
    <cellStyle name="Normal 5 7 3 2 2 2" xfId="16245" xr:uid="{BB21F319-1A8C-4B53-95F0-B10338E80AA3}"/>
    <cellStyle name="Normal 5 7 3 2 2 3" xfId="28878" xr:uid="{2FB3C797-29CC-403A-94C2-642787440186}"/>
    <cellStyle name="Normal 5 7 3 2 3" xfId="12027" xr:uid="{8CAA4903-7418-4C03-9F7B-D0E01C035CDD}"/>
    <cellStyle name="Normal 5 7 3 2 3 2" xfId="24667" xr:uid="{1C9708FE-E795-4234-A934-A140204DDF88}"/>
    <cellStyle name="Normal 5 7 3 2 4" xfId="20456" xr:uid="{B2AADAD5-EC9E-40AC-A08E-2C558B82B29E}"/>
    <cellStyle name="Normal 5 7 3 3" xfId="5671" xr:uid="{00000000-0005-0000-0000-0000CB1B0000}"/>
    <cellStyle name="Normal 5 7 3 3 2" xfId="14100" xr:uid="{094A3BA5-8DBB-462E-995B-E4EB59EF4A84}"/>
    <cellStyle name="Normal 5 7 3 3 3" xfId="26733" xr:uid="{4EA2625A-FF7D-4F03-B3BE-731BE4ED7E89}"/>
    <cellStyle name="Normal 5 7 3 4" xfId="9882" xr:uid="{67AE9638-C1F8-4D36-9D60-D279B1400FC3}"/>
    <cellStyle name="Normal 5 7 3 4 2" xfId="22522" xr:uid="{93C7EE8A-82BC-4824-AC81-298D107BAE73}"/>
    <cellStyle name="Normal 5 7 3 5" xfId="18311" xr:uid="{FFFF011C-8D79-407C-A3B4-DB21BE94D972}"/>
    <cellStyle name="Normal 5 7 4" xfId="1775" xr:uid="{00000000-0005-0000-0000-0000CC1B0000}"/>
    <cellStyle name="Normal 5 7 4 2" xfId="4005" xr:uid="{00000000-0005-0000-0000-0000CD1B0000}"/>
    <cellStyle name="Normal 5 7 4 2 2" xfId="8229" xr:uid="{00000000-0005-0000-0000-0000CE1B0000}"/>
    <cellStyle name="Normal 5 7 4 2 2 2" xfId="16658" xr:uid="{95CD48FE-13C7-4C76-9281-22CBCF069AD7}"/>
    <cellStyle name="Normal 5 7 4 2 2 3" xfId="29291" xr:uid="{0D767717-FF72-4797-9B35-97667C04F4F0}"/>
    <cellStyle name="Normal 5 7 4 2 3" xfId="12440" xr:uid="{8DA2577C-C7EB-4D68-9F74-5505F1882E88}"/>
    <cellStyle name="Normal 5 7 4 2 3 2" xfId="25080" xr:uid="{0CA0FB66-D265-4825-BBDB-731897337C03}"/>
    <cellStyle name="Normal 5 7 4 2 4" xfId="20869" xr:uid="{B1D3CFB9-9C08-4BAA-AE7C-FF02FD4CB5AB}"/>
    <cellStyle name="Normal 5 7 4 3" xfId="6084" xr:uid="{00000000-0005-0000-0000-0000CF1B0000}"/>
    <cellStyle name="Normal 5 7 4 3 2" xfId="14513" xr:uid="{71E47FE6-F8F8-4D88-9877-00D2EC0E88A2}"/>
    <cellStyle name="Normal 5 7 4 3 3" xfId="27146" xr:uid="{43F5F8ED-59EB-4B7C-B9FF-39CE0CAA27E8}"/>
    <cellStyle name="Normal 5 7 4 4" xfId="10295" xr:uid="{AA52E8BD-02B5-40A1-80B7-481CEB921BC8}"/>
    <cellStyle name="Normal 5 7 4 4 2" xfId="22935" xr:uid="{47D181C3-C772-4FF4-8411-4A80805B86E2}"/>
    <cellStyle name="Normal 5 7 4 5" xfId="18724" xr:uid="{E23D9457-E744-423E-8074-620F7DD3C806}"/>
    <cellStyle name="Normal 5 7 5" xfId="2189" xr:uid="{00000000-0005-0000-0000-0000D01B0000}"/>
    <cellStyle name="Normal 5 7 5 2" xfId="4418" xr:uid="{00000000-0005-0000-0000-0000D11B0000}"/>
    <cellStyle name="Normal 5 7 5 2 2" xfId="8642" xr:uid="{00000000-0005-0000-0000-0000D21B0000}"/>
    <cellStyle name="Normal 5 7 5 2 2 2" xfId="17071" xr:uid="{BCF31DD0-54AA-413C-A4F3-6F4012DA3F1A}"/>
    <cellStyle name="Normal 5 7 5 2 2 3" xfId="29704" xr:uid="{4A3F451F-0A36-4E6D-AD89-E6D88C21C785}"/>
    <cellStyle name="Normal 5 7 5 2 3" xfId="12853" xr:uid="{09ADF61D-6BBA-4FFB-8326-2EFC9802D3AD}"/>
    <cellStyle name="Normal 5 7 5 2 3 2" xfId="25493" xr:uid="{F0256975-CF23-4490-96FB-C54EC49AD471}"/>
    <cellStyle name="Normal 5 7 5 2 4" xfId="21282" xr:uid="{D1F99E6F-AE6C-4F3C-A125-3D1644446A94}"/>
    <cellStyle name="Normal 5 7 5 3" xfId="6497" xr:uid="{00000000-0005-0000-0000-0000D31B0000}"/>
    <cellStyle name="Normal 5 7 5 3 2" xfId="14926" xr:uid="{1D236720-3CAF-4DA2-A50A-CCCD1DF71361}"/>
    <cellStyle name="Normal 5 7 5 3 3" xfId="27559" xr:uid="{6C8614AD-E40C-4D5D-9926-FD7BDE46A093}"/>
    <cellStyle name="Normal 5 7 5 4" xfId="10708" xr:uid="{9AAF392B-7E27-402D-9FBC-C4C35D944565}"/>
    <cellStyle name="Normal 5 7 5 4 2" xfId="23348" xr:uid="{7F359C34-E3DE-4D90-A4EA-C8CF85A6C569}"/>
    <cellStyle name="Normal 5 7 5 5" xfId="19137" xr:uid="{93EA0725-3C66-4FDB-81BA-770690F6DEAB}"/>
    <cellStyle name="Normal 5 7 6" xfId="2625" xr:uid="{00000000-0005-0000-0000-0000D41B0000}"/>
    <cellStyle name="Normal 5 7 6 2" xfId="6910" xr:uid="{00000000-0005-0000-0000-0000D51B0000}"/>
    <cellStyle name="Normal 5 7 6 2 2" xfId="15339" xr:uid="{D4C58110-967D-43B9-9410-F2DD05C32DB8}"/>
    <cellStyle name="Normal 5 7 6 2 3" xfId="27972" xr:uid="{AA0D0DB9-F5F1-4977-8876-686CE51DB339}"/>
    <cellStyle name="Normal 5 7 6 3" xfId="11121" xr:uid="{0690FC0D-4A02-42D1-8A7C-834A078517E4}"/>
    <cellStyle name="Normal 5 7 6 3 2" xfId="23761" xr:uid="{0A56AFDC-81D3-4FD0-B525-86AE65C49EAB}"/>
    <cellStyle name="Normal 5 7 6 4" xfId="19550" xr:uid="{A9CECE66-6AEB-4A21-8640-0A3A63A45E2E}"/>
    <cellStyle name="Normal 5 7 7" xfId="4845" xr:uid="{00000000-0005-0000-0000-0000D61B0000}"/>
    <cellStyle name="Normal 5 7 7 2" xfId="13274" xr:uid="{2BBF18A3-F5EE-4469-9C37-834A3AC54167}"/>
    <cellStyle name="Normal 5 7 7 3" xfId="25907" xr:uid="{E69FB3E7-2909-41BB-BA2C-A5AFC24CBBD8}"/>
    <cellStyle name="Normal 5 7 8" xfId="9056" xr:uid="{9A63C4F9-C050-4352-AE1B-62D317E2F007}"/>
    <cellStyle name="Normal 5 7 8 2" xfId="21696" xr:uid="{06621374-CBE1-41DB-B771-EC46A0130CAE}"/>
    <cellStyle name="Normal 5 7 9" xfId="17485" xr:uid="{5B481985-0B9F-4DAE-AAC3-E7D9F9851B6F}"/>
    <cellStyle name="Normal 5 8" xfId="881" xr:uid="{00000000-0005-0000-0000-0000D71B0000}"/>
    <cellStyle name="Normal 5 8 2" xfId="3116" xr:uid="{00000000-0005-0000-0000-0000D81B0000}"/>
    <cellStyle name="Normal 5 8 2 2" xfId="7340" xr:uid="{00000000-0005-0000-0000-0000D91B0000}"/>
    <cellStyle name="Normal 5 8 2 2 2" xfId="15769" xr:uid="{DA3E58C5-8AC0-48FA-9781-3FCA067E5E16}"/>
    <cellStyle name="Normal 5 8 2 2 3" xfId="28402" xr:uid="{618A80F0-166D-4431-9CD0-8FC41B4DD2D5}"/>
    <cellStyle name="Normal 5 8 2 3" xfId="11551" xr:uid="{2D6E71F6-E80C-4F12-8DB2-ED24CFC62670}"/>
    <cellStyle name="Normal 5 8 2 3 2" xfId="24191" xr:uid="{6CF628DF-293A-43CD-855D-45886B6F81C7}"/>
    <cellStyle name="Normal 5 8 2 4" xfId="19980" xr:uid="{1303AF74-61DE-498A-A2A3-4FBFDAF30542}"/>
    <cellStyle name="Normal 5 8 3" xfId="5195" xr:uid="{00000000-0005-0000-0000-0000DA1B0000}"/>
    <cellStyle name="Normal 5 8 3 2" xfId="13624" xr:uid="{56E84A76-BCB6-4C70-B31E-B5C1BD13585E}"/>
    <cellStyle name="Normal 5 8 3 3" xfId="26257" xr:uid="{17A6F6BF-5761-4546-B3FE-B6E1AFDEC156}"/>
    <cellStyle name="Normal 5 8 4" xfId="9406" xr:uid="{A18733B3-A40B-4077-8D8D-17B6BF6016DA}"/>
    <cellStyle name="Normal 5 8 4 2" xfId="22046" xr:uid="{C4C0DA25-9C15-4671-9778-2F5A3219EE9B}"/>
    <cellStyle name="Normal 5 8 5" xfId="17835" xr:uid="{A9A839B2-085F-4531-882D-5C1BFF86CA5A}"/>
    <cellStyle name="Normal 5 9" xfId="1299" xr:uid="{00000000-0005-0000-0000-0000DB1B0000}"/>
    <cellStyle name="Normal 5 9 2" xfId="3529" xr:uid="{00000000-0005-0000-0000-0000DC1B0000}"/>
    <cellStyle name="Normal 5 9 2 2" xfId="7753" xr:uid="{00000000-0005-0000-0000-0000DD1B0000}"/>
    <cellStyle name="Normal 5 9 2 2 2" xfId="16182" xr:uid="{6887237B-5615-4171-9EE2-6CE3D8CF281B}"/>
    <cellStyle name="Normal 5 9 2 2 3" xfId="28815" xr:uid="{878BAD04-0E26-4F7A-88AE-44974179688C}"/>
    <cellStyle name="Normal 5 9 2 3" xfId="11964" xr:uid="{117A18BF-CED1-4D60-A091-0FF1BAB3AB6F}"/>
    <cellStyle name="Normal 5 9 2 3 2" xfId="24604" xr:uid="{79427187-26DB-44FA-BC89-D6102E3F4EA4}"/>
    <cellStyle name="Normal 5 9 2 4" xfId="20393" xr:uid="{CE45D0C1-643D-4919-91AC-D1D644B41023}"/>
    <cellStyle name="Normal 5 9 3" xfId="5608" xr:uid="{00000000-0005-0000-0000-0000DE1B0000}"/>
    <cellStyle name="Normal 5 9 3 2" xfId="14037" xr:uid="{419ED79D-028C-42CE-BB80-0DCD5E6DE07E}"/>
    <cellStyle name="Normal 5 9 3 3" xfId="26670" xr:uid="{B8D448BB-A957-4AF9-92F5-1AECE16B52FD}"/>
    <cellStyle name="Normal 5 9 4" xfId="9819" xr:uid="{8FCAE17B-CF30-4036-988B-4415541BD537}"/>
    <cellStyle name="Normal 5 9 4 2" xfId="22459" xr:uid="{15E4E7D6-0BB3-4361-8F37-E4B11E04B10E}"/>
    <cellStyle name="Normal 5 9 5" xfId="18248" xr:uid="{39F48E83-55A0-47C4-B7E0-4BC212EEF16B}"/>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E12A6883-5081-4A8A-A1E7-A9199C3BA4E1}"/>
    <cellStyle name="Normal 8 10 2 2 3" xfId="29705" xr:uid="{C3A61B37-7674-4C85-B012-7DBFEAC2E911}"/>
    <cellStyle name="Normal 8 10 2 3" xfId="12854" xr:uid="{E66FA906-C80D-412C-91DE-39BD54F8A6BA}"/>
    <cellStyle name="Normal 8 10 2 3 2" xfId="25494" xr:uid="{25C7C6A1-336E-4D38-853F-3B726BE3B1D6}"/>
    <cellStyle name="Normal 8 10 2 4" xfId="21283" xr:uid="{53939A26-CB33-4A76-BCBE-065E6CC58B4E}"/>
    <cellStyle name="Normal 8 10 3" xfId="6498" xr:uid="{00000000-0005-0000-0000-0000EA1B0000}"/>
    <cellStyle name="Normal 8 10 3 2" xfId="14927" xr:uid="{A17DF880-3C74-46C1-8946-BC3F68E493D4}"/>
    <cellStyle name="Normal 8 10 3 3" xfId="27560" xr:uid="{20B0002B-01FC-49B3-B089-AE41C4F88676}"/>
    <cellStyle name="Normal 8 10 4" xfId="10709" xr:uid="{31652AF8-7843-41AC-BC52-74CD20542DE6}"/>
    <cellStyle name="Normal 8 10 4 2" xfId="23349" xr:uid="{F72B636D-E8C0-4E72-A85C-D130E15B62F5}"/>
    <cellStyle name="Normal 8 10 5" xfId="19138" xr:uid="{B3261E76-07F1-484A-86BF-5B433BD541F3}"/>
    <cellStyle name="Normal 8 11" xfId="2626" xr:uid="{00000000-0005-0000-0000-0000EB1B0000}"/>
    <cellStyle name="Normal 8 11 2" xfId="6911" xr:uid="{00000000-0005-0000-0000-0000EC1B0000}"/>
    <cellStyle name="Normal 8 11 2 2" xfId="15340" xr:uid="{ED0AF523-7833-44BE-83D7-938B39A34674}"/>
    <cellStyle name="Normal 8 11 2 3" xfId="27973" xr:uid="{5D919EDC-B562-4ADF-8F14-3B1E13781B20}"/>
    <cellStyle name="Normal 8 11 3" xfId="11122" xr:uid="{7EDA97EA-D747-419B-92F1-2443F457B067}"/>
    <cellStyle name="Normal 8 11 3 2" xfId="23762" xr:uid="{468E30DC-595C-4EED-9A8E-73F58678DAC8}"/>
    <cellStyle name="Normal 8 11 4" xfId="19551" xr:uid="{FE867D41-BF2D-47BF-AC70-1A7A49C0DADF}"/>
    <cellStyle name="Normal 8 12" xfId="4846" xr:uid="{00000000-0005-0000-0000-0000ED1B0000}"/>
    <cellStyle name="Normal 8 12 2" xfId="13275" xr:uid="{0F69C978-ECB1-4955-B1FA-F267118D90CE}"/>
    <cellStyle name="Normal 8 12 3" xfId="25908" xr:uid="{95AF32AF-C229-4997-B7FD-E6240851B530}"/>
    <cellStyle name="Normal 8 13" xfId="9057" xr:uid="{7D7B0148-F363-4371-993E-F39F6B4A3738}"/>
    <cellStyle name="Normal 8 13 2" xfId="21697" xr:uid="{E40F0241-E968-41A6-82E7-B6BF17C878B4}"/>
    <cellStyle name="Normal 8 14" xfId="17486" xr:uid="{DDE9F7ED-8229-467E-9A6F-4998EDBF5EE3}"/>
    <cellStyle name="Normal 8 2" xfId="479" xr:uid="{00000000-0005-0000-0000-0000EE1B0000}"/>
    <cellStyle name="Normal 8 2 10" xfId="2627" xr:uid="{00000000-0005-0000-0000-0000EF1B0000}"/>
    <cellStyle name="Normal 8 2 10 2" xfId="6912" xr:uid="{00000000-0005-0000-0000-0000F01B0000}"/>
    <cellStyle name="Normal 8 2 10 2 2" xfId="15341" xr:uid="{01661A00-4A2A-45D8-85A4-29F457ACB1A9}"/>
    <cellStyle name="Normal 8 2 10 2 3" xfId="27974" xr:uid="{1DC72F9B-7623-40F4-BC0E-1A66DF7FA20A}"/>
    <cellStyle name="Normal 8 2 10 3" xfId="11123" xr:uid="{BE25030B-3092-4C26-AFAC-4F243F203B8A}"/>
    <cellStyle name="Normal 8 2 10 3 2" xfId="23763" xr:uid="{AC3FAD88-C31B-4E0A-9880-4B05E8ECC78B}"/>
    <cellStyle name="Normal 8 2 10 4" xfId="19552" xr:uid="{B166824A-9837-4740-9CEA-4E808C047470}"/>
    <cellStyle name="Normal 8 2 11" xfId="4847" xr:uid="{00000000-0005-0000-0000-0000F11B0000}"/>
    <cellStyle name="Normal 8 2 11 2" xfId="13276" xr:uid="{A3D50A0E-0CC2-4489-BB8B-59EE208C1FEA}"/>
    <cellStyle name="Normal 8 2 11 3" xfId="25909" xr:uid="{AE941E7C-594F-4D05-B161-CEDA8D759F8E}"/>
    <cellStyle name="Normal 8 2 12" xfId="9058" xr:uid="{B19F988E-5BF1-48A9-BC96-0F896759884E}"/>
    <cellStyle name="Normal 8 2 12 2" xfId="21698" xr:uid="{1261E4D8-8FF2-4779-809D-1BA34A774B3C}"/>
    <cellStyle name="Normal 8 2 13" xfId="17487" xr:uid="{443CC9A5-EDA0-40D0-9A90-B7A0CA007BC2}"/>
    <cellStyle name="Normal 8 2 2" xfId="480" xr:uid="{00000000-0005-0000-0000-0000F21B0000}"/>
    <cellStyle name="Normal 8 2 2 10" xfId="4848" xr:uid="{00000000-0005-0000-0000-0000F31B0000}"/>
    <cellStyle name="Normal 8 2 2 10 2" xfId="13277" xr:uid="{B22E5CA8-B26F-4DCA-B1B9-999F30AD05AD}"/>
    <cellStyle name="Normal 8 2 2 10 3" xfId="25910" xr:uid="{D88D46B1-D88E-486A-B454-5E5C84B2D8A3}"/>
    <cellStyle name="Normal 8 2 2 11" xfId="9059" xr:uid="{B38D9A1B-4412-499F-A7D9-4ED7494F1BBA}"/>
    <cellStyle name="Normal 8 2 2 11 2" xfId="21699" xr:uid="{322A4E81-FFEC-4829-B3AA-1E4E68EBEFCD}"/>
    <cellStyle name="Normal 8 2 2 12" xfId="17488" xr:uid="{67075EF3-52E6-4F4D-9A76-03AEE6DB5379}"/>
    <cellStyle name="Normal 8 2 2 2" xfId="481" xr:uid="{00000000-0005-0000-0000-0000F41B0000}"/>
    <cellStyle name="Normal 8 2 2 2 10" xfId="9060" xr:uid="{6C0D72A1-D30F-49BB-836B-30668A55A076}"/>
    <cellStyle name="Normal 8 2 2 2 10 2" xfId="21700" xr:uid="{4564F7EE-1178-4D1E-BA0A-EBA9EA5A8A8B}"/>
    <cellStyle name="Normal 8 2 2 2 11" xfId="17489" xr:uid="{4FC6FCBB-7A2E-4E79-97A8-96FB9A7011C8}"/>
    <cellStyle name="Normal 8 2 2 2 2" xfId="482" xr:uid="{00000000-0005-0000-0000-0000F51B0000}"/>
    <cellStyle name="Normal 8 2 2 2 2 10" xfId="17490" xr:uid="{E62BC0AE-DF97-472B-8C14-5286869D6B65}"/>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3846819F-D510-4EC4-9935-49A0D340405A}"/>
    <cellStyle name="Normal 8 2 2 2 2 2 2 2 2 3" xfId="28471" xr:uid="{CABD1290-1C82-4F44-8B3A-D92820039078}"/>
    <cellStyle name="Normal 8 2 2 2 2 2 2 2 3" xfId="11620" xr:uid="{CBD31990-C73E-4D83-88A7-D31BAA6BB19C}"/>
    <cellStyle name="Normal 8 2 2 2 2 2 2 2 3 2" xfId="24260" xr:uid="{20E6DD53-7515-4BA7-AAAE-0AB72F6734B3}"/>
    <cellStyle name="Normal 8 2 2 2 2 2 2 2 4" xfId="20049" xr:uid="{4237F8C9-5A0B-4C18-B860-970FEECC9B9C}"/>
    <cellStyle name="Normal 8 2 2 2 2 2 2 3" xfId="5264" xr:uid="{00000000-0005-0000-0000-0000FA1B0000}"/>
    <cellStyle name="Normal 8 2 2 2 2 2 2 3 2" xfId="13693" xr:uid="{B2EA0816-08DF-4C28-98A9-6293C5EB9F16}"/>
    <cellStyle name="Normal 8 2 2 2 2 2 2 3 3" xfId="26326" xr:uid="{F4C6179C-6A11-4D35-A1BF-C1DCAFB39588}"/>
    <cellStyle name="Normal 8 2 2 2 2 2 2 4" xfId="9475" xr:uid="{1A73322C-9312-4211-A242-37CF6535E148}"/>
    <cellStyle name="Normal 8 2 2 2 2 2 2 4 2" xfId="22115" xr:uid="{4D849578-B2C9-4307-9D97-0EDCB615642C}"/>
    <cellStyle name="Normal 8 2 2 2 2 2 2 5" xfId="17904" xr:uid="{4D05F6FA-CC9F-4934-BCF8-40E5B32647B1}"/>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4A3D1D21-2A68-49EA-BD1D-E63E26BB21DC}"/>
    <cellStyle name="Normal 8 2 2 2 2 2 3 2 2 3" xfId="28884" xr:uid="{C63A24E5-AE68-4904-AD70-C1C4074CD842}"/>
    <cellStyle name="Normal 8 2 2 2 2 2 3 2 3" xfId="12033" xr:uid="{53E93F3E-6325-40FF-AA46-1F0251971178}"/>
    <cellStyle name="Normal 8 2 2 2 2 2 3 2 3 2" xfId="24673" xr:uid="{6C03346D-0FB0-4170-ABA6-1F2605FA0F4C}"/>
    <cellStyle name="Normal 8 2 2 2 2 2 3 2 4" xfId="20462" xr:uid="{CB103537-B2F3-45B4-8F36-A88EC7CA8607}"/>
    <cellStyle name="Normal 8 2 2 2 2 2 3 3" xfId="5677" xr:uid="{00000000-0005-0000-0000-0000FE1B0000}"/>
    <cellStyle name="Normal 8 2 2 2 2 2 3 3 2" xfId="14106" xr:uid="{50F5A17A-E652-400D-8FE4-C05CCD0B4EB6}"/>
    <cellStyle name="Normal 8 2 2 2 2 2 3 3 3" xfId="26739" xr:uid="{11539B60-7F19-4F83-918E-AA6ED29E62C6}"/>
    <cellStyle name="Normal 8 2 2 2 2 2 3 4" xfId="9888" xr:uid="{6E31CF9A-3617-4E0F-B78E-E02D8290E43A}"/>
    <cellStyle name="Normal 8 2 2 2 2 2 3 4 2" xfId="22528" xr:uid="{AEBA3241-9A21-4931-AF19-31B3EC0156CC}"/>
    <cellStyle name="Normal 8 2 2 2 2 2 3 5" xfId="18317" xr:uid="{01AA9C19-D8CA-484A-BAC3-857F67743A82}"/>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1BC07EED-53B5-4B0B-9117-9EC173F334E3}"/>
    <cellStyle name="Normal 8 2 2 2 2 2 4 2 2 3" xfId="29297" xr:uid="{7DBFCB3A-9900-478D-B6B7-EDE490E3C2F9}"/>
    <cellStyle name="Normal 8 2 2 2 2 2 4 2 3" xfId="12446" xr:uid="{7B556DBD-7D3D-4C48-ABF9-22D9D1308E4B}"/>
    <cellStyle name="Normal 8 2 2 2 2 2 4 2 3 2" xfId="25086" xr:uid="{F397392B-91F3-41B2-BF72-3E9DE0C7A9EB}"/>
    <cellStyle name="Normal 8 2 2 2 2 2 4 2 4" xfId="20875" xr:uid="{0B291301-A056-4B51-9488-1FFCE00788AC}"/>
    <cellStyle name="Normal 8 2 2 2 2 2 4 3" xfId="6090" xr:uid="{00000000-0005-0000-0000-0000021C0000}"/>
    <cellStyle name="Normal 8 2 2 2 2 2 4 3 2" xfId="14519" xr:uid="{30A7F1FD-CBD4-46BF-AB70-B46556C6257D}"/>
    <cellStyle name="Normal 8 2 2 2 2 2 4 3 3" xfId="27152" xr:uid="{DA21FE23-2790-4EC8-AA06-E17F51756481}"/>
    <cellStyle name="Normal 8 2 2 2 2 2 4 4" xfId="10301" xr:uid="{9B6E5B08-398C-4F05-85BB-D057A04A0C2E}"/>
    <cellStyle name="Normal 8 2 2 2 2 2 4 4 2" xfId="22941" xr:uid="{03B7DDF4-3961-40D5-9D38-93D3CB2B9F2E}"/>
    <cellStyle name="Normal 8 2 2 2 2 2 4 5" xfId="18730" xr:uid="{B9B49339-8B8B-4292-A135-8BB4E400C675}"/>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5207343D-E5D9-4BE8-9FD6-5B05777A8F67}"/>
    <cellStyle name="Normal 8 2 2 2 2 2 5 2 2 3" xfId="29710" xr:uid="{487B9869-8A8D-4E74-8B4B-B9126A13BFFE}"/>
    <cellStyle name="Normal 8 2 2 2 2 2 5 2 3" xfId="12859" xr:uid="{B03A87AE-3AC0-4978-B27E-3260C9A0090F}"/>
    <cellStyle name="Normal 8 2 2 2 2 2 5 2 3 2" xfId="25499" xr:uid="{8FAB180D-4FF9-44C8-991A-147E03C5EC6E}"/>
    <cellStyle name="Normal 8 2 2 2 2 2 5 2 4" xfId="21288" xr:uid="{328C2380-D3D0-46E0-AF71-0DAE7C743F3D}"/>
    <cellStyle name="Normal 8 2 2 2 2 2 5 3" xfId="6503" xr:uid="{00000000-0005-0000-0000-0000061C0000}"/>
    <cellStyle name="Normal 8 2 2 2 2 2 5 3 2" xfId="14932" xr:uid="{448B142A-9A35-4DCE-BFED-A6074B6ADBC2}"/>
    <cellStyle name="Normal 8 2 2 2 2 2 5 3 3" xfId="27565" xr:uid="{54E30E79-DE9A-4838-B292-4E5DB175DB24}"/>
    <cellStyle name="Normal 8 2 2 2 2 2 5 4" xfId="10714" xr:uid="{18E5BF1A-9F7D-4941-AB22-E2357876BB8C}"/>
    <cellStyle name="Normal 8 2 2 2 2 2 5 4 2" xfId="23354" xr:uid="{82633451-8383-46A0-B491-69D765CCEBCF}"/>
    <cellStyle name="Normal 8 2 2 2 2 2 5 5" xfId="19143" xr:uid="{1002EFB2-3A71-468A-AB1B-1AB212481094}"/>
    <cellStyle name="Normal 8 2 2 2 2 2 6" xfId="2631" xr:uid="{00000000-0005-0000-0000-0000071C0000}"/>
    <cellStyle name="Normal 8 2 2 2 2 2 6 2" xfId="6916" xr:uid="{00000000-0005-0000-0000-0000081C0000}"/>
    <cellStyle name="Normal 8 2 2 2 2 2 6 2 2" xfId="15345" xr:uid="{C11FA887-E0D9-4BE4-8B04-5D00D3CDCA18}"/>
    <cellStyle name="Normal 8 2 2 2 2 2 6 2 3" xfId="27978" xr:uid="{98EEA371-8561-4DBB-833A-E0F47E964E8D}"/>
    <cellStyle name="Normal 8 2 2 2 2 2 6 3" xfId="11127" xr:uid="{0BD7BB2C-5E1F-4D47-9778-35700407F88C}"/>
    <cellStyle name="Normal 8 2 2 2 2 2 6 3 2" xfId="23767" xr:uid="{F4AE13B6-7321-48DE-83A2-44CC1A05FEDA}"/>
    <cellStyle name="Normal 8 2 2 2 2 2 6 4" xfId="19556" xr:uid="{9FF2D394-C5C0-4DB2-AAC2-E4780E8C1F20}"/>
    <cellStyle name="Normal 8 2 2 2 2 2 7" xfId="4851" xr:uid="{00000000-0005-0000-0000-0000091C0000}"/>
    <cellStyle name="Normal 8 2 2 2 2 2 7 2" xfId="13280" xr:uid="{BE026189-44B1-4CD1-A78E-942DEDA15947}"/>
    <cellStyle name="Normal 8 2 2 2 2 2 7 3" xfId="25913" xr:uid="{E42A90B4-E79B-4549-93AE-699C48CCF98E}"/>
    <cellStyle name="Normal 8 2 2 2 2 2 8" xfId="9062" xr:uid="{C485A291-E08F-4F3A-AB7D-B5DE23BD6146}"/>
    <cellStyle name="Normal 8 2 2 2 2 2 8 2" xfId="21702" xr:uid="{82FC2E1F-DD98-4E2E-82DC-72F68CEABFA6}"/>
    <cellStyle name="Normal 8 2 2 2 2 2 9" xfId="17491" xr:uid="{CFA7D148-D619-4FBA-AC7D-24368E086333}"/>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C0271805-3D52-413C-8820-3F7473C6E86D}"/>
    <cellStyle name="Normal 8 2 2 2 2 3 2 2 3" xfId="28470" xr:uid="{F2165DE7-2329-450B-87AC-398668E4D0E9}"/>
    <cellStyle name="Normal 8 2 2 2 2 3 2 3" xfId="11619" xr:uid="{EDFBB2AC-1C70-4949-9AA0-4622F1D7E45E}"/>
    <cellStyle name="Normal 8 2 2 2 2 3 2 3 2" xfId="24259" xr:uid="{3141A7C1-22DC-4E9D-934A-08D69A1BD3FD}"/>
    <cellStyle name="Normal 8 2 2 2 2 3 2 4" xfId="20048" xr:uid="{408D1AD0-7B20-43EF-9A3D-31B49CDDD6B5}"/>
    <cellStyle name="Normal 8 2 2 2 2 3 3" xfId="5263" xr:uid="{00000000-0005-0000-0000-00000D1C0000}"/>
    <cellStyle name="Normal 8 2 2 2 2 3 3 2" xfId="13692" xr:uid="{A33CEC97-289C-4C6F-967A-F7845FE1CEE7}"/>
    <cellStyle name="Normal 8 2 2 2 2 3 3 3" xfId="26325" xr:uid="{36A949A9-7D73-4B24-9953-431B65923BAD}"/>
    <cellStyle name="Normal 8 2 2 2 2 3 4" xfId="9474" xr:uid="{7F53DCFE-8161-41CC-9299-8D853B45F26D}"/>
    <cellStyle name="Normal 8 2 2 2 2 3 4 2" xfId="22114" xr:uid="{D922CCAA-2C31-44D4-9E5A-2039E59FB8C4}"/>
    <cellStyle name="Normal 8 2 2 2 2 3 5" xfId="17903" xr:uid="{6BF67F9B-A4A0-4C91-AC28-CB74689A60CA}"/>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442C4070-AF35-4610-BB39-145E5BB77FB7}"/>
    <cellStyle name="Normal 8 2 2 2 2 4 2 2 3" xfId="28883" xr:uid="{5AEC6A18-FBDF-40CC-ADC9-D9D1EC24518F}"/>
    <cellStyle name="Normal 8 2 2 2 2 4 2 3" xfId="12032" xr:uid="{9889CAB6-41A9-4E27-A9F8-B67BB995FA41}"/>
    <cellStyle name="Normal 8 2 2 2 2 4 2 3 2" xfId="24672" xr:uid="{7B42FFD6-1A84-4E7B-9BFF-855AE045FBAC}"/>
    <cellStyle name="Normal 8 2 2 2 2 4 2 4" xfId="20461" xr:uid="{73126D2A-EA5E-4767-A653-779ADD6D3F5D}"/>
    <cellStyle name="Normal 8 2 2 2 2 4 3" xfId="5676" xr:uid="{00000000-0005-0000-0000-0000111C0000}"/>
    <cellStyle name="Normal 8 2 2 2 2 4 3 2" xfId="14105" xr:uid="{8424BAF8-1EA1-4CFE-990E-4CB95BEB05F5}"/>
    <cellStyle name="Normal 8 2 2 2 2 4 3 3" xfId="26738" xr:uid="{9E8341CC-31C6-4A41-A9CB-208ECF534F2E}"/>
    <cellStyle name="Normal 8 2 2 2 2 4 4" xfId="9887" xr:uid="{B7D144A5-ADF2-4B1D-BF6B-9F2144ED9F7F}"/>
    <cellStyle name="Normal 8 2 2 2 2 4 4 2" xfId="22527" xr:uid="{FA101FCA-1CAA-4039-AE77-2EB947E5BD99}"/>
    <cellStyle name="Normal 8 2 2 2 2 4 5" xfId="18316" xr:uid="{5B5AC0FC-3AEB-4EED-A0FF-AC9773E99CE3}"/>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9DF45230-585D-420E-8045-EF75836C699B}"/>
    <cellStyle name="Normal 8 2 2 2 2 5 2 2 3" xfId="29296" xr:uid="{F272A6A6-B310-41C3-AC44-8048E38C9CA6}"/>
    <cellStyle name="Normal 8 2 2 2 2 5 2 3" xfId="12445" xr:uid="{B94F8800-B9DF-4DFA-9D7E-849660E73B43}"/>
    <cellStyle name="Normal 8 2 2 2 2 5 2 3 2" xfId="25085" xr:uid="{48A4E737-9C52-432C-A37D-944287A4C7AA}"/>
    <cellStyle name="Normal 8 2 2 2 2 5 2 4" xfId="20874" xr:uid="{F860AF67-336D-4EAF-B629-70C1B626FE9A}"/>
    <cellStyle name="Normal 8 2 2 2 2 5 3" xfId="6089" xr:uid="{00000000-0005-0000-0000-0000151C0000}"/>
    <cellStyle name="Normal 8 2 2 2 2 5 3 2" xfId="14518" xr:uid="{FF0286EF-1D2E-4A08-A135-D2202B266D08}"/>
    <cellStyle name="Normal 8 2 2 2 2 5 3 3" xfId="27151" xr:uid="{E95A89E5-C945-4B6F-A374-5A623C1EBE67}"/>
    <cellStyle name="Normal 8 2 2 2 2 5 4" xfId="10300" xr:uid="{CA147AB7-EC60-4ED7-829F-8B817C8F87D1}"/>
    <cellStyle name="Normal 8 2 2 2 2 5 4 2" xfId="22940" xr:uid="{52265669-F827-414B-8ECB-876B94533B03}"/>
    <cellStyle name="Normal 8 2 2 2 2 5 5" xfId="18729" xr:uid="{51660451-3303-4399-B7DD-F7383C42AD11}"/>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B83B5BB3-D6F8-495D-AD5D-28E075464D04}"/>
    <cellStyle name="Normal 8 2 2 2 2 6 2 2 3" xfId="29709" xr:uid="{39800849-5486-42AA-B17B-A2CCFEFF466F}"/>
    <cellStyle name="Normal 8 2 2 2 2 6 2 3" xfId="12858" xr:uid="{FBE3CB90-3DDC-4DE2-B8B1-F3A21A13F573}"/>
    <cellStyle name="Normal 8 2 2 2 2 6 2 3 2" xfId="25498" xr:uid="{9DEDA934-6DB1-48E9-9BEA-1BD19BA45803}"/>
    <cellStyle name="Normal 8 2 2 2 2 6 2 4" xfId="21287" xr:uid="{6D972213-441E-4C48-A65E-4EABCEC0CF54}"/>
    <cellStyle name="Normal 8 2 2 2 2 6 3" xfId="6502" xr:uid="{00000000-0005-0000-0000-0000191C0000}"/>
    <cellStyle name="Normal 8 2 2 2 2 6 3 2" xfId="14931" xr:uid="{64739700-8C1E-439A-83DA-D0FDCF266558}"/>
    <cellStyle name="Normal 8 2 2 2 2 6 3 3" xfId="27564" xr:uid="{1E96DC6B-B19F-4AB6-A43E-ED73EDD63141}"/>
    <cellStyle name="Normal 8 2 2 2 2 6 4" xfId="10713" xr:uid="{031F08F2-9E3E-4A00-AF5D-A6A54916F2CD}"/>
    <cellStyle name="Normal 8 2 2 2 2 6 4 2" xfId="23353" xr:uid="{A2874505-3343-41FE-9B00-747E0C282020}"/>
    <cellStyle name="Normal 8 2 2 2 2 6 5" xfId="19142" xr:uid="{9AB45CA4-0199-4400-B9CC-8377CA35AFDB}"/>
    <cellStyle name="Normal 8 2 2 2 2 7" xfId="2630" xr:uid="{00000000-0005-0000-0000-00001A1C0000}"/>
    <cellStyle name="Normal 8 2 2 2 2 7 2" xfId="6915" xr:uid="{00000000-0005-0000-0000-00001B1C0000}"/>
    <cellStyle name="Normal 8 2 2 2 2 7 2 2" xfId="15344" xr:uid="{6F18932D-1BAF-40F6-A52C-BB7411EF347E}"/>
    <cellStyle name="Normal 8 2 2 2 2 7 2 3" xfId="27977" xr:uid="{D9AC9A1D-C4C2-48EC-9C09-C966AA78EB0A}"/>
    <cellStyle name="Normal 8 2 2 2 2 7 3" xfId="11126" xr:uid="{5FD9D2DE-25C0-4333-9432-7F59FC814812}"/>
    <cellStyle name="Normal 8 2 2 2 2 7 3 2" xfId="23766" xr:uid="{722BBEBC-AD19-4A52-BA17-0CF6A3A5E5C4}"/>
    <cellStyle name="Normal 8 2 2 2 2 7 4" xfId="19555" xr:uid="{55800032-0DC8-43D3-9CEF-C8B66040D414}"/>
    <cellStyle name="Normal 8 2 2 2 2 8" xfId="4850" xr:uid="{00000000-0005-0000-0000-00001C1C0000}"/>
    <cellStyle name="Normal 8 2 2 2 2 8 2" xfId="13279" xr:uid="{EB2A37FB-90D6-4B9D-BD5C-14C04B443ABF}"/>
    <cellStyle name="Normal 8 2 2 2 2 8 3" xfId="25912" xr:uid="{558EF0CA-AA97-42BD-8D42-AF277F22D656}"/>
    <cellStyle name="Normal 8 2 2 2 2 9" xfId="9061" xr:uid="{754EA615-F34A-447D-9FFF-FDEB09C50CC2}"/>
    <cellStyle name="Normal 8 2 2 2 2 9 2" xfId="21701" xr:uid="{FC0C8441-B39E-4F84-9330-738925AB6BD9}"/>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EB165253-10CD-4DC5-A1C4-7E62935FB6F8}"/>
    <cellStyle name="Normal 8 2 2 2 3 2 2 2 3" xfId="28472" xr:uid="{D14D0AC4-F079-4BDD-9347-C168F2BA5B5E}"/>
    <cellStyle name="Normal 8 2 2 2 3 2 2 3" xfId="11621" xr:uid="{AC1270FC-162D-454F-AAD0-F7F1ECEF51B2}"/>
    <cellStyle name="Normal 8 2 2 2 3 2 2 3 2" xfId="24261" xr:uid="{15D902E3-365F-4A0B-9712-DF1F13753BC9}"/>
    <cellStyle name="Normal 8 2 2 2 3 2 2 4" xfId="20050" xr:uid="{D624D5FB-252E-4152-90D6-11F922EDBDB9}"/>
    <cellStyle name="Normal 8 2 2 2 3 2 3" xfId="5265" xr:uid="{00000000-0005-0000-0000-0000211C0000}"/>
    <cellStyle name="Normal 8 2 2 2 3 2 3 2" xfId="13694" xr:uid="{36BD8F15-629A-4132-8D42-CB990F902A7D}"/>
    <cellStyle name="Normal 8 2 2 2 3 2 3 3" xfId="26327" xr:uid="{5DE17323-DDAF-4444-BBE1-F8AFE4DAF31A}"/>
    <cellStyle name="Normal 8 2 2 2 3 2 4" xfId="9476" xr:uid="{6DBD2EFB-02B7-4E25-85B6-00F47F06C437}"/>
    <cellStyle name="Normal 8 2 2 2 3 2 4 2" xfId="22116" xr:uid="{AEAD1BC7-ECDF-4C50-82ED-70ADA4949D74}"/>
    <cellStyle name="Normal 8 2 2 2 3 2 5" xfId="17905" xr:uid="{79ACCC1B-8F4F-41D2-96B3-1D4D334DB215}"/>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9035B448-7A43-414E-83D8-D359DB75D5A7}"/>
    <cellStyle name="Normal 8 2 2 2 3 3 2 2 3" xfId="28885" xr:uid="{9A850311-07A8-4AEE-A8A0-0495BD77CB43}"/>
    <cellStyle name="Normal 8 2 2 2 3 3 2 3" xfId="12034" xr:uid="{5E55AE57-5C54-4A55-948A-3D35401D6346}"/>
    <cellStyle name="Normal 8 2 2 2 3 3 2 3 2" xfId="24674" xr:uid="{746E0B16-0AB5-4F36-9B62-2FCDA6A465DD}"/>
    <cellStyle name="Normal 8 2 2 2 3 3 2 4" xfId="20463" xr:uid="{75CFC848-766F-4738-BB92-9DAA9E7230A3}"/>
    <cellStyle name="Normal 8 2 2 2 3 3 3" xfId="5678" xr:uid="{00000000-0005-0000-0000-0000251C0000}"/>
    <cellStyle name="Normal 8 2 2 2 3 3 3 2" xfId="14107" xr:uid="{EAC16FF1-C6FF-497F-B2A2-2415E35F33DD}"/>
    <cellStyle name="Normal 8 2 2 2 3 3 3 3" xfId="26740" xr:uid="{131A31CA-638F-4CC6-A954-D2B6A28CE516}"/>
    <cellStyle name="Normal 8 2 2 2 3 3 4" xfId="9889" xr:uid="{2DDD951F-D44A-41D8-9F3A-609E706B0EDD}"/>
    <cellStyle name="Normal 8 2 2 2 3 3 4 2" xfId="22529" xr:uid="{7C987B4F-14C6-4B75-AFD5-372695142388}"/>
    <cellStyle name="Normal 8 2 2 2 3 3 5" xfId="18318" xr:uid="{BC5E0127-311B-4E0B-84CB-355C0DF483BD}"/>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858919E3-1BCD-4CB4-B28A-E0BA9735D58A}"/>
    <cellStyle name="Normal 8 2 2 2 3 4 2 2 3" xfId="29298" xr:uid="{6128D7B4-564A-425C-B479-158738EE3287}"/>
    <cellStyle name="Normal 8 2 2 2 3 4 2 3" xfId="12447" xr:uid="{8385BEDA-1B4C-4D9B-BCA3-8336FA672564}"/>
    <cellStyle name="Normal 8 2 2 2 3 4 2 3 2" xfId="25087" xr:uid="{74170CA0-0DCC-48F6-A324-CFEE482D8BBC}"/>
    <cellStyle name="Normal 8 2 2 2 3 4 2 4" xfId="20876" xr:uid="{D8E27394-A9DA-4401-9B5E-570C1D4765B7}"/>
    <cellStyle name="Normal 8 2 2 2 3 4 3" xfId="6091" xr:uid="{00000000-0005-0000-0000-0000291C0000}"/>
    <cellStyle name="Normal 8 2 2 2 3 4 3 2" xfId="14520" xr:uid="{618A73E1-45B1-445C-BEE1-62FE55C0AF70}"/>
    <cellStyle name="Normal 8 2 2 2 3 4 3 3" xfId="27153" xr:uid="{CD9A38E3-5503-4D43-B05E-5E744BCAAF48}"/>
    <cellStyle name="Normal 8 2 2 2 3 4 4" xfId="10302" xr:uid="{F83B7780-1853-4407-A0A6-8767F29B2806}"/>
    <cellStyle name="Normal 8 2 2 2 3 4 4 2" xfId="22942" xr:uid="{19E66BED-4EC8-4A5E-8D45-554DF39D1BAF}"/>
    <cellStyle name="Normal 8 2 2 2 3 4 5" xfId="18731" xr:uid="{DF532183-651D-4A06-A48D-DA80FC4D96BC}"/>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3D85BB5B-287E-488E-8C6A-286CE6F5DBF5}"/>
    <cellStyle name="Normal 8 2 2 2 3 5 2 2 3" xfId="29711" xr:uid="{B3B027B2-EA81-4BA0-8EDC-AF5DECFBA804}"/>
    <cellStyle name="Normal 8 2 2 2 3 5 2 3" xfId="12860" xr:uid="{664C7B49-5653-475A-ADC2-36328DE8B623}"/>
    <cellStyle name="Normal 8 2 2 2 3 5 2 3 2" xfId="25500" xr:uid="{14A8683A-E486-4C6C-A7E0-1908590C4ED2}"/>
    <cellStyle name="Normal 8 2 2 2 3 5 2 4" xfId="21289" xr:uid="{B20E0718-01C9-4E91-A497-3F27C7C21AFE}"/>
    <cellStyle name="Normal 8 2 2 2 3 5 3" xfId="6504" xr:uid="{00000000-0005-0000-0000-00002D1C0000}"/>
    <cellStyle name="Normal 8 2 2 2 3 5 3 2" xfId="14933" xr:uid="{BBCD6777-F574-4A68-9E0B-075F0749380B}"/>
    <cellStyle name="Normal 8 2 2 2 3 5 3 3" xfId="27566" xr:uid="{8E3B6C51-2C48-47A8-8E11-AB4BB5C02F21}"/>
    <cellStyle name="Normal 8 2 2 2 3 5 4" xfId="10715" xr:uid="{ED4313C4-55C8-4CE4-83C1-19902C4085E5}"/>
    <cellStyle name="Normal 8 2 2 2 3 5 4 2" xfId="23355" xr:uid="{F9CD1F14-0FFC-4464-9FF4-9FFE2E8CF0DE}"/>
    <cellStyle name="Normal 8 2 2 2 3 5 5" xfId="19144" xr:uid="{BAA462D3-2410-4768-93AF-2C27E2B73853}"/>
    <cellStyle name="Normal 8 2 2 2 3 6" xfId="2632" xr:uid="{00000000-0005-0000-0000-00002E1C0000}"/>
    <cellStyle name="Normal 8 2 2 2 3 6 2" xfId="6917" xr:uid="{00000000-0005-0000-0000-00002F1C0000}"/>
    <cellStyle name="Normal 8 2 2 2 3 6 2 2" xfId="15346" xr:uid="{97CD68BB-3C42-4507-81CC-FCB83330FAA3}"/>
    <cellStyle name="Normal 8 2 2 2 3 6 2 3" xfId="27979" xr:uid="{6442D66F-AB79-421B-95BC-503CAE58F980}"/>
    <cellStyle name="Normal 8 2 2 2 3 6 3" xfId="11128" xr:uid="{C67D89F8-448E-40E5-8D86-98B865CCEF9E}"/>
    <cellStyle name="Normal 8 2 2 2 3 6 3 2" xfId="23768" xr:uid="{462B5F2E-B9AA-4AF7-948C-C28A9A461DE9}"/>
    <cellStyle name="Normal 8 2 2 2 3 6 4" xfId="19557" xr:uid="{2E455362-8EFA-47CD-AB52-12590FF48017}"/>
    <cellStyle name="Normal 8 2 2 2 3 7" xfId="4852" xr:uid="{00000000-0005-0000-0000-0000301C0000}"/>
    <cellStyle name="Normal 8 2 2 2 3 7 2" xfId="13281" xr:uid="{64ECEDBD-0F6D-4E79-B956-B29A44BC64BA}"/>
    <cellStyle name="Normal 8 2 2 2 3 7 3" xfId="25914" xr:uid="{67F0C812-98A6-4136-920D-97C60C127A7A}"/>
    <cellStyle name="Normal 8 2 2 2 3 8" xfId="9063" xr:uid="{201EDEAD-FE1A-42B5-A4DA-2D49E04BA175}"/>
    <cellStyle name="Normal 8 2 2 2 3 8 2" xfId="21703" xr:uid="{382F09D6-F995-41C9-B042-BFF382EA0089}"/>
    <cellStyle name="Normal 8 2 2 2 3 9" xfId="17492" xr:uid="{A41CCCFE-FE5E-4A2A-83D7-FDA0848B53BA}"/>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CC8258C5-E418-4D3F-B550-FCA374496631}"/>
    <cellStyle name="Normal 8 2 2 2 4 2 2 3" xfId="28469" xr:uid="{7A978F88-DBEC-4CBF-B8C0-CF3412225990}"/>
    <cellStyle name="Normal 8 2 2 2 4 2 3" xfId="11618" xr:uid="{81F83044-4545-48EE-81B8-A9E8F74F38AD}"/>
    <cellStyle name="Normal 8 2 2 2 4 2 3 2" xfId="24258" xr:uid="{5ECD1CBD-C135-4AE1-9D0D-E41DEE200BF8}"/>
    <cellStyle name="Normal 8 2 2 2 4 2 4" xfId="20047" xr:uid="{6C59BFCD-8258-4004-8FB7-7BB53890147F}"/>
    <cellStyle name="Normal 8 2 2 2 4 3" xfId="5262" xr:uid="{00000000-0005-0000-0000-0000341C0000}"/>
    <cellStyle name="Normal 8 2 2 2 4 3 2" xfId="13691" xr:uid="{9AD1A69C-DA41-4CD3-91F7-B33AF71B47CC}"/>
    <cellStyle name="Normal 8 2 2 2 4 3 3" xfId="26324" xr:uid="{6C920DE2-4F46-4663-AA06-41D49B8CB843}"/>
    <cellStyle name="Normal 8 2 2 2 4 4" xfId="9473" xr:uid="{FB881CF7-8B00-40EB-BCBD-30C936AB552A}"/>
    <cellStyle name="Normal 8 2 2 2 4 4 2" xfId="22113" xr:uid="{F0610792-D0E1-40A7-B413-BC2497A85791}"/>
    <cellStyle name="Normal 8 2 2 2 4 5" xfId="17902" xr:uid="{43DCE303-F1BC-4015-AFC0-EE8412C944FB}"/>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9EB5B99B-6C67-4F90-9089-1CDD8FB893A7}"/>
    <cellStyle name="Normal 8 2 2 2 5 2 2 3" xfId="28882" xr:uid="{6FA92FB7-7E34-4F6A-8853-6B147FBECD33}"/>
    <cellStyle name="Normal 8 2 2 2 5 2 3" xfId="12031" xr:uid="{1BA88119-5CDF-4DAC-9227-B481D050BD3D}"/>
    <cellStyle name="Normal 8 2 2 2 5 2 3 2" xfId="24671" xr:uid="{6B055566-AA48-4BB9-8056-F1DB5A1A77F4}"/>
    <cellStyle name="Normal 8 2 2 2 5 2 4" xfId="20460" xr:uid="{BEC892BE-12B9-4559-9C6F-2FFDCF8B2E9A}"/>
    <cellStyle name="Normal 8 2 2 2 5 3" xfId="5675" xr:uid="{00000000-0005-0000-0000-0000381C0000}"/>
    <cellStyle name="Normal 8 2 2 2 5 3 2" xfId="14104" xr:uid="{2852D19D-BE23-4348-A60E-7C57A7E99E51}"/>
    <cellStyle name="Normal 8 2 2 2 5 3 3" xfId="26737" xr:uid="{8771C0C8-67E3-4B1A-BD9B-8A79F9DB1145}"/>
    <cellStyle name="Normal 8 2 2 2 5 4" xfId="9886" xr:uid="{5850BDD3-0F24-4C44-ADC6-AE8CE2B0834E}"/>
    <cellStyle name="Normal 8 2 2 2 5 4 2" xfId="22526" xr:uid="{2F2F74FF-7E62-455A-85F7-D7CB5649338B}"/>
    <cellStyle name="Normal 8 2 2 2 5 5" xfId="18315" xr:uid="{51A612C8-E4EC-4058-ACED-9367F26C7B0A}"/>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6FB12516-3EE8-4076-95C5-F8595E64C867}"/>
    <cellStyle name="Normal 8 2 2 2 6 2 2 3" xfId="29295" xr:uid="{9F89C725-BF9B-4FD2-84F9-E59F75B4F6B3}"/>
    <cellStyle name="Normal 8 2 2 2 6 2 3" xfId="12444" xr:uid="{A6D3CBA6-8C36-4385-9C41-964F834F414B}"/>
    <cellStyle name="Normal 8 2 2 2 6 2 3 2" xfId="25084" xr:uid="{FD5F7F36-22F2-4A8E-9941-AE38F39DD3B2}"/>
    <cellStyle name="Normal 8 2 2 2 6 2 4" xfId="20873" xr:uid="{DEA8E438-545B-44D4-82D9-9232CF8C49CE}"/>
    <cellStyle name="Normal 8 2 2 2 6 3" xfId="6088" xr:uid="{00000000-0005-0000-0000-00003C1C0000}"/>
    <cellStyle name="Normal 8 2 2 2 6 3 2" xfId="14517" xr:uid="{35E02CCD-DB20-4BED-96F2-87A58C41B1D3}"/>
    <cellStyle name="Normal 8 2 2 2 6 3 3" xfId="27150" xr:uid="{797D56C7-A7E7-4BA2-8138-092C8D419E25}"/>
    <cellStyle name="Normal 8 2 2 2 6 4" xfId="10299" xr:uid="{93BB67E0-E5FD-4FF9-B9E6-17399CBBC0BF}"/>
    <cellStyle name="Normal 8 2 2 2 6 4 2" xfId="22939" xr:uid="{95DF9141-B84D-4A39-9EB1-A841C988F885}"/>
    <cellStyle name="Normal 8 2 2 2 6 5" xfId="18728" xr:uid="{B012A69E-0518-4E45-BB35-1E7A15C83841}"/>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B87240F4-158A-4495-8351-6BDF44871D0A}"/>
    <cellStyle name="Normal 8 2 2 2 7 2 2 3" xfId="29708" xr:uid="{45DE2BE8-0400-4C62-ABCB-B088729408B0}"/>
    <cellStyle name="Normal 8 2 2 2 7 2 3" xfId="12857" xr:uid="{7886DDF5-DE54-43CC-9978-8C27726B7A6E}"/>
    <cellStyle name="Normal 8 2 2 2 7 2 3 2" xfId="25497" xr:uid="{C970122E-7118-44DD-B0BA-87CFE87A834D}"/>
    <cellStyle name="Normal 8 2 2 2 7 2 4" xfId="21286" xr:uid="{B6FA76C3-8EFC-467A-BF74-0D1E40259863}"/>
    <cellStyle name="Normal 8 2 2 2 7 3" xfId="6501" xr:uid="{00000000-0005-0000-0000-0000401C0000}"/>
    <cellStyle name="Normal 8 2 2 2 7 3 2" xfId="14930" xr:uid="{3518717B-536E-404F-99FB-19F3C85BF028}"/>
    <cellStyle name="Normal 8 2 2 2 7 3 3" xfId="27563" xr:uid="{61CE0D34-7E04-494F-A4B5-BF6A8F3913B0}"/>
    <cellStyle name="Normal 8 2 2 2 7 4" xfId="10712" xr:uid="{9814D89F-DDA6-4F37-ADD2-40CBD87A237C}"/>
    <cellStyle name="Normal 8 2 2 2 7 4 2" xfId="23352" xr:uid="{CE147E24-949B-449D-A67A-5C7716AD637F}"/>
    <cellStyle name="Normal 8 2 2 2 7 5" xfId="19141" xr:uid="{431BDD58-6A2C-4B39-978C-2F7664852C43}"/>
    <cellStyle name="Normal 8 2 2 2 8" xfId="2629" xr:uid="{00000000-0005-0000-0000-0000411C0000}"/>
    <cellStyle name="Normal 8 2 2 2 8 2" xfId="6914" xr:uid="{00000000-0005-0000-0000-0000421C0000}"/>
    <cellStyle name="Normal 8 2 2 2 8 2 2" xfId="15343" xr:uid="{54C0230F-0425-435A-A485-F286570F0F61}"/>
    <cellStyle name="Normal 8 2 2 2 8 2 3" xfId="27976" xr:uid="{847E0EF8-DD35-4D94-BF41-5039E4204371}"/>
    <cellStyle name="Normal 8 2 2 2 8 3" xfId="11125" xr:uid="{5B90702D-F9D3-4E29-94C1-F52100CFAB78}"/>
    <cellStyle name="Normal 8 2 2 2 8 3 2" xfId="23765" xr:uid="{3C2B17C4-46E8-4164-9417-D61FEFBF89DB}"/>
    <cellStyle name="Normal 8 2 2 2 8 4" xfId="19554" xr:uid="{8CF0AB01-0E84-479B-A004-BC2916E1E922}"/>
    <cellStyle name="Normal 8 2 2 2 9" xfId="4849" xr:uid="{00000000-0005-0000-0000-0000431C0000}"/>
    <cellStyle name="Normal 8 2 2 2 9 2" xfId="13278" xr:uid="{D50D2795-7262-4E22-B551-69261630FFAD}"/>
    <cellStyle name="Normal 8 2 2 2 9 3" xfId="25911" xr:uid="{D2979231-45C3-45A5-B02D-EF354A3652CA}"/>
    <cellStyle name="Normal 8 2 2 3" xfId="485" xr:uid="{00000000-0005-0000-0000-0000441C0000}"/>
    <cellStyle name="Normal 8 2 2 3 10" xfId="17493" xr:uid="{0B9CD2F3-6F97-4230-86B1-5C169881A727}"/>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C2BAEF25-E4CE-497D-BA9D-08FB076B85E1}"/>
    <cellStyle name="Normal 8 2 2 3 2 2 2 2 3" xfId="28474" xr:uid="{0168B48E-F74B-44C4-9F70-141717384FC2}"/>
    <cellStyle name="Normal 8 2 2 3 2 2 2 3" xfId="11623" xr:uid="{B0C64E2F-BFA4-40AB-AFBF-273C82E56019}"/>
    <cellStyle name="Normal 8 2 2 3 2 2 2 3 2" xfId="24263" xr:uid="{FD48BEC6-95B9-4327-895D-003996D956A1}"/>
    <cellStyle name="Normal 8 2 2 3 2 2 2 4" xfId="20052" xr:uid="{FF4D8682-B65E-4AF9-9E1C-A7EBEAC724B4}"/>
    <cellStyle name="Normal 8 2 2 3 2 2 3" xfId="5267" xr:uid="{00000000-0005-0000-0000-0000491C0000}"/>
    <cellStyle name="Normal 8 2 2 3 2 2 3 2" xfId="13696" xr:uid="{FC4C85BC-3752-407C-956B-ED93A834B28F}"/>
    <cellStyle name="Normal 8 2 2 3 2 2 3 3" xfId="26329" xr:uid="{956235F1-369F-4A3E-ACB3-8E70C9C85E44}"/>
    <cellStyle name="Normal 8 2 2 3 2 2 4" xfId="9478" xr:uid="{472E509F-88D1-4604-9081-26D544664499}"/>
    <cellStyle name="Normal 8 2 2 3 2 2 4 2" xfId="22118" xr:uid="{13A0437B-B358-4190-90D0-E8E7BAABE02C}"/>
    <cellStyle name="Normal 8 2 2 3 2 2 5" xfId="17907" xr:uid="{687555BA-D621-40A7-8A51-972F1C9408A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3C34C8D5-2181-4709-8DEF-415FDDCEFCE7}"/>
    <cellStyle name="Normal 8 2 2 3 2 3 2 2 3" xfId="28887" xr:uid="{A4030188-89BA-4CF1-993E-F2907FC7D5CD}"/>
    <cellStyle name="Normal 8 2 2 3 2 3 2 3" xfId="12036" xr:uid="{FD385FDF-A2ED-4D54-80EA-E897A8A5B8CF}"/>
    <cellStyle name="Normal 8 2 2 3 2 3 2 3 2" xfId="24676" xr:uid="{26B6EB46-59A8-495A-846C-DC60D96D3063}"/>
    <cellStyle name="Normal 8 2 2 3 2 3 2 4" xfId="20465" xr:uid="{8A67ECE2-0717-4D2D-98D8-D8FE99209AD2}"/>
    <cellStyle name="Normal 8 2 2 3 2 3 3" xfId="5680" xr:uid="{00000000-0005-0000-0000-00004D1C0000}"/>
    <cellStyle name="Normal 8 2 2 3 2 3 3 2" xfId="14109" xr:uid="{D0DB9D5D-A91A-4C87-8074-23940847E4F7}"/>
    <cellStyle name="Normal 8 2 2 3 2 3 3 3" xfId="26742" xr:uid="{24CDE8F5-CB5A-4335-B319-2C3F243D4C8F}"/>
    <cellStyle name="Normal 8 2 2 3 2 3 4" xfId="9891" xr:uid="{C1477752-1817-4902-9CBD-2052228A09B0}"/>
    <cellStyle name="Normal 8 2 2 3 2 3 4 2" xfId="22531" xr:uid="{20FB1277-DA51-46D7-B86A-727E702FCF5C}"/>
    <cellStyle name="Normal 8 2 2 3 2 3 5" xfId="18320" xr:uid="{8861AD4C-1284-4134-B5DE-83E100D42DF4}"/>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20887445-FDF5-4B43-AAC6-DC686D3C87F4}"/>
    <cellStyle name="Normal 8 2 2 3 2 4 2 2 3" xfId="29300" xr:uid="{FCC68755-98C6-433B-837A-930525D9AC38}"/>
    <cellStyle name="Normal 8 2 2 3 2 4 2 3" xfId="12449" xr:uid="{39FEDB34-4A26-4E5A-87C9-401BBAB087A5}"/>
    <cellStyle name="Normal 8 2 2 3 2 4 2 3 2" xfId="25089" xr:uid="{72B56F5E-F35A-46C5-8001-D339C9A1059D}"/>
    <cellStyle name="Normal 8 2 2 3 2 4 2 4" xfId="20878" xr:uid="{865C5E7C-C522-4580-9B7D-A6D122E6922C}"/>
    <cellStyle name="Normal 8 2 2 3 2 4 3" xfId="6093" xr:uid="{00000000-0005-0000-0000-0000511C0000}"/>
    <cellStyle name="Normal 8 2 2 3 2 4 3 2" xfId="14522" xr:uid="{2C3883B4-01AC-4704-A3AA-23E53D4D8DEE}"/>
    <cellStyle name="Normal 8 2 2 3 2 4 3 3" xfId="27155" xr:uid="{233FC875-E120-479F-A7F1-269E26EEF269}"/>
    <cellStyle name="Normal 8 2 2 3 2 4 4" xfId="10304" xr:uid="{C0989DD1-9508-4581-9659-6DB1DA64350D}"/>
    <cellStyle name="Normal 8 2 2 3 2 4 4 2" xfId="22944" xr:uid="{12E2AEC3-7C29-4050-9C9F-CEE26D2401D4}"/>
    <cellStyle name="Normal 8 2 2 3 2 4 5" xfId="18733" xr:uid="{FE6C3C75-C2C3-4549-9524-F8B9E1E0A7A1}"/>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96D4488D-AFF3-4801-8F67-42C63E16DA96}"/>
    <cellStyle name="Normal 8 2 2 3 2 5 2 2 3" xfId="29713" xr:uid="{08C42C3A-97BA-4FE6-BEEE-D483A0C433BB}"/>
    <cellStyle name="Normal 8 2 2 3 2 5 2 3" xfId="12862" xr:uid="{1917BFFB-5210-4503-AD99-5E9D09F97EEE}"/>
    <cellStyle name="Normal 8 2 2 3 2 5 2 3 2" xfId="25502" xr:uid="{4B9C29FF-6FF4-4E7E-B0E2-011CCAFCF222}"/>
    <cellStyle name="Normal 8 2 2 3 2 5 2 4" xfId="21291" xr:uid="{49CA37DB-FCA4-455A-AED8-003545103301}"/>
    <cellStyle name="Normal 8 2 2 3 2 5 3" xfId="6506" xr:uid="{00000000-0005-0000-0000-0000551C0000}"/>
    <cellStyle name="Normal 8 2 2 3 2 5 3 2" xfId="14935" xr:uid="{1708DE5B-3BFC-4C60-BCF5-710EE4FD75EB}"/>
    <cellStyle name="Normal 8 2 2 3 2 5 3 3" xfId="27568" xr:uid="{BCEFB6AF-D694-4975-B328-1C4FE2E8A6C4}"/>
    <cellStyle name="Normal 8 2 2 3 2 5 4" xfId="10717" xr:uid="{6ED4344E-E4FC-43D8-8866-BBD38EA333A7}"/>
    <cellStyle name="Normal 8 2 2 3 2 5 4 2" xfId="23357" xr:uid="{F710CE90-0E5F-409F-9A96-30C51A0E90BF}"/>
    <cellStyle name="Normal 8 2 2 3 2 5 5" xfId="19146" xr:uid="{28475A4D-FC58-477C-BA28-17E0CA6E96CB}"/>
    <cellStyle name="Normal 8 2 2 3 2 6" xfId="2634" xr:uid="{00000000-0005-0000-0000-0000561C0000}"/>
    <cellStyle name="Normal 8 2 2 3 2 6 2" xfId="6919" xr:uid="{00000000-0005-0000-0000-0000571C0000}"/>
    <cellStyle name="Normal 8 2 2 3 2 6 2 2" xfId="15348" xr:uid="{30086B2B-F080-4D57-97B6-18DB902ADCA5}"/>
    <cellStyle name="Normal 8 2 2 3 2 6 2 3" xfId="27981" xr:uid="{5349C3A2-3C8B-433C-881C-373440065095}"/>
    <cellStyle name="Normal 8 2 2 3 2 6 3" xfId="11130" xr:uid="{6C8B596B-0B2C-4974-97A9-07CA746A3F0E}"/>
    <cellStyle name="Normal 8 2 2 3 2 6 3 2" xfId="23770" xr:uid="{4EA222E4-48B9-4719-A2D5-D21D0CB54817}"/>
    <cellStyle name="Normal 8 2 2 3 2 6 4" xfId="19559" xr:uid="{8F94C1DB-85B9-4F32-8E2B-9DD122E8B5E3}"/>
    <cellStyle name="Normal 8 2 2 3 2 7" xfId="4854" xr:uid="{00000000-0005-0000-0000-0000581C0000}"/>
    <cellStyle name="Normal 8 2 2 3 2 7 2" xfId="13283" xr:uid="{48A9419B-4D09-4633-9951-EE52D9FFA334}"/>
    <cellStyle name="Normal 8 2 2 3 2 7 3" xfId="25916" xr:uid="{D716444D-668A-46A6-98F7-01CABDBBE656}"/>
    <cellStyle name="Normal 8 2 2 3 2 8" xfId="9065" xr:uid="{3EE66A26-45F5-491E-85D7-811351C16A2D}"/>
    <cellStyle name="Normal 8 2 2 3 2 8 2" xfId="21705" xr:uid="{A2AD13F4-AB32-4816-8430-93B5A89BB8EB}"/>
    <cellStyle name="Normal 8 2 2 3 2 9" xfId="17494" xr:uid="{7F3573BE-E2C8-4E27-90EF-7D326EF85A80}"/>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1928A5DB-5A7F-4674-A8F9-5C2E17C88988}"/>
    <cellStyle name="Normal 8 2 2 3 3 2 2 3" xfId="28473" xr:uid="{ADEA4618-2CFE-45C6-B667-8E53445ABD4B}"/>
    <cellStyle name="Normal 8 2 2 3 3 2 3" xfId="11622" xr:uid="{66EABC4E-0964-4B75-9B87-E268A62E1E4D}"/>
    <cellStyle name="Normal 8 2 2 3 3 2 3 2" xfId="24262" xr:uid="{23FD94CC-C34C-48CA-BA48-E268BA69F4FE}"/>
    <cellStyle name="Normal 8 2 2 3 3 2 4" xfId="20051" xr:uid="{78B83E18-CBE1-4CC0-94D3-EEEE04ACFF1B}"/>
    <cellStyle name="Normal 8 2 2 3 3 3" xfId="5266" xr:uid="{00000000-0005-0000-0000-00005C1C0000}"/>
    <cellStyle name="Normal 8 2 2 3 3 3 2" xfId="13695" xr:uid="{4344270E-7011-4F75-8D4F-4A83CD9746C6}"/>
    <cellStyle name="Normal 8 2 2 3 3 3 3" xfId="26328" xr:uid="{162E15E3-07A5-43ED-A85B-E6958FEEED48}"/>
    <cellStyle name="Normal 8 2 2 3 3 4" xfId="9477" xr:uid="{2277C702-E216-405B-887F-DD1467FA870C}"/>
    <cellStyle name="Normal 8 2 2 3 3 4 2" xfId="22117" xr:uid="{0A8F2F4E-4F90-4E17-BFDE-DDCDD32B5CB1}"/>
    <cellStyle name="Normal 8 2 2 3 3 5" xfId="17906" xr:uid="{4034F846-CE33-4E26-BCF1-AF409F472EAA}"/>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EC60E1E3-A6F8-4FA3-80B8-77349346772A}"/>
    <cellStyle name="Normal 8 2 2 3 4 2 2 3" xfId="28886" xr:uid="{93A317FB-E74F-4A11-8393-16E308569FF6}"/>
    <cellStyle name="Normal 8 2 2 3 4 2 3" xfId="12035" xr:uid="{E3431DB8-A9BB-43A1-AA26-63252D690DF3}"/>
    <cellStyle name="Normal 8 2 2 3 4 2 3 2" xfId="24675" xr:uid="{948C4391-2A2A-4164-855E-BFFE55015E96}"/>
    <cellStyle name="Normal 8 2 2 3 4 2 4" xfId="20464" xr:uid="{20BB1507-87C1-4DFD-80FA-86B9C9D27E69}"/>
    <cellStyle name="Normal 8 2 2 3 4 3" xfId="5679" xr:uid="{00000000-0005-0000-0000-0000601C0000}"/>
    <cellStyle name="Normal 8 2 2 3 4 3 2" xfId="14108" xr:uid="{79996FDD-8A8E-495B-B845-AEB5598C6C20}"/>
    <cellStyle name="Normal 8 2 2 3 4 3 3" xfId="26741" xr:uid="{9D11E1CC-247D-44D6-8C76-8E4BDA137680}"/>
    <cellStyle name="Normal 8 2 2 3 4 4" xfId="9890" xr:uid="{573F9133-A4C8-468C-BF5A-5AECE3FE05C3}"/>
    <cellStyle name="Normal 8 2 2 3 4 4 2" xfId="22530" xr:uid="{9B2B2552-10E4-409C-94A2-BB2CD07D9564}"/>
    <cellStyle name="Normal 8 2 2 3 4 5" xfId="18319" xr:uid="{23A86CD1-A55A-49E5-ACA7-50F8616DC24D}"/>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1772FBA8-A475-41C9-9890-7AE9DCA813F9}"/>
    <cellStyle name="Normal 8 2 2 3 5 2 2 3" xfId="29299" xr:uid="{C38F6CA9-99FA-4A27-A630-18889D179012}"/>
    <cellStyle name="Normal 8 2 2 3 5 2 3" xfId="12448" xr:uid="{2C6AEBC5-C1BA-42A2-A880-5F7B8426AC6B}"/>
    <cellStyle name="Normal 8 2 2 3 5 2 3 2" xfId="25088" xr:uid="{06219D8C-023C-41D0-B732-2ACF56A5E444}"/>
    <cellStyle name="Normal 8 2 2 3 5 2 4" xfId="20877" xr:uid="{0E7F2546-3D67-466D-A526-53C2C79BC715}"/>
    <cellStyle name="Normal 8 2 2 3 5 3" xfId="6092" xr:uid="{00000000-0005-0000-0000-0000641C0000}"/>
    <cellStyle name="Normal 8 2 2 3 5 3 2" xfId="14521" xr:uid="{ED041BE8-10E0-43D8-A520-3604D6240FDE}"/>
    <cellStyle name="Normal 8 2 2 3 5 3 3" xfId="27154" xr:uid="{AEE84B9B-5DD9-4C39-97D8-18599EF596C7}"/>
    <cellStyle name="Normal 8 2 2 3 5 4" xfId="10303" xr:uid="{E69BD4C9-958E-4666-A5AF-0FFAD4967264}"/>
    <cellStyle name="Normal 8 2 2 3 5 4 2" xfId="22943" xr:uid="{4E8100AB-FC82-4979-8824-076A006709E2}"/>
    <cellStyle name="Normal 8 2 2 3 5 5" xfId="18732" xr:uid="{B20BD992-726D-48B8-B0AF-1417F40857EB}"/>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95BCD8C0-7A5D-4991-B72E-D850B15CC4AC}"/>
    <cellStyle name="Normal 8 2 2 3 6 2 2 3" xfId="29712" xr:uid="{657C3925-D012-4B84-83F6-B7102B425A5F}"/>
    <cellStyle name="Normal 8 2 2 3 6 2 3" xfId="12861" xr:uid="{F63069C7-FFDF-4452-93AB-8098C47B2A39}"/>
    <cellStyle name="Normal 8 2 2 3 6 2 3 2" xfId="25501" xr:uid="{8655A3D0-3618-446A-B85D-5C05D2066064}"/>
    <cellStyle name="Normal 8 2 2 3 6 2 4" xfId="21290" xr:uid="{67B2BC61-32BE-42FF-A8F2-2F9B0F36D5C7}"/>
    <cellStyle name="Normal 8 2 2 3 6 3" xfId="6505" xr:uid="{00000000-0005-0000-0000-0000681C0000}"/>
    <cellStyle name="Normal 8 2 2 3 6 3 2" xfId="14934" xr:uid="{792F2653-361C-457F-92CC-DEF3AECFDDD5}"/>
    <cellStyle name="Normal 8 2 2 3 6 3 3" xfId="27567" xr:uid="{2F9827A3-3015-4D17-861D-DCB1AA5CD591}"/>
    <cellStyle name="Normal 8 2 2 3 6 4" xfId="10716" xr:uid="{17615E24-8133-4638-A99F-AE417FAD6833}"/>
    <cellStyle name="Normal 8 2 2 3 6 4 2" xfId="23356" xr:uid="{E1CC583D-15CD-4393-886B-C59253653864}"/>
    <cellStyle name="Normal 8 2 2 3 6 5" xfId="19145" xr:uid="{DAE639F1-2319-44CB-A474-8022835CC7F8}"/>
    <cellStyle name="Normal 8 2 2 3 7" xfId="2633" xr:uid="{00000000-0005-0000-0000-0000691C0000}"/>
    <cellStyle name="Normal 8 2 2 3 7 2" xfId="6918" xr:uid="{00000000-0005-0000-0000-00006A1C0000}"/>
    <cellStyle name="Normal 8 2 2 3 7 2 2" xfId="15347" xr:uid="{3BBD43F6-1930-420D-931F-81E945B2636F}"/>
    <cellStyle name="Normal 8 2 2 3 7 2 3" xfId="27980" xr:uid="{981BC463-820F-4CDC-9B56-E47D385FEB6B}"/>
    <cellStyle name="Normal 8 2 2 3 7 3" xfId="11129" xr:uid="{C9464F0F-10C2-4022-9B05-FBC19BBDD8CF}"/>
    <cellStyle name="Normal 8 2 2 3 7 3 2" xfId="23769" xr:uid="{78E60DAD-CD80-4C46-9A26-F49AE101F9CC}"/>
    <cellStyle name="Normal 8 2 2 3 7 4" xfId="19558" xr:uid="{E3BEF103-A18B-42E9-A2A5-D17B0AF2047B}"/>
    <cellStyle name="Normal 8 2 2 3 8" xfId="4853" xr:uid="{00000000-0005-0000-0000-00006B1C0000}"/>
    <cellStyle name="Normal 8 2 2 3 8 2" xfId="13282" xr:uid="{8DC9D001-AC43-45AF-ADB3-17E10FBFACBD}"/>
    <cellStyle name="Normal 8 2 2 3 8 3" xfId="25915" xr:uid="{92BB8C08-0DC2-4F12-8397-1E788DFEFADD}"/>
    <cellStyle name="Normal 8 2 2 3 9" xfId="9064" xr:uid="{76B76616-E8B8-48B3-81C9-09FBE066A5C2}"/>
    <cellStyle name="Normal 8 2 2 3 9 2" xfId="21704" xr:uid="{6B0D6D40-940D-4C69-9006-7C3B2200F698}"/>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FB1862BD-A13F-4799-9E4B-45DDFD12185E}"/>
    <cellStyle name="Normal 8 2 2 4 2 2 2 3" xfId="28475" xr:uid="{5E5D8816-EE9F-4362-B7EC-B8E987E6E39F}"/>
    <cellStyle name="Normal 8 2 2 4 2 2 3" xfId="11624" xr:uid="{E6E976BC-D9E6-40CE-B217-9AC47D461450}"/>
    <cellStyle name="Normal 8 2 2 4 2 2 3 2" xfId="24264" xr:uid="{A4372FD1-4655-4AD3-ACA9-20AF0EE5F67E}"/>
    <cellStyle name="Normal 8 2 2 4 2 2 4" xfId="20053" xr:uid="{267A0663-7FAA-4C18-855C-6CA089F77483}"/>
    <cellStyle name="Normal 8 2 2 4 2 3" xfId="5268" xr:uid="{00000000-0005-0000-0000-0000701C0000}"/>
    <cellStyle name="Normal 8 2 2 4 2 3 2" xfId="13697" xr:uid="{76FD09BD-87C5-41BD-9FB8-898478200C50}"/>
    <cellStyle name="Normal 8 2 2 4 2 3 3" xfId="26330" xr:uid="{B51B8698-9AE8-4DC8-A408-CF2F412015C8}"/>
    <cellStyle name="Normal 8 2 2 4 2 4" xfId="9479" xr:uid="{BDCD0CF7-9083-4BED-B6DB-EE370CA546D1}"/>
    <cellStyle name="Normal 8 2 2 4 2 4 2" xfId="22119" xr:uid="{E452D28D-F44C-461B-B958-C775D937EAE1}"/>
    <cellStyle name="Normal 8 2 2 4 2 5" xfId="17908" xr:uid="{F20D80B7-4600-4AF8-BD55-77D0911CBC73}"/>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3A994AB9-5C08-4E05-82E6-1D870EE9AC24}"/>
    <cellStyle name="Normal 8 2 2 4 3 2 2 3" xfId="28888" xr:uid="{73F587BD-D7C5-47B2-9A50-7409E708402E}"/>
    <cellStyle name="Normal 8 2 2 4 3 2 3" xfId="12037" xr:uid="{52D36E6D-A91A-4EB0-8625-158B7BDCDA2D}"/>
    <cellStyle name="Normal 8 2 2 4 3 2 3 2" xfId="24677" xr:uid="{C2F50478-6BBB-4AF9-AD2A-6C8CD6A61F73}"/>
    <cellStyle name="Normal 8 2 2 4 3 2 4" xfId="20466" xr:uid="{358DC650-CC26-48DF-9800-E94C9AF9A6F8}"/>
    <cellStyle name="Normal 8 2 2 4 3 3" xfId="5681" xr:uid="{00000000-0005-0000-0000-0000741C0000}"/>
    <cellStyle name="Normal 8 2 2 4 3 3 2" xfId="14110" xr:uid="{120D6AE9-85EF-4631-9E8C-7D2D752C9BAD}"/>
    <cellStyle name="Normal 8 2 2 4 3 3 3" xfId="26743" xr:uid="{9874C3C2-5881-4FA8-804B-E18F0CE0C18C}"/>
    <cellStyle name="Normal 8 2 2 4 3 4" xfId="9892" xr:uid="{6D2B0B88-28A5-4B3A-AA1C-951D7CE0A45B}"/>
    <cellStyle name="Normal 8 2 2 4 3 4 2" xfId="22532" xr:uid="{DBA0ECFD-CD5F-4AC5-80FD-F56FF0129B1E}"/>
    <cellStyle name="Normal 8 2 2 4 3 5" xfId="18321" xr:uid="{132ECBB7-6C4E-4E25-84B9-86F26F3A048B}"/>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35AF66F9-A029-4CB2-B064-899EF6756679}"/>
    <cellStyle name="Normal 8 2 2 4 4 2 2 3" xfId="29301" xr:uid="{28CD1A85-9727-4D30-8956-8B636C4B4311}"/>
    <cellStyle name="Normal 8 2 2 4 4 2 3" xfId="12450" xr:uid="{1B06DE9F-83EF-4D15-86BA-ABA965145CE0}"/>
    <cellStyle name="Normal 8 2 2 4 4 2 3 2" xfId="25090" xr:uid="{331DB6D3-83C3-4AE0-B9D1-80A1F8F94FDF}"/>
    <cellStyle name="Normal 8 2 2 4 4 2 4" xfId="20879" xr:uid="{622C6CD3-4AA5-4782-87B4-5E4FB58BCC68}"/>
    <cellStyle name="Normal 8 2 2 4 4 3" xfId="6094" xr:uid="{00000000-0005-0000-0000-0000781C0000}"/>
    <cellStyle name="Normal 8 2 2 4 4 3 2" xfId="14523" xr:uid="{FD2639E5-B68D-459C-B831-7A8BA055817A}"/>
    <cellStyle name="Normal 8 2 2 4 4 3 3" xfId="27156" xr:uid="{4CC91D4A-62D8-440E-9C99-060668B279EC}"/>
    <cellStyle name="Normal 8 2 2 4 4 4" xfId="10305" xr:uid="{FF1CBD93-2800-4641-B0B7-74A76846C47D}"/>
    <cellStyle name="Normal 8 2 2 4 4 4 2" xfId="22945" xr:uid="{E6830614-4746-4A81-8011-EBEBAF919996}"/>
    <cellStyle name="Normal 8 2 2 4 4 5" xfId="18734" xr:uid="{D6516013-38E7-4FF8-AF66-D934D2163221}"/>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3A70B603-F80C-47CE-A9E4-9D26013B5211}"/>
    <cellStyle name="Normal 8 2 2 4 5 2 2 3" xfId="29714" xr:uid="{9D8342E9-CD5C-4C7A-AF9F-310DA889E353}"/>
    <cellStyle name="Normal 8 2 2 4 5 2 3" xfId="12863" xr:uid="{65C0E3D8-8FFD-4333-B02F-7A1AD7AAB3F8}"/>
    <cellStyle name="Normal 8 2 2 4 5 2 3 2" xfId="25503" xr:uid="{653237CB-FB48-46D5-B571-DFC962C818F5}"/>
    <cellStyle name="Normal 8 2 2 4 5 2 4" xfId="21292" xr:uid="{C4A8DD5B-18F9-4BE6-9635-ACA89288F46B}"/>
    <cellStyle name="Normal 8 2 2 4 5 3" xfId="6507" xr:uid="{00000000-0005-0000-0000-00007C1C0000}"/>
    <cellStyle name="Normal 8 2 2 4 5 3 2" xfId="14936" xr:uid="{189E212B-9583-4F40-B62F-F93B6FDA69A9}"/>
    <cellStyle name="Normal 8 2 2 4 5 3 3" xfId="27569" xr:uid="{3D877654-9A67-4080-AF28-60D1874E2131}"/>
    <cellStyle name="Normal 8 2 2 4 5 4" xfId="10718" xr:uid="{97826403-29F6-418A-B356-35F2877A4503}"/>
    <cellStyle name="Normal 8 2 2 4 5 4 2" xfId="23358" xr:uid="{A63F264C-075A-44D5-84D1-7E8B8CE459C1}"/>
    <cellStyle name="Normal 8 2 2 4 5 5" xfId="19147" xr:uid="{48E179D9-4E24-4873-906D-A3E43B0A008D}"/>
    <cellStyle name="Normal 8 2 2 4 6" xfId="2635" xr:uid="{00000000-0005-0000-0000-00007D1C0000}"/>
    <cellStyle name="Normal 8 2 2 4 6 2" xfId="6920" xr:uid="{00000000-0005-0000-0000-00007E1C0000}"/>
    <cellStyle name="Normal 8 2 2 4 6 2 2" xfId="15349" xr:uid="{83A29D86-F0FB-4B52-A768-C0EC81C823BD}"/>
    <cellStyle name="Normal 8 2 2 4 6 2 3" xfId="27982" xr:uid="{D3A28DEF-9006-480A-B38B-CAA7AE4C7411}"/>
    <cellStyle name="Normal 8 2 2 4 6 3" xfId="11131" xr:uid="{E9DEE666-F3D4-4A3B-AF08-F6B0F40ED49A}"/>
    <cellStyle name="Normal 8 2 2 4 6 3 2" xfId="23771" xr:uid="{8B8E867F-A309-4134-8582-95BE4AB8B065}"/>
    <cellStyle name="Normal 8 2 2 4 6 4" xfId="19560" xr:uid="{8B34CA94-9E0F-4AC9-B5CF-6B35B8C6DFC9}"/>
    <cellStyle name="Normal 8 2 2 4 7" xfId="4855" xr:uid="{00000000-0005-0000-0000-00007F1C0000}"/>
    <cellStyle name="Normal 8 2 2 4 7 2" xfId="13284" xr:uid="{CBC10C55-9565-4105-8690-D62AB477787C}"/>
    <cellStyle name="Normal 8 2 2 4 7 3" xfId="25917" xr:uid="{D0F45B9F-1D83-4D56-BB5B-296AE5343CD5}"/>
    <cellStyle name="Normal 8 2 2 4 8" xfId="9066" xr:uid="{3142DA94-12D1-4DD8-9D28-E2F6F53DCD83}"/>
    <cellStyle name="Normal 8 2 2 4 8 2" xfId="21706" xr:uid="{61382612-EB79-4DD6-9ACC-ED6CD474CEF2}"/>
    <cellStyle name="Normal 8 2 2 4 9" xfId="17495" xr:uid="{9ACE2850-0EAA-4111-83B8-22AD2327182A}"/>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E276A4CE-E28C-4E3C-899F-B3C0B4CBB1F2}"/>
    <cellStyle name="Normal 8 2 2 5 2 2 3" xfId="28468" xr:uid="{80CF7D26-9142-4D97-834C-D6F33E2EF934}"/>
    <cellStyle name="Normal 8 2 2 5 2 3" xfId="11617" xr:uid="{999D60E2-C64B-418C-9FCD-83862A7BF55C}"/>
    <cellStyle name="Normal 8 2 2 5 2 3 2" xfId="24257" xr:uid="{94957DB6-6A7D-4932-9252-EEB13150742B}"/>
    <cellStyle name="Normal 8 2 2 5 2 4" xfId="20046" xr:uid="{338076A6-2B71-4D82-A55F-674C8F30B977}"/>
    <cellStyle name="Normal 8 2 2 5 3" xfId="5261" xr:uid="{00000000-0005-0000-0000-0000831C0000}"/>
    <cellStyle name="Normal 8 2 2 5 3 2" xfId="13690" xr:uid="{03D9711B-979F-4738-8B36-67E637831805}"/>
    <cellStyle name="Normal 8 2 2 5 3 3" xfId="26323" xr:uid="{6D15196B-7863-40A7-B688-98498E0FF455}"/>
    <cellStyle name="Normal 8 2 2 5 4" xfId="9472" xr:uid="{6AD1BA7C-BC69-43FD-AE6F-D8E166BC2D0E}"/>
    <cellStyle name="Normal 8 2 2 5 4 2" xfId="22112" xr:uid="{1F6BDF7E-6A6C-44A0-B685-AA36FCEC4520}"/>
    <cellStyle name="Normal 8 2 2 5 5" xfId="17901" xr:uid="{D7244F93-A85D-44D7-93F1-992BE80FF23F}"/>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8970A56B-4342-423C-973E-67A4B6256950}"/>
    <cellStyle name="Normal 8 2 2 6 2 2 3" xfId="28881" xr:uid="{DFD7B69B-5E79-4487-AF12-C2B1A48C00D5}"/>
    <cellStyle name="Normal 8 2 2 6 2 3" xfId="12030" xr:uid="{C21AFC82-1A94-4297-93D7-9298EE4D8EE8}"/>
    <cellStyle name="Normal 8 2 2 6 2 3 2" xfId="24670" xr:uid="{BD145F6C-BEFC-4F1B-A05D-2E09BC7D8492}"/>
    <cellStyle name="Normal 8 2 2 6 2 4" xfId="20459" xr:uid="{9518A9B6-DD17-4A6B-BDC4-6815A99166F9}"/>
    <cellStyle name="Normal 8 2 2 6 3" xfId="5674" xr:uid="{00000000-0005-0000-0000-0000871C0000}"/>
    <cellStyle name="Normal 8 2 2 6 3 2" xfId="14103" xr:uid="{B13DBFED-E3AC-46D7-8CFC-2E1D3DF20FE2}"/>
    <cellStyle name="Normal 8 2 2 6 3 3" xfId="26736" xr:uid="{169AE0EE-AD20-4FD8-A938-6E2DFC406E8F}"/>
    <cellStyle name="Normal 8 2 2 6 4" xfId="9885" xr:uid="{04E76CF5-8BDD-485F-81E4-09B9BACF3A99}"/>
    <cellStyle name="Normal 8 2 2 6 4 2" xfId="22525" xr:uid="{5259B206-55EA-4B5F-B201-9B5FD67AE1D9}"/>
    <cellStyle name="Normal 8 2 2 6 5" xfId="18314" xr:uid="{386D0618-F663-42D1-992B-D5A39FC6F482}"/>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C980DA21-EDA6-4938-8274-8EAFE91C0F47}"/>
    <cellStyle name="Normal 8 2 2 7 2 2 3" xfId="29294" xr:uid="{E100406F-D6C4-4D14-9DE6-3FE59CB0A8DC}"/>
    <cellStyle name="Normal 8 2 2 7 2 3" xfId="12443" xr:uid="{80629548-B3EE-430D-87DE-87F31CDE764F}"/>
    <cellStyle name="Normal 8 2 2 7 2 3 2" xfId="25083" xr:uid="{0821A387-0D40-4256-8186-27E62F81808D}"/>
    <cellStyle name="Normal 8 2 2 7 2 4" xfId="20872" xr:uid="{7185A03B-16C6-4900-9B1A-4E657498BE4E}"/>
    <cellStyle name="Normal 8 2 2 7 3" xfId="6087" xr:uid="{00000000-0005-0000-0000-00008B1C0000}"/>
    <cellStyle name="Normal 8 2 2 7 3 2" xfId="14516" xr:uid="{D3325654-C2EC-4A20-8BF4-3CD42F37B9F3}"/>
    <cellStyle name="Normal 8 2 2 7 3 3" xfId="27149" xr:uid="{7518DDAA-7543-4699-B7BE-C1DF96B85196}"/>
    <cellStyle name="Normal 8 2 2 7 4" xfId="10298" xr:uid="{3896D49E-8174-4925-AE98-62ACF0F7E3D8}"/>
    <cellStyle name="Normal 8 2 2 7 4 2" xfId="22938" xr:uid="{4512CF4D-02A6-48A0-8237-3A2975F6CDEC}"/>
    <cellStyle name="Normal 8 2 2 7 5" xfId="18727" xr:uid="{B391538C-EE71-493D-9CBE-AF5AADE42815}"/>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8C7E41AF-B8B9-4C7F-85B7-C5957C70E99D}"/>
    <cellStyle name="Normal 8 2 2 8 2 2 3" xfId="29707" xr:uid="{94934481-80C2-4E9F-8B7B-BFC5D0FC44C1}"/>
    <cellStyle name="Normal 8 2 2 8 2 3" xfId="12856" xr:uid="{0859EA6E-9DEF-41A1-B8E9-9D295DF027B3}"/>
    <cellStyle name="Normal 8 2 2 8 2 3 2" xfId="25496" xr:uid="{A52DD81C-0339-4F48-84D1-3C226F05EA08}"/>
    <cellStyle name="Normal 8 2 2 8 2 4" xfId="21285" xr:uid="{96AA01C3-5F63-4F30-804E-873B58254713}"/>
    <cellStyle name="Normal 8 2 2 8 3" xfId="6500" xr:uid="{00000000-0005-0000-0000-00008F1C0000}"/>
    <cellStyle name="Normal 8 2 2 8 3 2" xfId="14929" xr:uid="{CC947595-BA7E-47B7-80DC-D437A1F9E668}"/>
    <cellStyle name="Normal 8 2 2 8 3 3" xfId="27562" xr:uid="{4761E32D-84CC-4923-9D4D-A40310D1B338}"/>
    <cellStyle name="Normal 8 2 2 8 4" xfId="10711" xr:uid="{C1673FF7-34D4-4B32-B890-124F5C6A900E}"/>
    <cellStyle name="Normal 8 2 2 8 4 2" xfId="23351" xr:uid="{D6EB1767-5806-43BB-91FB-D8049365389E}"/>
    <cellStyle name="Normal 8 2 2 8 5" xfId="19140" xr:uid="{805AB190-9A82-405A-A37F-88E8915772DE}"/>
    <cellStyle name="Normal 8 2 2 9" xfId="2628" xr:uid="{00000000-0005-0000-0000-0000901C0000}"/>
    <cellStyle name="Normal 8 2 2 9 2" xfId="6913" xr:uid="{00000000-0005-0000-0000-0000911C0000}"/>
    <cellStyle name="Normal 8 2 2 9 2 2" xfId="15342" xr:uid="{21DAE5D2-7FEA-4702-AE55-685E8B54539A}"/>
    <cellStyle name="Normal 8 2 2 9 2 3" xfId="27975" xr:uid="{E643ABDB-BFE6-458A-B577-BDDCA24711C2}"/>
    <cellStyle name="Normal 8 2 2 9 3" xfId="11124" xr:uid="{AF253BED-7D3F-40AD-9014-25474BBE8277}"/>
    <cellStyle name="Normal 8 2 2 9 3 2" xfId="23764" xr:uid="{C051E3E7-B7CD-41A5-A16D-3179DFED7510}"/>
    <cellStyle name="Normal 8 2 2 9 4" xfId="19553" xr:uid="{45EB2732-037E-4089-B857-E8C278DF9D62}"/>
    <cellStyle name="Normal 8 2 3" xfId="488" xr:uid="{00000000-0005-0000-0000-0000921C0000}"/>
    <cellStyle name="Normal 8 2 3 10" xfId="9067" xr:uid="{C17E0B56-B92A-466A-A466-AD6A03DA945B}"/>
    <cellStyle name="Normal 8 2 3 10 2" xfId="21707" xr:uid="{10B94C50-6496-4ADE-A553-1D98C9C70735}"/>
    <cellStyle name="Normal 8 2 3 11" xfId="17496" xr:uid="{DA9594CB-1776-4911-9607-69CE19CEFD7E}"/>
    <cellStyle name="Normal 8 2 3 2" xfId="489" xr:uid="{00000000-0005-0000-0000-0000931C0000}"/>
    <cellStyle name="Normal 8 2 3 2 10" xfId="17497" xr:uid="{1A53AFF0-CB9E-4B6D-A762-2388847EF181}"/>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FB2EA5A8-6C9B-4687-8A22-9E54FDD6EF9B}"/>
    <cellStyle name="Normal 8 2 3 2 2 2 2 2 3" xfId="28478" xr:uid="{C50D5CE9-9328-49C2-A4D8-98EF26964709}"/>
    <cellStyle name="Normal 8 2 3 2 2 2 2 3" xfId="11627" xr:uid="{80BD6FB8-60D3-4D02-930D-E0ECE0E9C260}"/>
    <cellStyle name="Normal 8 2 3 2 2 2 2 3 2" xfId="24267" xr:uid="{AC594B2B-164C-4A06-A601-739BA2E8FD93}"/>
    <cellStyle name="Normal 8 2 3 2 2 2 2 4" xfId="20056" xr:uid="{4B0D6088-4F3A-4B36-84D5-7F97FBF7A096}"/>
    <cellStyle name="Normal 8 2 3 2 2 2 3" xfId="5271" xr:uid="{00000000-0005-0000-0000-0000981C0000}"/>
    <cellStyle name="Normal 8 2 3 2 2 2 3 2" xfId="13700" xr:uid="{76CAC9B8-2FDC-4C30-BB92-9227FE1FD238}"/>
    <cellStyle name="Normal 8 2 3 2 2 2 3 3" xfId="26333" xr:uid="{D7074099-428B-41A2-981B-2DA81FB3F7BA}"/>
    <cellStyle name="Normal 8 2 3 2 2 2 4" xfId="9482" xr:uid="{95F7F214-D724-4AC9-9C01-AE4CE1934ED9}"/>
    <cellStyle name="Normal 8 2 3 2 2 2 4 2" xfId="22122" xr:uid="{F6B55EA7-B8F5-4AC1-B965-B7F5E408CD87}"/>
    <cellStyle name="Normal 8 2 3 2 2 2 5" xfId="17911" xr:uid="{CC130694-3392-4AE0-8F95-CC6523E22365}"/>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A5E0220D-60FF-487C-859A-0FB505AE4F12}"/>
    <cellStyle name="Normal 8 2 3 2 2 3 2 2 3" xfId="28891" xr:uid="{2BEA731B-099E-47A4-9958-F41E4F5BA5A2}"/>
    <cellStyle name="Normal 8 2 3 2 2 3 2 3" xfId="12040" xr:uid="{631BC85E-F171-455F-926B-45BED1B1A296}"/>
    <cellStyle name="Normal 8 2 3 2 2 3 2 3 2" xfId="24680" xr:uid="{A4CF84E3-4A90-48A7-85D0-D047D85FE382}"/>
    <cellStyle name="Normal 8 2 3 2 2 3 2 4" xfId="20469" xr:uid="{B07B60A8-F0E5-483F-8B05-BFADA53806A1}"/>
    <cellStyle name="Normal 8 2 3 2 2 3 3" xfId="5684" xr:uid="{00000000-0005-0000-0000-00009C1C0000}"/>
    <cellStyle name="Normal 8 2 3 2 2 3 3 2" xfId="14113" xr:uid="{16951F0C-969D-4309-B1F5-B129EAAF2B83}"/>
    <cellStyle name="Normal 8 2 3 2 2 3 3 3" xfId="26746" xr:uid="{22964C15-C453-40DE-BA59-85E612F46570}"/>
    <cellStyle name="Normal 8 2 3 2 2 3 4" xfId="9895" xr:uid="{52C0BE88-CAF5-4811-9918-ACEA0F30372C}"/>
    <cellStyle name="Normal 8 2 3 2 2 3 4 2" xfId="22535" xr:uid="{41B75E2B-95B7-4FC3-9B8B-94C5C6E3887B}"/>
    <cellStyle name="Normal 8 2 3 2 2 3 5" xfId="18324" xr:uid="{EEAE533D-C838-4AFB-87F5-429234A083DF}"/>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7EC5E3FE-E551-4F2C-ADC8-D0CAC077BA30}"/>
    <cellStyle name="Normal 8 2 3 2 2 4 2 2 3" xfId="29304" xr:uid="{30B1ABAE-76D4-4A9C-9A8E-5AE10486ACB4}"/>
    <cellStyle name="Normal 8 2 3 2 2 4 2 3" xfId="12453" xr:uid="{3427C2C6-7CF4-454A-BE34-31BDBCEFF510}"/>
    <cellStyle name="Normal 8 2 3 2 2 4 2 3 2" xfId="25093" xr:uid="{7B15A376-6B1E-471A-903F-36EE61BA5712}"/>
    <cellStyle name="Normal 8 2 3 2 2 4 2 4" xfId="20882" xr:uid="{6330AF5D-D667-4903-8392-303B388CA874}"/>
    <cellStyle name="Normal 8 2 3 2 2 4 3" xfId="6097" xr:uid="{00000000-0005-0000-0000-0000A01C0000}"/>
    <cellStyle name="Normal 8 2 3 2 2 4 3 2" xfId="14526" xr:uid="{4985ED73-2112-4A90-8B0F-ABA0C836460D}"/>
    <cellStyle name="Normal 8 2 3 2 2 4 3 3" xfId="27159" xr:uid="{91A34625-6D48-4234-91D2-A141BC47B113}"/>
    <cellStyle name="Normal 8 2 3 2 2 4 4" xfId="10308" xr:uid="{9115BC12-BE4B-489B-AF10-9377C38D7514}"/>
    <cellStyle name="Normal 8 2 3 2 2 4 4 2" xfId="22948" xr:uid="{FF32AEA1-F42B-42EB-91F7-6EDF5CAA6E9C}"/>
    <cellStyle name="Normal 8 2 3 2 2 4 5" xfId="18737" xr:uid="{2C7157CE-3615-4148-8E9E-3D94616D0181}"/>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8CFA7581-ADE8-4478-B30C-A101A2200A40}"/>
    <cellStyle name="Normal 8 2 3 2 2 5 2 2 3" xfId="29717" xr:uid="{A96BFA17-15EE-480B-BF36-802D98ED4E8C}"/>
    <cellStyle name="Normal 8 2 3 2 2 5 2 3" xfId="12866" xr:uid="{DD0169BF-1D21-47E2-BB6A-CA352A66DA1E}"/>
    <cellStyle name="Normal 8 2 3 2 2 5 2 3 2" xfId="25506" xr:uid="{62DDFE86-F432-447E-BEFA-9B28636E191B}"/>
    <cellStyle name="Normal 8 2 3 2 2 5 2 4" xfId="21295" xr:uid="{6924A714-5057-4198-B5EA-5965D3260C20}"/>
    <cellStyle name="Normal 8 2 3 2 2 5 3" xfId="6510" xr:uid="{00000000-0005-0000-0000-0000A41C0000}"/>
    <cellStyle name="Normal 8 2 3 2 2 5 3 2" xfId="14939" xr:uid="{3934738A-A9A9-4C25-AA0A-63093A1586FB}"/>
    <cellStyle name="Normal 8 2 3 2 2 5 3 3" xfId="27572" xr:uid="{0D481BC4-0B6A-4220-973B-D432B2CCE69D}"/>
    <cellStyle name="Normal 8 2 3 2 2 5 4" xfId="10721" xr:uid="{E44A5FF9-F877-4E76-A59D-771C1892B131}"/>
    <cellStyle name="Normal 8 2 3 2 2 5 4 2" xfId="23361" xr:uid="{B899516F-A990-4A2A-A12E-4FC58B51447F}"/>
    <cellStyle name="Normal 8 2 3 2 2 5 5" xfId="19150" xr:uid="{AA0DC5C4-5AEF-41E9-AD8D-72A620C7DF55}"/>
    <cellStyle name="Normal 8 2 3 2 2 6" xfId="2638" xr:uid="{00000000-0005-0000-0000-0000A51C0000}"/>
    <cellStyle name="Normal 8 2 3 2 2 6 2" xfId="6923" xr:uid="{00000000-0005-0000-0000-0000A61C0000}"/>
    <cellStyle name="Normal 8 2 3 2 2 6 2 2" xfId="15352" xr:uid="{B0E95854-B0F9-457C-AF52-CF60A030F4B1}"/>
    <cellStyle name="Normal 8 2 3 2 2 6 2 3" xfId="27985" xr:uid="{1B9654FE-C469-4E68-856A-5A2CBBFD273A}"/>
    <cellStyle name="Normal 8 2 3 2 2 6 3" xfId="11134" xr:uid="{BE665794-0C65-4B4D-BB36-076BBDE23441}"/>
    <cellStyle name="Normal 8 2 3 2 2 6 3 2" xfId="23774" xr:uid="{CD9F5EF0-1CB8-4023-84E5-1897CC6FA522}"/>
    <cellStyle name="Normal 8 2 3 2 2 6 4" xfId="19563" xr:uid="{128E88B4-AA20-471A-B089-144B2ABF235C}"/>
    <cellStyle name="Normal 8 2 3 2 2 7" xfId="4858" xr:uid="{00000000-0005-0000-0000-0000A71C0000}"/>
    <cellStyle name="Normal 8 2 3 2 2 7 2" xfId="13287" xr:uid="{AA131064-9BA4-45A7-99A6-D1661EB5E774}"/>
    <cellStyle name="Normal 8 2 3 2 2 7 3" xfId="25920" xr:uid="{D83F457C-A6D4-48A6-9B2B-A475FBAD38D2}"/>
    <cellStyle name="Normal 8 2 3 2 2 8" xfId="9069" xr:uid="{15FCCA29-7D4C-489B-9BD2-DCCAAD5C98CF}"/>
    <cellStyle name="Normal 8 2 3 2 2 8 2" xfId="21709" xr:uid="{31530735-8188-476A-96D5-BCC756EC0066}"/>
    <cellStyle name="Normal 8 2 3 2 2 9" xfId="17498" xr:uid="{20515B9A-8E09-4BAA-824C-4EFA930B09D7}"/>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5B4FC86A-D05C-4382-BA91-1BC754656353}"/>
    <cellStyle name="Normal 8 2 3 2 3 2 2 3" xfId="28477" xr:uid="{CF8DFC3E-7BCB-4F72-BB36-AABE8BF46DBA}"/>
    <cellStyle name="Normal 8 2 3 2 3 2 3" xfId="11626" xr:uid="{B80AE299-4786-485F-BB05-2219F55DE8E7}"/>
    <cellStyle name="Normal 8 2 3 2 3 2 3 2" xfId="24266" xr:uid="{95ED3727-7972-4A58-B293-49B15E789107}"/>
    <cellStyle name="Normal 8 2 3 2 3 2 4" xfId="20055" xr:uid="{2F450130-543F-4821-8C9F-AA5695B2E553}"/>
    <cellStyle name="Normal 8 2 3 2 3 3" xfId="5270" xr:uid="{00000000-0005-0000-0000-0000AB1C0000}"/>
    <cellStyle name="Normal 8 2 3 2 3 3 2" xfId="13699" xr:uid="{16B8D303-6A2E-42D0-A5D3-96A01398A872}"/>
    <cellStyle name="Normal 8 2 3 2 3 3 3" xfId="26332" xr:uid="{A087E419-AD4E-459B-B976-52AAE4D0132D}"/>
    <cellStyle name="Normal 8 2 3 2 3 4" xfId="9481" xr:uid="{795318B3-3626-418F-9F6B-ACC57962D5E3}"/>
    <cellStyle name="Normal 8 2 3 2 3 4 2" xfId="22121" xr:uid="{191B5653-8B51-4566-912A-551488A33148}"/>
    <cellStyle name="Normal 8 2 3 2 3 5" xfId="17910" xr:uid="{7A5A0B3B-4CE1-4281-8310-8F887977F20B}"/>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00E30905-3205-4A98-9B0A-2DE8AB9E4493}"/>
    <cellStyle name="Normal 8 2 3 2 4 2 2 3" xfId="28890" xr:uid="{F0120B08-BEFC-4101-860B-4175E9126681}"/>
    <cellStyle name="Normal 8 2 3 2 4 2 3" xfId="12039" xr:uid="{74655F1B-87E8-4020-B32F-BC8FB5A7068E}"/>
    <cellStyle name="Normal 8 2 3 2 4 2 3 2" xfId="24679" xr:uid="{9303A359-9169-43A2-976F-FD354DF4F9BD}"/>
    <cellStyle name="Normal 8 2 3 2 4 2 4" xfId="20468" xr:uid="{88B9A591-D8F5-4597-87B6-C65FA2942023}"/>
    <cellStyle name="Normal 8 2 3 2 4 3" xfId="5683" xr:uid="{00000000-0005-0000-0000-0000AF1C0000}"/>
    <cellStyle name="Normal 8 2 3 2 4 3 2" xfId="14112" xr:uid="{73996CDD-BA72-45D1-A4BF-BF45B303B225}"/>
    <cellStyle name="Normal 8 2 3 2 4 3 3" xfId="26745" xr:uid="{FC49C4ED-29E2-49D4-BC40-53266A24E5FF}"/>
    <cellStyle name="Normal 8 2 3 2 4 4" xfId="9894" xr:uid="{91BFC183-FE9D-40A4-9E00-D0D1171E7D6F}"/>
    <cellStyle name="Normal 8 2 3 2 4 4 2" xfId="22534" xr:uid="{52E83054-7060-44AD-8236-CFE305FDDE68}"/>
    <cellStyle name="Normal 8 2 3 2 4 5" xfId="18323" xr:uid="{15C6C6C6-F0C2-4CFA-8F86-8A0D9BC6839E}"/>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DD434527-9E86-42EA-8139-555962214EC1}"/>
    <cellStyle name="Normal 8 2 3 2 5 2 2 3" xfId="29303" xr:uid="{BCBBB740-4F8E-4BB1-80E8-71E381BBEA70}"/>
    <cellStyle name="Normal 8 2 3 2 5 2 3" xfId="12452" xr:uid="{D3114BF8-47CD-4961-B088-AE8E100D03AB}"/>
    <cellStyle name="Normal 8 2 3 2 5 2 3 2" xfId="25092" xr:uid="{47059563-E8F7-4E58-BB52-B3358359E749}"/>
    <cellStyle name="Normal 8 2 3 2 5 2 4" xfId="20881" xr:uid="{F659B278-F0B8-4FEC-A2C7-504472866CA6}"/>
    <cellStyle name="Normal 8 2 3 2 5 3" xfId="6096" xr:uid="{00000000-0005-0000-0000-0000B31C0000}"/>
    <cellStyle name="Normal 8 2 3 2 5 3 2" xfId="14525" xr:uid="{706694E6-C5E3-4E7C-B0EB-FB6E68680A45}"/>
    <cellStyle name="Normal 8 2 3 2 5 3 3" xfId="27158" xr:uid="{339845D6-8A18-4ADD-BF29-4A99427D11FA}"/>
    <cellStyle name="Normal 8 2 3 2 5 4" xfId="10307" xr:uid="{20B92E8C-22CD-42AF-A42C-8B9965721E75}"/>
    <cellStyle name="Normal 8 2 3 2 5 4 2" xfId="22947" xr:uid="{F065A375-79B6-45C6-96AE-8DF5F8D294AA}"/>
    <cellStyle name="Normal 8 2 3 2 5 5" xfId="18736" xr:uid="{AD0FE0F0-2220-46BA-9B45-6B61F9DACE0E}"/>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5A02C3EA-5F7C-4D8A-9F5D-B05C42E7080C}"/>
    <cellStyle name="Normal 8 2 3 2 6 2 2 3" xfId="29716" xr:uid="{3BAA5FB1-3741-40E8-BBA5-CB4BD14453C5}"/>
    <cellStyle name="Normal 8 2 3 2 6 2 3" xfId="12865" xr:uid="{04973485-5304-41EE-AD9A-C39174BEFB78}"/>
    <cellStyle name="Normal 8 2 3 2 6 2 3 2" xfId="25505" xr:uid="{F8E4CCCE-BB6C-4095-AEF1-812C5103F959}"/>
    <cellStyle name="Normal 8 2 3 2 6 2 4" xfId="21294" xr:uid="{4F4D70AB-37E8-4BB1-BC4D-DB026F8606C2}"/>
    <cellStyle name="Normal 8 2 3 2 6 3" xfId="6509" xr:uid="{00000000-0005-0000-0000-0000B71C0000}"/>
    <cellStyle name="Normal 8 2 3 2 6 3 2" xfId="14938" xr:uid="{33DED6A0-2D16-47E9-B944-AB6BC92BB187}"/>
    <cellStyle name="Normal 8 2 3 2 6 3 3" xfId="27571" xr:uid="{57E21D3C-82FF-4CC2-AD49-D0DFEC0D35BA}"/>
    <cellStyle name="Normal 8 2 3 2 6 4" xfId="10720" xr:uid="{54658EAB-E6BC-4B9E-89FD-AFFB973E3CAA}"/>
    <cellStyle name="Normal 8 2 3 2 6 4 2" xfId="23360" xr:uid="{D88A268A-E29F-46F4-B8E0-9E72AA034C1F}"/>
    <cellStyle name="Normal 8 2 3 2 6 5" xfId="19149" xr:uid="{1612C1CF-F5FF-4CDD-8055-BEF7C72F5183}"/>
    <cellStyle name="Normal 8 2 3 2 7" xfId="2637" xr:uid="{00000000-0005-0000-0000-0000B81C0000}"/>
    <cellStyle name="Normal 8 2 3 2 7 2" xfId="6922" xr:uid="{00000000-0005-0000-0000-0000B91C0000}"/>
    <cellStyle name="Normal 8 2 3 2 7 2 2" xfId="15351" xr:uid="{EC840909-185B-448F-AB31-93781BF7129A}"/>
    <cellStyle name="Normal 8 2 3 2 7 2 3" xfId="27984" xr:uid="{487345A9-723F-4323-AD84-42C5D9334FDE}"/>
    <cellStyle name="Normal 8 2 3 2 7 3" xfId="11133" xr:uid="{80AF088C-4486-4201-884E-A588AA033700}"/>
    <cellStyle name="Normal 8 2 3 2 7 3 2" xfId="23773" xr:uid="{AA444A23-FBEB-4B28-B9EA-DB8E588E7716}"/>
    <cellStyle name="Normal 8 2 3 2 7 4" xfId="19562" xr:uid="{42838C43-2243-49EF-9F32-48ACA6C8FAB8}"/>
    <cellStyle name="Normal 8 2 3 2 8" xfId="4857" xr:uid="{00000000-0005-0000-0000-0000BA1C0000}"/>
    <cellStyle name="Normal 8 2 3 2 8 2" xfId="13286" xr:uid="{E4FF2EDF-12FE-47F3-B2CD-4714927D161F}"/>
    <cellStyle name="Normal 8 2 3 2 8 3" xfId="25919" xr:uid="{31B8AF27-5EF3-493B-8B0E-E4BA635E7447}"/>
    <cellStyle name="Normal 8 2 3 2 9" xfId="9068" xr:uid="{C6C582B4-68DB-4C04-A159-426ED4FD6976}"/>
    <cellStyle name="Normal 8 2 3 2 9 2" xfId="21708" xr:uid="{4085D14D-73D9-449F-B3A2-09FF4588620A}"/>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9B4D9A47-5790-4B20-8993-081C43300020}"/>
    <cellStyle name="Normal 8 2 3 3 2 2 2 3" xfId="28479" xr:uid="{8D09F4A6-5E3E-4325-8916-3144FCCAA404}"/>
    <cellStyle name="Normal 8 2 3 3 2 2 3" xfId="11628" xr:uid="{A070E856-2BD5-4AF0-B672-D4B9197154A2}"/>
    <cellStyle name="Normal 8 2 3 3 2 2 3 2" xfId="24268" xr:uid="{5970AEB4-C630-4D19-8172-265636A2607F}"/>
    <cellStyle name="Normal 8 2 3 3 2 2 4" xfId="20057" xr:uid="{BCC3B88B-BD74-4C42-BC32-771E80922944}"/>
    <cellStyle name="Normal 8 2 3 3 2 3" xfId="5272" xr:uid="{00000000-0005-0000-0000-0000BF1C0000}"/>
    <cellStyle name="Normal 8 2 3 3 2 3 2" xfId="13701" xr:uid="{BFE04FBA-64FC-46D6-9688-1ACAFBE0F1C3}"/>
    <cellStyle name="Normal 8 2 3 3 2 3 3" xfId="26334" xr:uid="{DD176B44-B11B-4C35-BAC2-27F92B1EFAAF}"/>
    <cellStyle name="Normal 8 2 3 3 2 4" xfId="9483" xr:uid="{B76E7EA6-DE95-463E-9A5B-20645E632D41}"/>
    <cellStyle name="Normal 8 2 3 3 2 4 2" xfId="22123" xr:uid="{F2D9E13D-8298-4827-9B96-60BC7211A472}"/>
    <cellStyle name="Normal 8 2 3 3 2 5" xfId="17912" xr:uid="{3C844AB1-FD1E-4932-82FF-8BA3BD00E6E3}"/>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78893DBB-2A6E-4BD2-825E-41538D5F2A97}"/>
    <cellStyle name="Normal 8 2 3 3 3 2 2 3" xfId="28892" xr:uid="{06618C82-18BA-4653-9EED-CAEF658EE3E5}"/>
    <cellStyle name="Normal 8 2 3 3 3 2 3" xfId="12041" xr:uid="{6B0DF62C-9BD7-4C71-964D-CCEC441A2EE0}"/>
    <cellStyle name="Normal 8 2 3 3 3 2 3 2" xfId="24681" xr:uid="{B54F1BC6-170C-4201-BE49-CD9604FEEFF9}"/>
    <cellStyle name="Normal 8 2 3 3 3 2 4" xfId="20470" xr:uid="{08E91CEF-352F-4EAF-9437-E228BEA276CC}"/>
    <cellStyle name="Normal 8 2 3 3 3 3" xfId="5685" xr:uid="{00000000-0005-0000-0000-0000C31C0000}"/>
    <cellStyle name="Normal 8 2 3 3 3 3 2" xfId="14114" xr:uid="{C974F9FB-8AEF-4BC4-B7B7-D3FE14560622}"/>
    <cellStyle name="Normal 8 2 3 3 3 3 3" xfId="26747" xr:uid="{B2993EAA-9E91-4BF0-B5C9-F1F08F65B155}"/>
    <cellStyle name="Normal 8 2 3 3 3 4" xfId="9896" xr:uid="{383AA3DF-F8DE-47CA-A166-B3E5E71F83F8}"/>
    <cellStyle name="Normal 8 2 3 3 3 4 2" xfId="22536" xr:uid="{820BCC81-4421-4057-98DE-C70513EDFD5D}"/>
    <cellStyle name="Normal 8 2 3 3 3 5" xfId="18325" xr:uid="{F64D55F3-5BD3-4C2A-845D-25D06BE22A10}"/>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F9E26E26-6327-4F39-B64A-DFFDDBB1829F}"/>
    <cellStyle name="Normal 8 2 3 3 4 2 2 3" xfId="29305" xr:uid="{397D6FA8-A4F3-4E1D-BC82-77C2CF7E059E}"/>
    <cellStyle name="Normal 8 2 3 3 4 2 3" xfId="12454" xr:uid="{71679789-B897-46F5-9768-CF4E20609FDD}"/>
    <cellStyle name="Normal 8 2 3 3 4 2 3 2" xfId="25094" xr:uid="{CA8A0014-64F7-4E69-85BF-EE6ECD492902}"/>
    <cellStyle name="Normal 8 2 3 3 4 2 4" xfId="20883" xr:uid="{1C7C6932-0729-4CD0-9464-7DE4679F53DF}"/>
    <cellStyle name="Normal 8 2 3 3 4 3" xfId="6098" xr:uid="{00000000-0005-0000-0000-0000C71C0000}"/>
    <cellStyle name="Normal 8 2 3 3 4 3 2" xfId="14527" xr:uid="{2DF53878-E127-437B-B9E0-E9184AEC9394}"/>
    <cellStyle name="Normal 8 2 3 3 4 3 3" xfId="27160" xr:uid="{A214C0F1-EEBF-4F0C-88D6-E850F3524E4B}"/>
    <cellStyle name="Normal 8 2 3 3 4 4" xfId="10309" xr:uid="{FB55A41A-E5DD-4C53-BB04-6BEF0ACDE157}"/>
    <cellStyle name="Normal 8 2 3 3 4 4 2" xfId="22949" xr:uid="{5F129C0A-629D-49F0-93D9-670B1824A4AC}"/>
    <cellStyle name="Normal 8 2 3 3 4 5" xfId="18738" xr:uid="{AE4E308C-9EF1-402C-BDE3-2B56A4BB03E9}"/>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A973E401-AFD4-4C80-B738-6F5DA945C564}"/>
    <cellStyle name="Normal 8 2 3 3 5 2 2 3" xfId="29718" xr:uid="{3F025365-BCB5-4BAE-9F9A-F87293D9BF85}"/>
    <cellStyle name="Normal 8 2 3 3 5 2 3" xfId="12867" xr:uid="{7094AD06-B187-42BF-8AE3-5A106361F1C7}"/>
    <cellStyle name="Normal 8 2 3 3 5 2 3 2" xfId="25507" xr:uid="{ECE576F0-01FB-4021-AACF-670D1C7E6541}"/>
    <cellStyle name="Normal 8 2 3 3 5 2 4" xfId="21296" xr:uid="{24F9A78A-3D20-4C22-83D2-E932FE4B49C3}"/>
    <cellStyle name="Normal 8 2 3 3 5 3" xfId="6511" xr:uid="{00000000-0005-0000-0000-0000CB1C0000}"/>
    <cellStyle name="Normal 8 2 3 3 5 3 2" xfId="14940" xr:uid="{284D07B1-6B8B-41C5-AB74-5529DDF19B99}"/>
    <cellStyle name="Normal 8 2 3 3 5 3 3" xfId="27573" xr:uid="{43E9753F-4679-4223-837D-4F4578C1CAEC}"/>
    <cellStyle name="Normal 8 2 3 3 5 4" xfId="10722" xr:uid="{07D8BAC5-80C9-499F-9603-72262327C273}"/>
    <cellStyle name="Normal 8 2 3 3 5 4 2" xfId="23362" xr:uid="{68C0AFC2-5798-48ED-A103-D7755934835F}"/>
    <cellStyle name="Normal 8 2 3 3 5 5" xfId="19151" xr:uid="{BA366E45-D9FC-4B53-BE7C-ABE4548BD665}"/>
    <cellStyle name="Normal 8 2 3 3 6" xfId="2639" xr:uid="{00000000-0005-0000-0000-0000CC1C0000}"/>
    <cellStyle name="Normal 8 2 3 3 6 2" xfId="6924" xr:uid="{00000000-0005-0000-0000-0000CD1C0000}"/>
    <cellStyle name="Normal 8 2 3 3 6 2 2" xfId="15353" xr:uid="{2991A56E-E5B2-435E-A578-16B55783243A}"/>
    <cellStyle name="Normal 8 2 3 3 6 2 3" xfId="27986" xr:uid="{436B1B27-A8B8-4575-83EE-5C60060B0209}"/>
    <cellStyle name="Normal 8 2 3 3 6 3" xfId="11135" xr:uid="{C2FC7123-1222-4119-AFE0-F820BF4323A4}"/>
    <cellStyle name="Normal 8 2 3 3 6 3 2" xfId="23775" xr:uid="{6C22FD5B-D4A5-46AB-9F21-97520DD4A8AE}"/>
    <cellStyle name="Normal 8 2 3 3 6 4" xfId="19564" xr:uid="{D1962769-F00A-4652-AE9F-77BF97A40304}"/>
    <cellStyle name="Normal 8 2 3 3 7" xfId="4859" xr:uid="{00000000-0005-0000-0000-0000CE1C0000}"/>
    <cellStyle name="Normal 8 2 3 3 7 2" xfId="13288" xr:uid="{76DACDD0-B1AF-4EE9-91DB-C47237F3D508}"/>
    <cellStyle name="Normal 8 2 3 3 7 3" xfId="25921" xr:uid="{0EA3DD43-77EB-4AD1-B60C-7C6B73B15032}"/>
    <cellStyle name="Normal 8 2 3 3 8" xfId="9070" xr:uid="{4A910508-ABC1-40AF-A0EF-4A181F8E72D4}"/>
    <cellStyle name="Normal 8 2 3 3 8 2" xfId="21710" xr:uid="{5338D357-36B3-41D9-8EBD-8BD277F21F6C}"/>
    <cellStyle name="Normal 8 2 3 3 9" xfId="17499" xr:uid="{521D4502-1A67-4B46-BA3B-AAE0E5CD52A7}"/>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529ADD78-E039-4B3B-89C1-A694752D5A10}"/>
    <cellStyle name="Normal 8 2 3 4 2 2 3" xfId="28476" xr:uid="{35E04EEB-9A79-4B06-936A-CF05A42A2CC8}"/>
    <cellStyle name="Normal 8 2 3 4 2 3" xfId="11625" xr:uid="{F965F231-3225-4AF2-B5DE-697734793BCB}"/>
    <cellStyle name="Normal 8 2 3 4 2 3 2" xfId="24265" xr:uid="{94088030-4E83-47D8-BEAC-94A695AD6CA5}"/>
    <cellStyle name="Normal 8 2 3 4 2 4" xfId="20054" xr:uid="{BE28B468-632F-4774-B92D-3B0D3E016C4D}"/>
    <cellStyle name="Normal 8 2 3 4 3" xfId="5269" xr:uid="{00000000-0005-0000-0000-0000D21C0000}"/>
    <cellStyle name="Normal 8 2 3 4 3 2" xfId="13698" xr:uid="{CF42EFFC-16B3-4B89-BC4D-3498D3F33E73}"/>
    <cellStyle name="Normal 8 2 3 4 3 3" xfId="26331" xr:uid="{47ABD682-2DF5-445A-86C6-4C87D5733FC0}"/>
    <cellStyle name="Normal 8 2 3 4 4" xfId="9480" xr:uid="{F29082AA-41D7-43FC-9E23-7DFBEF79EC3E}"/>
    <cellStyle name="Normal 8 2 3 4 4 2" xfId="22120" xr:uid="{A65177AE-5CDC-434E-BB0D-A2BF68BDABFA}"/>
    <cellStyle name="Normal 8 2 3 4 5" xfId="17909" xr:uid="{0D7B8988-A541-423C-9922-732B3CD7836E}"/>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60413AC1-5373-4E89-A48A-53F9C1311F7B}"/>
    <cellStyle name="Normal 8 2 3 5 2 2 3" xfId="28889" xr:uid="{51FD9F19-3933-4997-86F0-30AB119C1563}"/>
    <cellStyle name="Normal 8 2 3 5 2 3" xfId="12038" xr:uid="{6751265E-4B8F-4084-A6CC-22A96303365C}"/>
    <cellStyle name="Normal 8 2 3 5 2 3 2" xfId="24678" xr:uid="{96909003-12A8-4B76-8F23-B142DB1814F6}"/>
    <cellStyle name="Normal 8 2 3 5 2 4" xfId="20467" xr:uid="{30B49AB8-5A55-4BCA-A42D-6F320F318213}"/>
    <cellStyle name="Normal 8 2 3 5 3" xfId="5682" xr:uid="{00000000-0005-0000-0000-0000D61C0000}"/>
    <cellStyle name="Normal 8 2 3 5 3 2" xfId="14111" xr:uid="{F5317C8F-A38C-49B6-AFC1-F4B632849B59}"/>
    <cellStyle name="Normal 8 2 3 5 3 3" xfId="26744" xr:uid="{14BE8CFE-C933-4B27-AD8A-E2296169F80B}"/>
    <cellStyle name="Normal 8 2 3 5 4" xfId="9893" xr:uid="{21579B52-9A8B-47FF-8BDC-0AF29DA1462E}"/>
    <cellStyle name="Normal 8 2 3 5 4 2" xfId="22533" xr:uid="{E0633F43-651B-4316-BDBE-A98C737D9ED8}"/>
    <cellStyle name="Normal 8 2 3 5 5" xfId="18322" xr:uid="{1712E42E-643A-450B-9976-647BD4D1EE36}"/>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A3220ACA-EBA2-4FED-A198-CBE98276F1C6}"/>
    <cellStyle name="Normal 8 2 3 6 2 2 3" xfId="29302" xr:uid="{53232740-5D94-4A92-B6C2-DDCDB6365C5C}"/>
    <cellStyle name="Normal 8 2 3 6 2 3" xfId="12451" xr:uid="{350ADE0F-E489-44FE-9616-605155F71F7C}"/>
    <cellStyle name="Normal 8 2 3 6 2 3 2" xfId="25091" xr:uid="{3204F3DF-4231-4FED-A324-AD563B2048B5}"/>
    <cellStyle name="Normal 8 2 3 6 2 4" xfId="20880" xr:uid="{8D4B9CCC-3897-4158-996C-A7B41C1C4EA1}"/>
    <cellStyle name="Normal 8 2 3 6 3" xfId="6095" xr:uid="{00000000-0005-0000-0000-0000DA1C0000}"/>
    <cellStyle name="Normal 8 2 3 6 3 2" xfId="14524" xr:uid="{08106E77-BF69-4B5E-80F3-9B3D3E7B8919}"/>
    <cellStyle name="Normal 8 2 3 6 3 3" xfId="27157" xr:uid="{0C09C279-DEB6-419D-8DFD-A9B0FBA9F116}"/>
    <cellStyle name="Normal 8 2 3 6 4" xfId="10306" xr:uid="{6AE78B9F-0216-4765-BCD5-DD354A340E3F}"/>
    <cellStyle name="Normal 8 2 3 6 4 2" xfId="22946" xr:uid="{2B974AD5-1736-4DAE-A489-184A766B6DBC}"/>
    <cellStyle name="Normal 8 2 3 6 5" xfId="18735" xr:uid="{F8E5618F-6864-4781-A1EA-5AD3650F5D6F}"/>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C0BF96EC-F294-4A65-861D-7D81291942ED}"/>
    <cellStyle name="Normal 8 2 3 7 2 2 3" xfId="29715" xr:uid="{2C8DE91D-C68B-40F3-B644-5217BF7DD6A6}"/>
    <cellStyle name="Normal 8 2 3 7 2 3" xfId="12864" xr:uid="{9E8C685A-90B4-4BE3-9581-AA569D671DDB}"/>
    <cellStyle name="Normal 8 2 3 7 2 3 2" xfId="25504" xr:uid="{183B5D4B-A665-4F38-B34D-0CF54F57BA00}"/>
    <cellStyle name="Normal 8 2 3 7 2 4" xfId="21293" xr:uid="{6EEDFC0A-F4FA-4783-8E95-17B4027EB33D}"/>
    <cellStyle name="Normal 8 2 3 7 3" xfId="6508" xr:uid="{00000000-0005-0000-0000-0000DE1C0000}"/>
    <cellStyle name="Normal 8 2 3 7 3 2" xfId="14937" xr:uid="{66A5761A-7865-4A5F-9F45-EFF356CEEFC7}"/>
    <cellStyle name="Normal 8 2 3 7 3 3" xfId="27570" xr:uid="{6E557F6E-BDD1-4238-AE4D-468705FF502F}"/>
    <cellStyle name="Normal 8 2 3 7 4" xfId="10719" xr:uid="{2FBBABCF-5E94-4DD2-95FE-C781ECA078AD}"/>
    <cellStyle name="Normal 8 2 3 7 4 2" xfId="23359" xr:uid="{A1EA13A6-92C2-4A18-B595-8CB7F038751B}"/>
    <cellStyle name="Normal 8 2 3 7 5" xfId="19148" xr:uid="{5D3FE01E-D973-48B4-B1D4-3B842F27A629}"/>
    <cellStyle name="Normal 8 2 3 8" xfId="2636" xr:uid="{00000000-0005-0000-0000-0000DF1C0000}"/>
    <cellStyle name="Normal 8 2 3 8 2" xfId="6921" xr:uid="{00000000-0005-0000-0000-0000E01C0000}"/>
    <cellStyle name="Normal 8 2 3 8 2 2" xfId="15350" xr:uid="{82E3868B-7314-40ED-82FF-35F3B148FDD5}"/>
    <cellStyle name="Normal 8 2 3 8 2 3" xfId="27983" xr:uid="{B142E45B-E406-47D2-8FF6-B06E182B5161}"/>
    <cellStyle name="Normal 8 2 3 8 3" xfId="11132" xr:uid="{502E10EE-F2B6-45CA-A6F4-EFBD19E8B18D}"/>
    <cellStyle name="Normal 8 2 3 8 3 2" xfId="23772" xr:uid="{B0902C9D-E953-4CA9-BA5C-0697073BA60C}"/>
    <cellStyle name="Normal 8 2 3 8 4" xfId="19561" xr:uid="{FBBBEFD3-F50B-42AB-8997-5E828FDEC4FE}"/>
    <cellStyle name="Normal 8 2 3 9" xfId="4856" xr:uid="{00000000-0005-0000-0000-0000E11C0000}"/>
    <cellStyle name="Normal 8 2 3 9 2" xfId="13285" xr:uid="{47413A49-D4BA-47A7-AE88-21C38DE42345}"/>
    <cellStyle name="Normal 8 2 3 9 3" xfId="25918" xr:uid="{A28BE391-4AAB-464A-A117-2522B1681B8E}"/>
    <cellStyle name="Normal 8 2 4" xfId="492" xr:uid="{00000000-0005-0000-0000-0000E21C0000}"/>
    <cellStyle name="Normal 8 2 4 10" xfId="17500" xr:uid="{84C75E0E-3C45-4909-A2AE-48F05CC37CFC}"/>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7EEFEBFE-760E-44EC-8117-6F9949EBD847}"/>
    <cellStyle name="Normal 8 2 4 2 2 2 2 3" xfId="28481" xr:uid="{9B117162-55D4-4299-87B0-AC19585026B8}"/>
    <cellStyle name="Normal 8 2 4 2 2 2 3" xfId="11630" xr:uid="{2A02B8DC-32C3-4D89-AE5C-FA097B1DED2D}"/>
    <cellStyle name="Normal 8 2 4 2 2 2 3 2" xfId="24270" xr:uid="{0C0750B8-486E-4FD4-B66F-BB22982CE817}"/>
    <cellStyle name="Normal 8 2 4 2 2 2 4" xfId="20059" xr:uid="{9CD500A1-FE50-4FC8-90F3-DF44EFB85C47}"/>
    <cellStyle name="Normal 8 2 4 2 2 3" xfId="5274" xr:uid="{00000000-0005-0000-0000-0000E71C0000}"/>
    <cellStyle name="Normal 8 2 4 2 2 3 2" xfId="13703" xr:uid="{B1840BB2-594B-40BE-9064-E31C6A183EEA}"/>
    <cellStyle name="Normal 8 2 4 2 2 3 3" xfId="26336" xr:uid="{49FC66E2-0442-4DD2-BB3C-0BD8389BB175}"/>
    <cellStyle name="Normal 8 2 4 2 2 4" xfId="9485" xr:uid="{FF585ECF-14EF-4FFA-9C9D-485A03FF6AF3}"/>
    <cellStyle name="Normal 8 2 4 2 2 4 2" xfId="22125" xr:uid="{B3F4ADC0-33E3-4F61-B3C3-BE11BC7408C0}"/>
    <cellStyle name="Normal 8 2 4 2 2 5" xfId="17914" xr:uid="{48934A25-6BAF-4DA1-B436-F736FC2DD033}"/>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85CB52F3-F36E-4DD1-BE01-072F7B7DBC03}"/>
    <cellStyle name="Normal 8 2 4 2 3 2 2 3" xfId="28894" xr:uid="{AD3101DE-EE5E-43F1-BEDD-1D05B1CBEBC5}"/>
    <cellStyle name="Normal 8 2 4 2 3 2 3" xfId="12043" xr:uid="{6B115F59-1165-4185-B7F1-D1E27B2045DB}"/>
    <cellStyle name="Normal 8 2 4 2 3 2 3 2" xfId="24683" xr:uid="{F0D22F1B-FF1F-4F2E-87CC-1EBC93EBA5E3}"/>
    <cellStyle name="Normal 8 2 4 2 3 2 4" xfId="20472" xr:uid="{415BE6BE-A415-4F0E-97EA-90B5EB55D09F}"/>
    <cellStyle name="Normal 8 2 4 2 3 3" xfId="5687" xr:uid="{00000000-0005-0000-0000-0000EB1C0000}"/>
    <cellStyle name="Normal 8 2 4 2 3 3 2" xfId="14116" xr:uid="{C59D47AC-D699-4607-97CB-E2419E984F66}"/>
    <cellStyle name="Normal 8 2 4 2 3 3 3" xfId="26749" xr:uid="{CA809B2B-46A5-4060-BCDD-3058E49CBC7D}"/>
    <cellStyle name="Normal 8 2 4 2 3 4" xfId="9898" xr:uid="{BCA6C2D6-88B9-47C2-A291-1FA4723C9A22}"/>
    <cellStyle name="Normal 8 2 4 2 3 4 2" xfId="22538" xr:uid="{5318A9FF-3FBA-4DEA-B038-75C2C3126F30}"/>
    <cellStyle name="Normal 8 2 4 2 3 5" xfId="18327" xr:uid="{E2EBBA6E-B06C-4E89-B1B6-B3AC9E9C5987}"/>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C20FD1F5-A3FC-4F33-8CE2-9D41AF742547}"/>
    <cellStyle name="Normal 8 2 4 2 4 2 2 3" xfId="29307" xr:uid="{DFC78E8A-E790-406D-9CD1-071AE997597E}"/>
    <cellStyle name="Normal 8 2 4 2 4 2 3" xfId="12456" xr:uid="{75CB2037-A3B0-449D-BF70-537AAADC8045}"/>
    <cellStyle name="Normal 8 2 4 2 4 2 3 2" xfId="25096" xr:uid="{14E9A66E-8DB4-40C1-9D6F-11E87ED78715}"/>
    <cellStyle name="Normal 8 2 4 2 4 2 4" xfId="20885" xr:uid="{6C8B1F1C-0E15-49B1-9BA0-AB155448E345}"/>
    <cellStyle name="Normal 8 2 4 2 4 3" xfId="6100" xr:uid="{00000000-0005-0000-0000-0000EF1C0000}"/>
    <cellStyle name="Normal 8 2 4 2 4 3 2" xfId="14529" xr:uid="{223B317D-5040-4182-9E81-81B9C7EC57EB}"/>
    <cellStyle name="Normal 8 2 4 2 4 3 3" xfId="27162" xr:uid="{3BAF9FC6-50D4-44EE-A785-669105A4DA57}"/>
    <cellStyle name="Normal 8 2 4 2 4 4" xfId="10311" xr:uid="{70699545-F06D-4A54-8CDF-EE1CEB4CF1C2}"/>
    <cellStyle name="Normal 8 2 4 2 4 4 2" xfId="22951" xr:uid="{8C07EA77-E642-426B-B820-48C3E5DD5B89}"/>
    <cellStyle name="Normal 8 2 4 2 4 5" xfId="18740" xr:uid="{1DBE120C-9365-40A9-B282-01132D9D5784}"/>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C98D6B53-921A-47D0-B5A7-CF9A79276BED}"/>
    <cellStyle name="Normal 8 2 4 2 5 2 2 3" xfId="29720" xr:uid="{2F55B3D4-C97B-4981-BF16-E9593DC841A9}"/>
    <cellStyle name="Normal 8 2 4 2 5 2 3" xfId="12869" xr:uid="{9251613C-A663-4D74-9503-055DF9A228C9}"/>
    <cellStyle name="Normal 8 2 4 2 5 2 3 2" xfId="25509" xr:uid="{86544D27-CC03-4090-89C3-3E632981BC1D}"/>
    <cellStyle name="Normal 8 2 4 2 5 2 4" xfId="21298" xr:uid="{38F7D298-D8F8-42A2-8DB6-75AF58BF0D6B}"/>
    <cellStyle name="Normal 8 2 4 2 5 3" xfId="6513" xr:uid="{00000000-0005-0000-0000-0000F31C0000}"/>
    <cellStyle name="Normal 8 2 4 2 5 3 2" xfId="14942" xr:uid="{A05D293D-D4C9-4745-85D0-C519FE09D935}"/>
    <cellStyle name="Normal 8 2 4 2 5 3 3" xfId="27575" xr:uid="{51ACA0D9-F4A4-4A4F-928C-201D43C0B398}"/>
    <cellStyle name="Normal 8 2 4 2 5 4" xfId="10724" xr:uid="{FF187479-FD95-478A-B9A4-E116AEA7616B}"/>
    <cellStyle name="Normal 8 2 4 2 5 4 2" xfId="23364" xr:uid="{BC2B04F0-CA92-4E90-B1C1-848BB28882CB}"/>
    <cellStyle name="Normal 8 2 4 2 5 5" xfId="19153" xr:uid="{652E6598-67AB-4161-A435-9ADC03FA3E5D}"/>
    <cellStyle name="Normal 8 2 4 2 6" xfId="2641" xr:uid="{00000000-0005-0000-0000-0000F41C0000}"/>
    <cellStyle name="Normal 8 2 4 2 6 2" xfId="6926" xr:uid="{00000000-0005-0000-0000-0000F51C0000}"/>
    <cellStyle name="Normal 8 2 4 2 6 2 2" xfId="15355" xr:uid="{E463AF6F-0EBE-4E12-9970-EA370E14FB1F}"/>
    <cellStyle name="Normal 8 2 4 2 6 2 3" xfId="27988" xr:uid="{574284FA-367F-4AD1-85B8-E3E93FF8AC14}"/>
    <cellStyle name="Normal 8 2 4 2 6 3" xfId="11137" xr:uid="{B6EA6A89-9923-475F-ACD6-49FB2C1BD85B}"/>
    <cellStyle name="Normal 8 2 4 2 6 3 2" xfId="23777" xr:uid="{1D4E11E5-90EE-4678-97DD-E11DC7A777CE}"/>
    <cellStyle name="Normal 8 2 4 2 6 4" xfId="19566" xr:uid="{2BC797E4-CF8D-4793-9FF3-7A15F484CD15}"/>
    <cellStyle name="Normal 8 2 4 2 7" xfId="4861" xr:uid="{00000000-0005-0000-0000-0000F61C0000}"/>
    <cellStyle name="Normal 8 2 4 2 7 2" xfId="13290" xr:uid="{7CFB4148-4AF8-4FEF-AE88-37E295F83027}"/>
    <cellStyle name="Normal 8 2 4 2 7 3" xfId="25923" xr:uid="{8DF153DA-14AE-40D2-8A34-A83E56149C9A}"/>
    <cellStyle name="Normal 8 2 4 2 8" xfId="9072" xr:uid="{B825A8D9-5755-4AC8-998C-5F4D481B2574}"/>
    <cellStyle name="Normal 8 2 4 2 8 2" xfId="21712" xr:uid="{446F8E9C-50D4-416A-8254-41F63EB4526E}"/>
    <cellStyle name="Normal 8 2 4 2 9" xfId="17501" xr:uid="{237EA3E3-D1BF-4809-9980-B5E57EA09631}"/>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D20F9890-3F71-47F5-A5E0-BD8772784A75}"/>
    <cellStyle name="Normal 8 2 4 3 2 2 3" xfId="28480" xr:uid="{E1BAE91C-45EF-4BBA-A832-C7308818A857}"/>
    <cellStyle name="Normal 8 2 4 3 2 3" xfId="11629" xr:uid="{38158270-63DB-462A-A321-4A86EE39C299}"/>
    <cellStyle name="Normal 8 2 4 3 2 3 2" xfId="24269" xr:uid="{9D663825-C21E-44BF-9218-A2A713F6D984}"/>
    <cellStyle name="Normal 8 2 4 3 2 4" xfId="20058" xr:uid="{428663F8-8D33-4298-84B6-1BC0DBB5E555}"/>
    <cellStyle name="Normal 8 2 4 3 3" xfId="5273" xr:uid="{00000000-0005-0000-0000-0000FA1C0000}"/>
    <cellStyle name="Normal 8 2 4 3 3 2" xfId="13702" xr:uid="{C2FAA0FF-C7FC-442A-B502-05C97FB28AE7}"/>
    <cellStyle name="Normal 8 2 4 3 3 3" xfId="26335" xr:uid="{12E48A04-3EC3-4D73-9BA3-2D784BB112E3}"/>
    <cellStyle name="Normal 8 2 4 3 4" xfId="9484" xr:uid="{6AC4FF4D-C57F-417D-8D8B-EDB8614D30D9}"/>
    <cellStyle name="Normal 8 2 4 3 4 2" xfId="22124" xr:uid="{47556B08-3117-45EF-BFB1-1440206FE76A}"/>
    <cellStyle name="Normal 8 2 4 3 5" xfId="17913" xr:uid="{8B5A0271-1409-4683-A7A0-EE7F6074284C}"/>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2613316F-9673-40D4-A587-92DC273DE3A0}"/>
    <cellStyle name="Normal 8 2 4 4 2 2 3" xfId="28893" xr:uid="{522932EA-8570-475A-A712-C35EE1E9046A}"/>
    <cellStyle name="Normal 8 2 4 4 2 3" xfId="12042" xr:uid="{2E890A6F-E735-4311-91D5-DF9C732CDF81}"/>
    <cellStyle name="Normal 8 2 4 4 2 3 2" xfId="24682" xr:uid="{88E46329-5ED0-4D0A-BC73-E272D7A49557}"/>
    <cellStyle name="Normal 8 2 4 4 2 4" xfId="20471" xr:uid="{D0DAD64D-BBC7-4D3D-9B32-59A4AD4D7E55}"/>
    <cellStyle name="Normal 8 2 4 4 3" xfId="5686" xr:uid="{00000000-0005-0000-0000-0000FE1C0000}"/>
    <cellStyle name="Normal 8 2 4 4 3 2" xfId="14115" xr:uid="{F0686096-3536-41CB-B28C-15E5FAAEBC5B}"/>
    <cellStyle name="Normal 8 2 4 4 3 3" xfId="26748" xr:uid="{90A16F0F-7487-495F-9B19-497830E1A6F5}"/>
    <cellStyle name="Normal 8 2 4 4 4" xfId="9897" xr:uid="{146C2245-BD60-40A4-BE1A-6696719F19CA}"/>
    <cellStyle name="Normal 8 2 4 4 4 2" xfId="22537" xr:uid="{DB852FC4-1F68-4C8E-A5C3-6FB87ACE725E}"/>
    <cellStyle name="Normal 8 2 4 4 5" xfId="18326" xr:uid="{AD229AAC-1552-4966-8CC2-EFD1EF6EB5D8}"/>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1CEC9DD3-1928-486B-83EB-403EA9E13958}"/>
    <cellStyle name="Normal 8 2 4 5 2 2 3" xfId="29306" xr:uid="{6A5C3C97-B919-4590-8E8E-692BE089F0E0}"/>
    <cellStyle name="Normal 8 2 4 5 2 3" xfId="12455" xr:uid="{006887D8-99A3-4C5C-8ECC-7891E504D993}"/>
    <cellStyle name="Normal 8 2 4 5 2 3 2" xfId="25095" xr:uid="{398EF2B9-EE53-4536-8D15-5686F9923DE5}"/>
    <cellStyle name="Normal 8 2 4 5 2 4" xfId="20884" xr:uid="{076C8FA0-4177-4E03-9F86-DDCE1D639DE0}"/>
    <cellStyle name="Normal 8 2 4 5 3" xfId="6099" xr:uid="{00000000-0005-0000-0000-0000021D0000}"/>
    <cellStyle name="Normal 8 2 4 5 3 2" xfId="14528" xr:uid="{3A5C0D9B-30F8-40D1-8207-E8005815770F}"/>
    <cellStyle name="Normal 8 2 4 5 3 3" xfId="27161" xr:uid="{89C89FA8-F84E-4425-B60A-18F2CC708B12}"/>
    <cellStyle name="Normal 8 2 4 5 4" xfId="10310" xr:uid="{B697C1C8-C662-4FDA-A4C0-BB920763F160}"/>
    <cellStyle name="Normal 8 2 4 5 4 2" xfId="22950" xr:uid="{DEF0F694-B8D3-4B52-A35B-4352125CD2CC}"/>
    <cellStyle name="Normal 8 2 4 5 5" xfId="18739" xr:uid="{5207DF7E-36DA-47C4-9A4A-CBEDC5A21731}"/>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27A91968-AF33-4840-9542-4E6EEE4EA64D}"/>
    <cellStyle name="Normal 8 2 4 6 2 2 3" xfId="29719" xr:uid="{521A51BB-4ED4-4D1F-BB9A-201868113B76}"/>
    <cellStyle name="Normal 8 2 4 6 2 3" xfId="12868" xr:uid="{02735A7B-0537-41B4-BC2A-9362A9546577}"/>
    <cellStyle name="Normal 8 2 4 6 2 3 2" xfId="25508" xr:uid="{95F8B904-10CD-4F51-8F0F-ECB3701F830A}"/>
    <cellStyle name="Normal 8 2 4 6 2 4" xfId="21297" xr:uid="{1D7636AD-5FF4-41AD-ADD3-870CE1F00E99}"/>
    <cellStyle name="Normal 8 2 4 6 3" xfId="6512" xr:uid="{00000000-0005-0000-0000-0000061D0000}"/>
    <cellStyle name="Normal 8 2 4 6 3 2" xfId="14941" xr:uid="{D0AC05A1-1D09-48B8-A408-515C4983AFA7}"/>
    <cellStyle name="Normal 8 2 4 6 3 3" xfId="27574" xr:uid="{510A70DD-3830-4A3D-8FCC-C8EB878C1A52}"/>
    <cellStyle name="Normal 8 2 4 6 4" xfId="10723" xr:uid="{5E8CA507-7F79-4A5A-9060-D6B814BC13E1}"/>
    <cellStyle name="Normal 8 2 4 6 4 2" xfId="23363" xr:uid="{D543428E-2214-49E7-B1F1-3BB7F48351D7}"/>
    <cellStyle name="Normal 8 2 4 6 5" xfId="19152" xr:uid="{3A0AF9C4-CC4A-4A30-8F88-B942AAEB5591}"/>
    <cellStyle name="Normal 8 2 4 7" xfId="2640" xr:uid="{00000000-0005-0000-0000-0000071D0000}"/>
    <cellStyle name="Normal 8 2 4 7 2" xfId="6925" xr:uid="{00000000-0005-0000-0000-0000081D0000}"/>
    <cellStyle name="Normal 8 2 4 7 2 2" xfId="15354" xr:uid="{6A3F1A04-11A8-47F7-A06B-D3905BFA663D}"/>
    <cellStyle name="Normal 8 2 4 7 2 3" xfId="27987" xr:uid="{7E582AD9-1CF5-4AD4-A9B8-919B639B87E9}"/>
    <cellStyle name="Normal 8 2 4 7 3" xfId="11136" xr:uid="{E6E2FD39-7BFF-44A4-AF0B-717B17B0C1FE}"/>
    <cellStyle name="Normal 8 2 4 7 3 2" xfId="23776" xr:uid="{CE23C40C-7230-42E0-B01D-37346509D20D}"/>
    <cellStyle name="Normal 8 2 4 7 4" xfId="19565" xr:uid="{8E700126-FD4E-47E8-AC42-3C0E2986716A}"/>
    <cellStyle name="Normal 8 2 4 8" xfId="4860" xr:uid="{00000000-0005-0000-0000-0000091D0000}"/>
    <cellStyle name="Normal 8 2 4 8 2" xfId="13289" xr:uid="{3F122D6B-3BA1-4000-93C0-1C320A112A7C}"/>
    <cellStyle name="Normal 8 2 4 8 3" xfId="25922" xr:uid="{772D16DB-8F61-47A1-990A-02D1D8BED80E}"/>
    <cellStyle name="Normal 8 2 4 9" xfId="9071" xr:uid="{3C10ED12-E41C-4901-8B0A-05D17EE63F1E}"/>
    <cellStyle name="Normal 8 2 4 9 2" xfId="21711" xr:uid="{D546F6C5-A188-439D-ACB3-3BA819EDFAF5}"/>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BB7FE0DC-2C5C-487A-92DE-E9C17FA463DC}"/>
    <cellStyle name="Normal 8 2 5 2 2 2 3" xfId="28482" xr:uid="{C2F05E1C-1F4F-4215-BF94-BFAF80E0BF80}"/>
    <cellStyle name="Normal 8 2 5 2 2 3" xfId="11631" xr:uid="{324055D2-4A05-42AC-B54D-2DA0B8261E60}"/>
    <cellStyle name="Normal 8 2 5 2 2 3 2" xfId="24271" xr:uid="{1D1477A9-4106-4A2E-9056-D7636BD3A389}"/>
    <cellStyle name="Normal 8 2 5 2 2 4" xfId="20060" xr:uid="{68AF96C2-AB84-4D95-9D54-40E49C80BB5A}"/>
    <cellStyle name="Normal 8 2 5 2 3" xfId="5275" xr:uid="{00000000-0005-0000-0000-00000E1D0000}"/>
    <cellStyle name="Normal 8 2 5 2 3 2" xfId="13704" xr:uid="{47108530-AF2B-4D3C-B41A-4CDBD69C9F8C}"/>
    <cellStyle name="Normal 8 2 5 2 3 3" xfId="26337" xr:uid="{F544DD4C-5272-4D41-B133-97752766EDEE}"/>
    <cellStyle name="Normal 8 2 5 2 4" xfId="9486" xr:uid="{CB2E08E0-FA8B-4FDD-9F7D-266FA41A5626}"/>
    <cellStyle name="Normal 8 2 5 2 4 2" xfId="22126" xr:uid="{652FA137-37BF-4167-AFE7-D939109E591E}"/>
    <cellStyle name="Normal 8 2 5 2 5" xfId="17915" xr:uid="{BBB0EDAD-4FB2-4A8A-BE6D-72A7A952AEDC}"/>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DA61A4D5-C55B-493A-B731-631021EFB667}"/>
    <cellStyle name="Normal 8 2 5 3 2 2 3" xfId="28895" xr:uid="{6570185F-DAAF-492A-9404-7F32F331A5AF}"/>
    <cellStyle name="Normal 8 2 5 3 2 3" xfId="12044" xr:uid="{FA4018A0-6B8B-4304-8CFF-7A4D0BD360F6}"/>
    <cellStyle name="Normal 8 2 5 3 2 3 2" xfId="24684" xr:uid="{F7FC0B5A-3DB9-4B06-9747-951454EF3882}"/>
    <cellStyle name="Normal 8 2 5 3 2 4" xfId="20473" xr:uid="{0BEE0CCA-EBB8-4E1D-AB0F-0E79B3E62F0A}"/>
    <cellStyle name="Normal 8 2 5 3 3" xfId="5688" xr:uid="{00000000-0005-0000-0000-0000121D0000}"/>
    <cellStyle name="Normal 8 2 5 3 3 2" xfId="14117" xr:uid="{60202FBE-0932-4482-8B32-EB61BA6A729B}"/>
    <cellStyle name="Normal 8 2 5 3 3 3" xfId="26750" xr:uid="{82169BE5-BF01-445C-8BC6-F62E927C81B8}"/>
    <cellStyle name="Normal 8 2 5 3 4" xfId="9899" xr:uid="{98ADA59F-6E7A-42A4-A562-DFC27E1762E5}"/>
    <cellStyle name="Normal 8 2 5 3 4 2" xfId="22539" xr:uid="{C6CBEDFA-487B-4404-B97A-4F2E2D6106EC}"/>
    <cellStyle name="Normal 8 2 5 3 5" xfId="18328" xr:uid="{8CB21D99-43CE-4D4C-95F6-16B285A4E774}"/>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6E640BFF-57E8-47B5-AB44-38C4EB4AA050}"/>
    <cellStyle name="Normal 8 2 5 4 2 2 3" xfId="29308" xr:uid="{8163DF30-49AF-45DD-9819-6627A05DDFA9}"/>
    <cellStyle name="Normal 8 2 5 4 2 3" xfId="12457" xr:uid="{07D01085-7D52-419F-BCD0-C8E5845CBDD4}"/>
    <cellStyle name="Normal 8 2 5 4 2 3 2" xfId="25097" xr:uid="{FC11F233-49CF-479C-9330-1AF542C75F82}"/>
    <cellStyle name="Normal 8 2 5 4 2 4" xfId="20886" xr:uid="{9628B864-3686-495B-83A9-DC55A5898330}"/>
    <cellStyle name="Normal 8 2 5 4 3" xfId="6101" xr:uid="{00000000-0005-0000-0000-0000161D0000}"/>
    <cellStyle name="Normal 8 2 5 4 3 2" xfId="14530" xr:uid="{F7B77F4A-08D6-4F1F-884D-30192ECD6304}"/>
    <cellStyle name="Normal 8 2 5 4 3 3" xfId="27163" xr:uid="{D50763C9-C05B-4BB8-B04F-45408FB4D66D}"/>
    <cellStyle name="Normal 8 2 5 4 4" xfId="10312" xr:uid="{3E3889E2-AA42-4916-A904-3CF59FFEE747}"/>
    <cellStyle name="Normal 8 2 5 4 4 2" xfId="22952" xr:uid="{C219C56C-35C0-4AD5-AAF5-F134646C72F1}"/>
    <cellStyle name="Normal 8 2 5 4 5" xfId="18741" xr:uid="{242D48F4-ACEB-4B92-ADE0-BE2712A6701C}"/>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172DC6BF-25D2-40A4-84F4-1C1ADDC34877}"/>
    <cellStyle name="Normal 8 2 5 5 2 2 3" xfId="29721" xr:uid="{05E22E65-745C-4DAF-B0B3-9E8BACB3BC0C}"/>
    <cellStyle name="Normal 8 2 5 5 2 3" xfId="12870" xr:uid="{AD825AC4-E79D-45D5-83F1-025E808568E5}"/>
    <cellStyle name="Normal 8 2 5 5 2 3 2" xfId="25510" xr:uid="{EB6C1BF2-1706-4BC1-B3C9-27F88187EC70}"/>
    <cellStyle name="Normal 8 2 5 5 2 4" xfId="21299" xr:uid="{2725B836-54BB-48CA-BB81-6E80A987EFA4}"/>
    <cellStyle name="Normal 8 2 5 5 3" xfId="6514" xr:uid="{00000000-0005-0000-0000-00001A1D0000}"/>
    <cellStyle name="Normal 8 2 5 5 3 2" xfId="14943" xr:uid="{5391415E-F30E-462F-BA8F-2ECE0E8BF457}"/>
    <cellStyle name="Normal 8 2 5 5 3 3" xfId="27576" xr:uid="{EA604489-1A7D-421E-94B1-0D747851241D}"/>
    <cellStyle name="Normal 8 2 5 5 4" xfId="10725" xr:uid="{79BBE0BC-86AC-4331-98CA-330842D1E904}"/>
    <cellStyle name="Normal 8 2 5 5 4 2" xfId="23365" xr:uid="{38B6E9B3-1CB5-4974-83E5-E579E5427E32}"/>
    <cellStyle name="Normal 8 2 5 5 5" xfId="19154" xr:uid="{14AD93E0-5DAD-4AAA-8B7C-95D104040A5C}"/>
    <cellStyle name="Normal 8 2 5 6" xfId="2642" xr:uid="{00000000-0005-0000-0000-00001B1D0000}"/>
    <cellStyle name="Normal 8 2 5 6 2" xfId="6927" xr:uid="{00000000-0005-0000-0000-00001C1D0000}"/>
    <cellStyle name="Normal 8 2 5 6 2 2" xfId="15356" xr:uid="{E2AEC0C9-8C9E-4595-BDA7-EF450E4D21CE}"/>
    <cellStyle name="Normal 8 2 5 6 2 3" xfId="27989" xr:uid="{4606AC9A-206C-432C-9576-7B0941C65457}"/>
    <cellStyle name="Normal 8 2 5 6 3" xfId="11138" xr:uid="{43583B9B-B912-4CCC-97FD-E1A80DC950CA}"/>
    <cellStyle name="Normal 8 2 5 6 3 2" xfId="23778" xr:uid="{F69BF172-D9CA-4F10-979E-36F85A3570A4}"/>
    <cellStyle name="Normal 8 2 5 6 4" xfId="19567" xr:uid="{7336F8BC-C511-4919-8C33-15A154D2220D}"/>
    <cellStyle name="Normal 8 2 5 7" xfId="4862" xr:uid="{00000000-0005-0000-0000-00001D1D0000}"/>
    <cellStyle name="Normal 8 2 5 7 2" xfId="13291" xr:uid="{96C63217-8844-4ABC-8246-C69AB26C4533}"/>
    <cellStyle name="Normal 8 2 5 7 3" xfId="25924" xr:uid="{FC264152-0902-406F-864A-4AD1FE805292}"/>
    <cellStyle name="Normal 8 2 5 8" xfId="9073" xr:uid="{B69221FA-2386-4FB2-805A-B5EB6D8E18AB}"/>
    <cellStyle name="Normal 8 2 5 8 2" xfId="21713" xr:uid="{44C76FB9-37A7-4AE0-938F-9F41F102437E}"/>
    <cellStyle name="Normal 8 2 5 9" xfId="17502" xr:uid="{407124E2-708E-45DB-9992-3F8563216FD0}"/>
    <cellStyle name="Normal 8 2 6" xfId="947" xr:uid="{00000000-0005-0000-0000-00001E1D0000}"/>
    <cellStyle name="Normal 8 2 6 2" xfId="3181" xr:uid="{00000000-0005-0000-0000-00001F1D0000}"/>
    <cellStyle name="Normal 8 2 6 2 2" xfId="7405" xr:uid="{00000000-0005-0000-0000-0000201D0000}"/>
    <cellStyle name="Normal 8 2 6 2 2 2" xfId="15834" xr:uid="{D2561AFC-7928-4789-B281-79FA486FEE1B}"/>
    <cellStyle name="Normal 8 2 6 2 2 3" xfId="28467" xr:uid="{3991D2E8-2DF6-4796-AA79-40CAEF0AFDFF}"/>
    <cellStyle name="Normal 8 2 6 2 3" xfId="11616" xr:uid="{3D4A9A66-2A54-4D64-9BDA-BEB527BF726A}"/>
    <cellStyle name="Normal 8 2 6 2 3 2" xfId="24256" xr:uid="{11EBE477-284E-48DF-9178-EC7C8B8BD4CF}"/>
    <cellStyle name="Normal 8 2 6 2 4" xfId="20045" xr:uid="{0113F9AB-EA68-4E51-8719-4B45D99D8613}"/>
    <cellStyle name="Normal 8 2 6 3" xfId="5260" xr:uid="{00000000-0005-0000-0000-0000211D0000}"/>
    <cellStyle name="Normal 8 2 6 3 2" xfId="13689" xr:uid="{625D338F-D5F6-4AC6-B3AC-8B5F875BA487}"/>
    <cellStyle name="Normal 8 2 6 3 3" xfId="26322" xr:uid="{43C9F45E-3C4E-4B59-9BA5-85B153D56F3A}"/>
    <cellStyle name="Normal 8 2 6 4" xfId="9471" xr:uid="{6F71FC8E-E52D-49C9-8D55-812DC09D4AC2}"/>
    <cellStyle name="Normal 8 2 6 4 2" xfId="22111" xr:uid="{DC1148C8-9D42-41AE-BDD0-4B95B9CF5C33}"/>
    <cellStyle name="Normal 8 2 6 5" xfId="17900" xr:uid="{16A6D164-860A-4A79-BE09-9E44169C1A89}"/>
    <cellStyle name="Normal 8 2 7" xfId="1364" xr:uid="{00000000-0005-0000-0000-0000221D0000}"/>
    <cellStyle name="Normal 8 2 7 2" xfId="3594" xr:uid="{00000000-0005-0000-0000-0000231D0000}"/>
    <cellStyle name="Normal 8 2 7 2 2" xfId="7818" xr:uid="{00000000-0005-0000-0000-0000241D0000}"/>
    <cellStyle name="Normal 8 2 7 2 2 2" xfId="16247" xr:uid="{5AE573EE-7DF5-4277-B0B8-11B6351099C7}"/>
    <cellStyle name="Normal 8 2 7 2 2 3" xfId="28880" xr:uid="{BA1D2E3E-9161-42CE-ADA3-0E8E83837EF9}"/>
    <cellStyle name="Normal 8 2 7 2 3" xfId="12029" xr:uid="{9B9BD60A-F49D-46B5-BD88-C5C489D0D7E2}"/>
    <cellStyle name="Normal 8 2 7 2 3 2" xfId="24669" xr:uid="{0A82EBBA-3E42-4C8E-877F-3A27A5E1674E}"/>
    <cellStyle name="Normal 8 2 7 2 4" xfId="20458" xr:uid="{296B09F9-8931-4C63-8513-43E7E85A2BB5}"/>
    <cellStyle name="Normal 8 2 7 3" xfId="5673" xr:uid="{00000000-0005-0000-0000-0000251D0000}"/>
    <cellStyle name="Normal 8 2 7 3 2" xfId="14102" xr:uid="{7E35CD0F-0544-44B1-8667-EB37988A7C7E}"/>
    <cellStyle name="Normal 8 2 7 3 3" xfId="26735" xr:uid="{3C921650-D6E8-47F8-8AAF-9518912E5CD0}"/>
    <cellStyle name="Normal 8 2 7 4" xfId="9884" xr:uid="{E0A71401-3148-48E9-A1B2-1091C111C8F1}"/>
    <cellStyle name="Normal 8 2 7 4 2" xfId="22524" xr:uid="{130FC1A6-6D5C-44B4-B24F-457A432B9F90}"/>
    <cellStyle name="Normal 8 2 7 5" xfId="18313" xr:uid="{BA9DC373-840C-47D0-8E31-4F8CAF518FCB}"/>
    <cellStyle name="Normal 8 2 8" xfId="1777" xr:uid="{00000000-0005-0000-0000-0000261D0000}"/>
    <cellStyle name="Normal 8 2 8 2" xfId="4007" xr:uid="{00000000-0005-0000-0000-0000271D0000}"/>
    <cellStyle name="Normal 8 2 8 2 2" xfId="8231" xr:uid="{00000000-0005-0000-0000-0000281D0000}"/>
    <cellStyle name="Normal 8 2 8 2 2 2" xfId="16660" xr:uid="{CA0B0F14-C30C-4E16-B852-67E2DED85117}"/>
    <cellStyle name="Normal 8 2 8 2 2 3" xfId="29293" xr:uid="{0E4D6CBA-CBC1-4F85-B180-F2090F9AAB40}"/>
    <cellStyle name="Normal 8 2 8 2 3" xfId="12442" xr:uid="{2E591F3F-525D-4751-ACCA-4191E48BA3E1}"/>
    <cellStyle name="Normal 8 2 8 2 3 2" xfId="25082" xr:uid="{5D664BE8-5142-4217-83FE-D623CDC24F50}"/>
    <cellStyle name="Normal 8 2 8 2 4" xfId="20871" xr:uid="{AF1C607B-CDB5-4815-9612-46C2506F18CE}"/>
    <cellStyle name="Normal 8 2 8 3" xfId="6086" xr:uid="{00000000-0005-0000-0000-0000291D0000}"/>
    <cellStyle name="Normal 8 2 8 3 2" xfId="14515" xr:uid="{B4D7F7A0-DEE7-4A11-A2F8-E4260A3A390D}"/>
    <cellStyle name="Normal 8 2 8 3 3" xfId="27148" xr:uid="{A5BF3373-3145-4C3A-BEB7-21B19BE552B8}"/>
    <cellStyle name="Normal 8 2 8 4" xfId="10297" xr:uid="{A9C9796E-8693-40D7-BFF7-F116FCF70D41}"/>
    <cellStyle name="Normal 8 2 8 4 2" xfId="22937" xr:uid="{32F7DA96-2890-44A3-84A0-6F2888A691A6}"/>
    <cellStyle name="Normal 8 2 8 5" xfId="18726" xr:uid="{8625492B-6975-489A-8138-B30FF76CB62E}"/>
    <cellStyle name="Normal 8 2 9" xfId="2191" xr:uid="{00000000-0005-0000-0000-00002A1D0000}"/>
    <cellStyle name="Normal 8 2 9 2" xfId="4420" xr:uid="{00000000-0005-0000-0000-00002B1D0000}"/>
    <cellStyle name="Normal 8 2 9 2 2" xfId="8644" xr:uid="{00000000-0005-0000-0000-00002C1D0000}"/>
    <cellStyle name="Normal 8 2 9 2 2 2" xfId="17073" xr:uid="{E4F9B54F-240F-47BF-B0D4-FF216E96D68D}"/>
    <cellStyle name="Normal 8 2 9 2 2 3" xfId="29706" xr:uid="{6F87B07F-D523-4B8F-A505-2C12E73D468E}"/>
    <cellStyle name="Normal 8 2 9 2 3" xfId="12855" xr:uid="{7D936ED4-4F9D-4169-A6D4-0CB75A41F1B4}"/>
    <cellStyle name="Normal 8 2 9 2 3 2" xfId="25495" xr:uid="{8C912F3F-095D-4655-B618-07131CF43733}"/>
    <cellStyle name="Normal 8 2 9 2 4" xfId="21284" xr:uid="{9392C1D4-FB2F-4B02-89B4-3F538D0E48E5}"/>
    <cellStyle name="Normal 8 2 9 3" xfId="6499" xr:uid="{00000000-0005-0000-0000-00002D1D0000}"/>
    <cellStyle name="Normal 8 2 9 3 2" xfId="14928" xr:uid="{0BC8D1D1-3EEB-4525-A10F-31E10F08EB1E}"/>
    <cellStyle name="Normal 8 2 9 3 3" xfId="27561" xr:uid="{DAA767A5-6B13-4611-A03C-A6C9F997314B}"/>
    <cellStyle name="Normal 8 2 9 4" xfId="10710" xr:uid="{1FC77431-F058-4D85-8D52-1A1BEDD69CE4}"/>
    <cellStyle name="Normal 8 2 9 4 2" xfId="23350" xr:uid="{13BAF6B0-9B86-42EB-A390-C3CD30D32AEC}"/>
    <cellStyle name="Normal 8 2 9 5" xfId="19139" xr:uid="{F7D9D895-97E4-4B88-8877-8FD3796CFFBA}"/>
    <cellStyle name="Normal 8 3" xfId="495" xr:uid="{00000000-0005-0000-0000-00002E1D0000}"/>
    <cellStyle name="Normal 8 3 10" xfId="4863" xr:uid="{00000000-0005-0000-0000-00002F1D0000}"/>
    <cellStyle name="Normal 8 3 10 2" xfId="13292" xr:uid="{5EB27CDE-C096-4F91-A2C8-C557FF91AD04}"/>
    <cellStyle name="Normal 8 3 10 3" xfId="25925" xr:uid="{27619BF7-5B4B-4E4E-ABE8-47454F5A1F55}"/>
    <cellStyle name="Normal 8 3 11" xfId="9074" xr:uid="{CEB5D7D1-8BAA-4B49-AFD4-971868331818}"/>
    <cellStyle name="Normal 8 3 11 2" xfId="21714" xr:uid="{4BD7BBA9-6E44-422B-B927-498E286975BE}"/>
    <cellStyle name="Normal 8 3 12" xfId="17503" xr:uid="{2A9915CF-C233-4A8E-9EF2-412C11888632}"/>
    <cellStyle name="Normal 8 3 2" xfId="496" xr:uid="{00000000-0005-0000-0000-0000301D0000}"/>
    <cellStyle name="Normal 8 3 2 10" xfId="9075" xr:uid="{371728CE-5183-465C-9D8F-B71B5417535E}"/>
    <cellStyle name="Normal 8 3 2 10 2" xfId="21715" xr:uid="{7CBB345B-BEA8-479E-B356-F614C41F4F35}"/>
    <cellStyle name="Normal 8 3 2 11" xfId="17504" xr:uid="{A87E743F-50ED-4C64-98BF-FC935868DD51}"/>
    <cellStyle name="Normal 8 3 2 2" xfId="497" xr:uid="{00000000-0005-0000-0000-0000311D0000}"/>
    <cellStyle name="Normal 8 3 2 2 10" xfId="17505" xr:uid="{74303AFD-245B-4F2F-BE92-F5BE86C9E497}"/>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300D38F0-7267-40C0-BF23-35973EF8ADDA}"/>
    <cellStyle name="Normal 8 3 2 2 2 2 2 2 3" xfId="28486" xr:uid="{090FAC73-6849-48C3-B233-905C8D45F161}"/>
    <cellStyle name="Normal 8 3 2 2 2 2 2 3" xfId="11635" xr:uid="{461FB76A-7CA7-4485-9780-FCC7091E8F63}"/>
    <cellStyle name="Normal 8 3 2 2 2 2 2 3 2" xfId="24275" xr:uid="{E17325F9-FF75-448C-B5A7-554ACE81CA79}"/>
    <cellStyle name="Normal 8 3 2 2 2 2 2 4" xfId="20064" xr:uid="{3009D327-63C8-4E08-B603-5D743C8AD643}"/>
    <cellStyle name="Normal 8 3 2 2 2 2 3" xfId="5279" xr:uid="{00000000-0005-0000-0000-0000361D0000}"/>
    <cellStyle name="Normal 8 3 2 2 2 2 3 2" xfId="13708" xr:uid="{9997AF5A-3418-4F60-9549-F19FBB6AD1B7}"/>
    <cellStyle name="Normal 8 3 2 2 2 2 3 3" xfId="26341" xr:uid="{1A1D9CE6-0BD0-4F38-A22A-BEEFCEB3315A}"/>
    <cellStyle name="Normal 8 3 2 2 2 2 4" xfId="9490" xr:uid="{AA997ED0-6725-4C1B-B160-EA71ADEF7284}"/>
    <cellStyle name="Normal 8 3 2 2 2 2 4 2" xfId="22130" xr:uid="{F8D0FF71-9E1C-46CE-A2CF-1140DD467EC6}"/>
    <cellStyle name="Normal 8 3 2 2 2 2 5" xfId="17919" xr:uid="{E56B8052-26E3-42B5-BBCE-7E55F82A5A7F}"/>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E79808E4-B605-456E-A807-A77A9EE216D0}"/>
    <cellStyle name="Normal 8 3 2 2 2 3 2 2 3" xfId="28899" xr:uid="{18BA8B4E-7A4E-460C-94FE-AA09D33F0C4E}"/>
    <cellStyle name="Normal 8 3 2 2 2 3 2 3" xfId="12048" xr:uid="{8FEF6220-CF0E-458F-9A4E-44FD0F5A468B}"/>
    <cellStyle name="Normal 8 3 2 2 2 3 2 3 2" xfId="24688" xr:uid="{8AB7EA20-DCED-4DC3-8BF0-A80D71E0646E}"/>
    <cellStyle name="Normal 8 3 2 2 2 3 2 4" xfId="20477" xr:uid="{8D25C599-4F25-4F54-A3A9-9D4B9E8971EE}"/>
    <cellStyle name="Normal 8 3 2 2 2 3 3" xfId="5692" xr:uid="{00000000-0005-0000-0000-00003A1D0000}"/>
    <cellStyle name="Normal 8 3 2 2 2 3 3 2" xfId="14121" xr:uid="{EDF7269D-1DB2-4AA0-8C0E-88300585A1D3}"/>
    <cellStyle name="Normal 8 3 2 2 2 3 3 3" xfId="26754" xr:uid="{3216F096-735E-47AE-A2D4-E94337328326}"/>
    <cellStyle name="Normal 8 3 2 2 2 3 4" xfId="9903" xr:uid="{499EC51F-8EBB-4BA4-AD0E-13A0B13B93A9}"/>
    <cellStyle name="Normal 8 3 2 2 2 3 4 2" xfId="22543" xr:uid="{AA23AC6F-FC81-4E2C-B232-CD7FD9872BAD}"/>
    <cellStyle name="Normal 8 3 2 2 2 3 5" xfId="18332" xr:uid="{B2BD960A-7D5F-420A-A5E8-08CE9711BF5F}"/>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0228C0F4-4BB7-48A8-82DB-3B62808F2A09}"/>
    <cellStyle name="Normal 8 3 2 2 2 4 2 2 3" xfId="29312" xr:uid="{3F2FC631-3705-4CD2-87B4-CC5E3642FBCE}"/>
    <cellStyle name="Normal 8 3 2 2 2 4 2 3" xfId="12461" xr:uid="{4F9A1CE9-9AF4-45BC-B9DD-6D336DDE97E3}"/>
    <cellStyle name="Normal 8 3 2 2 2 4 2 3 2" xfId="25101" xr:uid="{607360EA-72CD-4021-85CC-99FFCF9E3D1E}"/>
    <cellStyle name="Normal 8 3 2 2 2 4 2 4" xfId="20890" xr:uid="{2858F6DF-2559-49E7-A973-F21347001410}"/>
    <cellStyle name="Normal 8 3 2 2 2 4 3" xfId="6105" xr:uid="{00000000-0005-0000-0000-00003E1D0000}"/>
    <cellStyle name="Normal 8 3 2 2 2 4 3 2" xfId="14534" xr:uid="{B52CEEE1-D1BD-4D35-895A-527FFCED3980}"/>
    <cellStyle name="Normal 8 3 2 2 2 4 3 3" xfId="27167" xr:uid="{994E45D0-8FA5-4E45-9C68-0CF4521D4FFC}"/>
    <cellStyle name="Normal 8 3 2 2 2 4 4" xfId="10316" xr:uid="{C71B8296-66AF-43B9-A16A-6492B0FBF5A7}"/>
    <cellStyle name="Normal 8 3 2 2 2 4 4 2" xfId="22956" xr:uid="{9C749CB4-E4AA-43C8-BF73-E5432DB1FD4E}"/>
    <cellStyle name="Normal 8 3 2 2 2 4 5" xfId="18745" xr:uid="{0876B8B7-DC36-4F39-B71D-4F35D8E5EB44}"/>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09F84DBD-7843-474B-9CD1-3065DC215F45}"/>
    <cellStyle name="Normal 8 3 2 2 2 5 2 2 3" xfId="29725" xr:uid="{E48CAF50-C91E-4EA2-8194-44EB6C38E2FA}"/>
    <cellStyle name="Normal 8 3 2 2 2 5 2 3" xfId="12874" xr:uid="{2E0A1619-0CD6-4184-8874-5A3A71A80924}"/>
    <cellStyle name="Normal 8 3 2 2 2 5 2 3 2" xfId="25514" xr:uid="{D6AA6A6B-FA5B-447C-B5FF-9F7DB615FEBA}"/>
    <cellStyle name="Normal 8 3 2 2 2 5 2 4" xfId="21303" xr:uid="{252DA8F1-2FAE-4361-9C42-A137D2B6282E}"/>
    <cellStyle name="Normal 8 3 2 2 2 5 3" xfId="6518" xr:uid="{00000000-0005-0000-0000-0000421D0000}"/>
    <cellStyle name="Normal 8 3 2 2 2 5 3 2" xfId="14947" xr:uid="{E445521D-E901-4AEA-82CC-CE962AF8A497}"/>
    <cellStyle name="Normal 8 3 2 2 2 5 3 3" xfId="27580" xr:uid="{755FB33F-7886-4F37-AEF2-EDFF88108497}"/>
    <cellStyle name="Normal 8 3 2 2 2 5 4" xfId="10729" xr:uid="{6EFEAB0F-0C89-4C6C-ADA6-D96A144F013A}"/>
    <cellStyle name="Normal 8 3 2 2 2 5 4 2" xfId="23369" xr:uid="{7A3508D9-C261-480C-897C-0A7937E6FDEF}"/>
    <cellStyle name="Normal 8 3 2 2 2 5 5" xfId="19158" xr:uid="{AC689A2A-4095-46A7-9E39-4042A646EFE1}"/>
    <cellStyle name="Normal 8 3 2 2 2 6" xfId="2646" xr:uid="{00000000-0005-0000-0000-0000431D0000}"/>
    <cellStyle name="Normal 8 3 2 2 2 6 2" xfId="6931" xr:uid="{00000000-0005-0000-0000-0000441D0000}"/>
    <cellStyle name="Normal 8 3 2 2 2 6 2 2" xfId="15360" xr:uid="{B22120E3-FC12-4375-9443-D5F5BB5B96BA}"/>
    <cellStyle name="Normal 8 3 2 2 2 6 2 3" xfId="27993" xr:uid="{61C930A0-DD1B-4D3A-A04B-AAFF5C5CA3E3}"/>
    <cellStyle name="Normal 8 3 2 2 2 6 3" xfId="11142" xr:uid="{8B85D3D8-0C4E-4ED2-81FC-C14CD1A007BF}"/>
    <cellStyle name="Normal 8 3 2 2 2 6 3 2" xfId="23782" xr:uid="{6C8DEF06-8D95-4910-972E-35998B4341E6}"/>
    <cellStyle name="Normal 8 3 2 2 2 6 4" xfId="19571" xr:uid="{6A2FA7A4-383A-4A33-8F67-749F6CCF41CC}"/>
    <cellStyle name="Normal 8 3 2 2 2 7" xfId="4866" xr:uid="{00000000-0005-0000-0000-0000451D0000}"/>
    <cellStyle name="Normal 8 3 2 2 2 7 2" xfId="13295" xr:uid="{42C86DC0-44DB-4FE8-B494-CE7D2D3756EE}"/>
    <cellStyle name="Normal 8 3 2 2 2 7 3" xfId="25928" xr:uid="{3C398ED9-FBFA-459B-9EB1-FD845528470D}"/>
    <cellStyle name="Normal 8 3 2 2 2 8" xfId="9077" xr:uid="{D604146E-F94C-4F1A-8F73-22F1B0F93F18}"/>
    <cellStyle name="Normal 8 3 2 2 2 8 2" xfId="21717" xr:uid="{AB06EB54-EBEF-4061-9FD8-F9AC6AD3EFAE}"/>
    <cellStyle name="Normal 8 3 2 2 2 9" xfId="17506" xr:uid="{E3282AC9-7996-44F4-BB4E-F97DD4D71F12}"/>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AAD57605-C574-4C66-B595-486B8E5E0C11}"/>
    <cellStyle name="Normal 8 3 2 2 3 2 2 3" xfId="28485" xr:uid="{FED65DB9-C002-4D88-A6F1-4351CB1C4E93}"/>
    <cellStyle name="Normal 8 3 2 2 3 2 3" xfId="11634" xr:uid="{A51EAC19-CA9D-4580-AD0F-403C4446FC4C}"/>
    <cellStyle name="Normal 8 3 2 2 3 2 3 2" xfId="24274" xr:uid="{5E4F741F-0011-457D-BB2F-2F9649D786C7}"/>
    <cellStyle name="Normal 8 3 2 2 3 2 4" xfId="20063" xr:uid="{25E7CF7C-3292-40D9-A992-2DABF87505A2}"/>
    <cellStyle name="Normal 8 3 2 2 3 3" xfId="5278" xr:uid="{00000000-0005-0000-0000-0000491D0000}"/>
    <cellStyle name="Normal 8 3 2 2 3 3 2" xfId="13707" xr:uid="{E752D293-0F11-4C19-A1C2-8CE1CC8467DF}"/>
    <cellStyle name="Normal 8 3 2 2 3 3 3" xfId="26340" xr:uid="{3B3E3F64-2571-4445-A349-FD4545309DC1}"/>
    <cellStyle name="Normal 8 3 2 2 3 4" xfId="9489" xr:uid="{2ACDAA02-251C-42E5-86D8-5BC07C2CCE2E}"/>
    <cellStyle name="Normal 8 3 2 2 3 4 2" xfId="22129" xr:uid="{04817373-C15B-4696-A3DB-90C11F962087}"/>
    <cellStyle name="Normal 8 3 2 2 3 5" xfId="17918" xr:uid="{6612A6AB-156F-4D6A-9B41-0F5A488A9273}"/>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BD88F44E-F448-489C-8070-778400446F4B}"/>
    <cellStyle name="Normal 8 3 2 2 4 2 2 3" xfId="28898" xr:uid="{7A6EA1BE-E23F-43B1-87B0-E86181743B8F}"/>
    <cellStyle name="Normal 8 3 2 2 4 2 3" xfId="12047" xr:uid="{13E3231F-2DCF-41A5-9B4C-A8CB97509276}"/>
    <cellStyle name="Normal 8 3 2 2 4 2 3 2" xfId="24687" xr:uid="{189F6F15-ED62-40C2-8058-B5EFB7DA89BF}"/>
    <cellStyle name="Normal 8 3 2 2 4 2 4" xfId="20476" xr:uid="{A5ABEDCC-FBA6-49C2-BA7A-688785C8AE9E}"/>
    <cellStyle name="Normal 8 3 2 2 4 3" xfId="5691" xr:uid="{00000000-0005-0000-0000-00004D1D0000}"/>
    <cellStyle name="Normal 8 3 2 2 4 3 2" xfId="14120" xr:uid="{59AAE144-F385-48A8-B106-E9877234C658}"/>
    <cellStyle name="Normal 8 3 2 2 4 3 3" xfId="26753" xr:uid="{22CA0467-E5E4-40E0-8F4B-3D94871FCF97}"/>
    <cellStyle name="Normal 8 3 2 2 4 4" xfId="9902" xr:uid="{951649A4-CDB5-4881-8557-DFC4F6523AEE}"/>
    <cellStyle name="Normal 8 3 2 2 4 4 2" xfId="22542" xr:uid="{4F999C18-F857-48FD-A7AA-AD5482E62D39}"/>
    <cellStyle name="Normal 8 3 2 2 4 5" xfId="18331" xr:uid="{ADF8BB4E-0958-4D5C-9CF8-9406D74EF6F5}"/>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E6E788E6-2087-4AA6-8079-E06BCF2BD47B}"/>
    <cellStyle name="Normal 8 3 2 2 5 2 2 3" xfId="29311" xr:uid="{9B199E5D-6248-4FFC-B30F-540D167DD19C}"/>
    <cellStyle name="Normal 8 3 2 2 5 2 3" xfId="12460" xr:uid="{25EB2332-8422-4796-9C8B-47C1045B79D5}"/>
    <cellStyle name="Normal 8 3 2 2 5 2 3 2" xfId="25100" xr:uid="{EDEEE129-5B68-4393-BCA8-E6E6370CEE04}"/>
    <cellStyle name="Normal 8 3 2 2 5 2 4" xfId="20889" xr:uid="{894C7C15-5DD5-4ED8-A757-E19DF9D80A7E}"/>
    <cellStyle name="Normal 8 3 2 2 5 3" xfId="6104" xr:uid="{00000000-0005-0000-0000-0000511D0000}"/>
    <cellStyle name="Normal 8 3 2 2 5 3 2" xfId="14533" xr:uid="{E1C60665-88D5-4398-ABA2-89E056587C9F}"/>
    <cellStyle name="Normal 8 3 2 2 5 3 3" xfId="27166" xr:uid="{27BDD570-EA7D-4DBF-BE8F-9DD446F63E8F}"/>
    <cellStyle name="Normal 8 3 2 2 5 4" xfId="10315" xr:uid="{034EBBE9-1403-4724-A7F2-E3050511C240}"/>
    <cellStyle name="Normal 8 3 2 2 5 4 2" xfId="22955" xr:uid="{57EDD7D6-B2BA-4A8E-8CAA-FA860078F08B}"/>
    <cellStyle name="Normal 8 3 2 2 5 5" xfId="18744" xr:uid="{7ED824D4-3674-4625-B52F-6228E2C75F7D}"/>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9B4BF841-3EC2-4047-B3F6-A5909B5CAD64}"/>
    <cellStyle name="Normal 8 3 2 2 6 2 2 3" xfId="29724" xr:uid="{DBCC5382-D5BC-4380-931B-D6C32D355D56}"/>
    <cellStyle name="Normal 8 3 2 2 6 2 3" xfId="12873" xr:uid="{FCBD3AA5-098F-4853-A727-47E0D90787C4}"/>
    <cellStyle name="Normal 8 3 2 2 6 2 3 2" xfId="25513" xr:uid="{A720CE03-5455-4F16-B410-5E32CD82F3D6}"/>
    <cellStyle name="Normal 8 3 2 2 6 2 4" xfId="21302" xr:uid="{34B680C0-F5A9-442F-B148-518C72BC2F2F}"/>
    <cellStyle name="Normal 8 3 2 2 6 3" xfId="6517" xr:uid="{00000000-0005-0000-0000-0000551D0000}"/>
    <cellStyle name="Normal 8 3 2 2 6 3 2" xfId="14946" xr:uid="{AA1CAE0B-B233-4051-BCE3-1CCC70AA0ACD}"/>
    <cellStyle name="Normal 8 3 2 2 6 3 3" xfId="27579" xr:uid="{21C16BA7-CAF5-4AEC-8879-D5C58FF098B5}"/>
    <cellStyle name="Normal 8 3 2 2 6 4" xfId="10728" xr:uid="{3F2D21E9-192E-45D7-9C94-BECC8A7AA641}"/>
    <cellStyle name="Normal 8 3 2 2 6 4 2" xfId="23368" xr:uid="{AD4A9429-392A-478B-B5DB-379DC70AAAC2}"/>
    <cellStyle name="Normal 8 3 2 2 6 5" xfId="19157" xr:uid="{18952D47-FA48-4C32-98F8-0DD4C8132D9E}"/>
    <cellStyle name="Normal 8 3 2 2 7" xfId="2645" xr:uid="{00000000-0005-0000-0000-0000561D0000}"/>
    <cellStyle name="Normal 8 3 2 2 7 2" xfId="6930" xr:uid="{00000000-0005-0000-0000-0000571D0000}"/>
    <cellStyle name="Normal 8 3 2 2 7 2 2" xfId="15359" xr:uid="{EAA4F7F3-E4D4-4B12-9B69-2D982BBA77F3}"/>
    <cellStyle name="Normal 8 3 2 2 7 2 3" xfId="27992" xr:uid="{6A83272C-2EE8-46C1-9179-9573F097EF5A}"/>
    <cellStyle name="Normal 8 3 2 2 7 3" xfId="11141" xr:uid="{98E8DEC4-E57A-45BB-BDCF-C7EDD3A7748D}"/>
    <cellStyle name="Normal 8 3 2 2 7 3 2" xfId="23781" xr:uid="{072247FA-E930-44A8-94A6-329DFE16CBD6}"/>
    <cellStyle name="Normal 8 3 2 2 7 4" xfId="19570" xr:uid="{78E25AFA-A2B2-45FF-92D9-4A6144FC97F9}"/>
    <cellStyle name="Normal 8 3 2 2 8" xfId="4865" xr:uid="{00000000-0005-0000-0000-0000581D0000}"/>
    <cellStyle name="Normal 8 3 2 2 8 2" xfId="13294" xr:uid="{FE51EEAB-3E76-498E-B7AF-F81B639418F7}"/>
    <cellStyle name="Normal 8 3 2 2 8 3" xfId="25927" xr:uid="{EC89463F-736C-43E2-9F61-9946D47E9B0A}"/>
    <cellStyle name="Normal 8 3 2 2 9" xfId="9076" xr:uid="{6DEE0519-DD66-4155-98F3-816B65124339}"/>
    <cellStyle name="Normal 8 3 2 2 9 2" xfId="21716" xr:uid="{ACABBA78-8751-4B65-B283-7134E648A601}"/>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2107508A-33C6-438D-8A45-6BD35953832D}"/>
    <cellStyle name="Normal 8 3 2 3 2 2 2 3" xfId="28487" xr:uid="{779C91C7-29AE-4D0C-9C90-5C7E72988280}"/>
    <cellStyle name="Normal 8 3 2 3 2 2 3" xfId="11636" xr:uid="{55971237-B1FC-498B-A88F-928AE939E78C}"/>
    <cellStyle name="Normal 8 3 2 3 2 2 3 2" xfId="24276" xr:uid="{42296C7A-B550-4724-8A7F-F45C737F6956}"/>
    <cellStyle name="Normal 8 3 2 3 2 2 4" xfId="20065" xr:uid="{3B7BA94E-2870-4C8A-B018-4FD3E1D65703}"/>
    <cellStyle name="Normal 8 3 2 3 2 3" xfId="5280" xr:uid="{00000000-0005-0000-0000-00005D1D0000}"/>
    <cellStyle name="Normal 8 3 2 3 2 3 2" xfId="13709" xr:uid="{FCCB942F-EA03-43C9-9AA4-16D515A99F13}"/>
    <cellStyle name="Normal 8 3 2 3 2 3 3" xfId="26342" xr:uid="{6B6266B3-B811-4D17-A4DB-69B83C0110CB}"/>
    <cellStyle name="Normal 8 3 2 3 2 4" xfId="9491" xr:uid="{6C229152-8580-4E29-98B8-569DE571C8FE}"/>
    <cellStyle name="Normal 8 3 2 3 2 4 2" xfId="22131" xr:uid="{D74D3B5C-F845-411F-AA15-BD9277DCCC76}"/>
    <cellStyle name="Normal 8 3 2 3 2 5" xfId="17920" xr:uid="{D0881988-54A1-4C44-999F-8D7DCD6CC13C}"/>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056C66CB-F97B-4CBA-85AA-4B860138567C}"/>
    <cellStyle name="Normal 8 3 2 3 3 2 2 3" xfId="28900" xr:uid="{2CBFBD02-9237-4A25-86EF-6A348B05B7D8}"/>
    <cellStyle name="Normal 8 3 2 3 3 2 3" xfId="12049" xr:uid="{AC1E6B22-FF36-4124-8D7D-6725A6064286}"/>
    <cellStyle name="Normal 8 3 2 3 3 2 3 2" xfId="24689" xr:uid="{6F750098-1C40-438A-9DC9-CD069BCAE1E0}"/>
    <cellStyle name="Normal 8 3 2 3 3 2 4" xfId="20478" xr:uid="{7520CD11-0F02-428C-852B-6E4E1696C915}"/>
    <cellStyle name="Normal 8 3 2 3 3 3" xfId="5693" xr:uid="{00000000-0005-0000-0000-0000611D0000}"/>
    <cellStyle name="Normal 8 3 2 3 3 3 2" xfId="14122" xr:uid="{BC00F747-9DF0-4775-A188-F9381E4EB4E7}"/>
    <cellStyle name="Normal 8 3 2 3 3 3 3" xfId="26755" xr:uid="{99739A39-6B1B-4572-969A-661DAF16A824}"/>
    <cellStyle name="Normal 8 3 2 3 3 4" xfId="9904" xr:uid="{E6A75EB9-2A4D-4F2B-A4BC-0C154A384A19}"/>
    <cellStyle name="Normal 8 3 2 3 3 4 2" xfId="22544" xr:uid="{0A6A2F19-90EC-415B-B9BE-87C91514018D}"/>
    <cellStyle name="Normal 8 3 2 3 3 5" xfId="18333" xr:uid="{102B2A2A-C989-4409-9D25-C82C72350D59}"/>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0A12D671-A69F-4FB1-A9D1-E5BCF5DA2FB4}"/>
    <cellStyle name="Normal 8 3 2 3 4 2 2 3" xfId="29313" xr:uid="{BE9B3F7A-7B4C-4894-9B89-334B922E8516}"/>
    <cellStyle name="Normal 8 3 2 3 4 2 3" xfId="12462" xr:uid="{F836ACB2-5BF6-49D2-BF66-F621E27A9D09}"/>
    <cellStyle name="Normal 8 3 2 3 4 2 3 2" xfId="25102" xr:uid="{DE7A3207-3F96-43DD-970A-617DD0764DCD}"/>
    <cellStyle name="Normal 8 3 2 3 4 2 4" xfId="20891" xr:uid="{72327308-9905-4527-9398-5772ED1EDB8B}"/>
    <cellStyle name="Normal 8 3 2 3 4 3" xfId="6106" xr:uid="{00000000-0005-0000-0000-0000651D0000}"/>
    <cellStyle name="Normal 8 3 2 3 4 3 2" xfId="14535" xr:uid="{D55138B3-5E91-4086-B950-AC9C3D14865C}"/>
    <cellStyle name="Normal 8 3 2 3 4 3 3" xfId="27168" xr:uid="{11FDDE6C-F14F-4E64-843E-7789C1B25070}"/>
    <cellStyle name="Normal 8 3 2 3 4 4" xfId="10317" xr:uid="{442FCEE2-FEEA-4F72-B1C8-78AD49CF05E7}"/>
    <cellStyle name="Normal 8 3 2 3 4 4 2" xfId="22957" xr:uid="{E676A8BF-2AE4-42AD-B179-6C1DFB1D5E34}"/>
    <cellStyle name="Normal 8 3 2 3 4 5" xfId="18746" xr:uid="{16F6F059-79D8-45A4-8DA6-BFD1CFA20999}"/>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79480797-B612-43AB-B96E-6276A3EF04F9}"/>
    <cellStyle name="Normal 8 3 2 3 5 2 2 3" xfId="29726" xr:uid="{19C3C35D-5564-4CFE-9759-46D437D43A53}"/>
    <cellStyle name="Normal 8 3 2 3 5 2 3" xfId="12875" xr:uid="{7879B4B2-CC32-4562-8E85-23266A8E970A}"/>
    <cellStyle name="Normal 8 3 2 3 5 2 3 2" xfId="25515" xr:uid="{044097A1-891B-409C-9EC9-D4FDFFA9A575}"/>
    <cellStyle name="Normal 8 3 2 3 5 2 4" xfId="21304" xr:uid="{841F36B0-ED78-479D-B747-5A481FB2E19C}"/>
    <cellStyle name="Normal 8 3 2 3 5 3" xfId="6519" xr:uid="{00000000-0005-0000-0000-0000691D0000}"/>
    <cellStyle name="Normal 8 3 2 3 5 3 2" xfId="14948" xr:uid="{D00BE7E6-E3DA-4ACE-9357-5586BFCE8104}"/>
    <cellStyle name="Normal 8 3 2 3 5 3 3" xfId="27581" xr:uid="{FA5604A0-724C-4363-875F-22DFFF72C4C5}"/>
    <cellStyle name="Normal 8 3 2 3 5 4" xfId="10730" xr:uid="{17E27DE7-0A10-4DD0-B11B-EFA47676D0E9}"/>
    <cellStyle name="Normal 8 3 2 3 5 4 2" xfId="23370" xr:uid="{920DBEFE-9D4F-4471-B58C-417B170A633B}"/>
    <cellStyle name="Normal 8 3 2 3 5 5" xfId="19159" xr:uid="{50263688-AC2A-469D-9F4E-FBC8B2350B00}"/>
    <cellStyle name="Normal 8 3 2 3 6" xfId="2647" xr:uid="{00000000-0005-0000-0000-00006A1D0000}"/>
    <cellStyle name="Normal 8 3 2 3 6 2" xfId="6932" xr:uid="{00000000-0005-0000-0000-00006B1D0000}"/>
    <cellStyle name="Normal 8 3 2 3 6 2 2" xfId="15361" xr:uid="{8AA4FEFB-3861-4DC0-83F7-80439A709EDD}"/>
    <cellStyle name="Normal 8 3 2 3 6 2 3" xfId="27994" xr:uid="{D1DAAD3E-7E75-4EF9-B989-D9DEA6CA9253}"/>
    <cellStyle name="Normal 8 3 2 3 6 3" xfId="11143" xr:uid="{0EAE45B8-FEAA-48BE-BF82-3048AF625371}"/>
    <cellStyle name="Normal 8 3 2 3 6 3 2" xfId="23783" xr:uid="{3B25E14A-57DD-4B8B-B5A6-8D6D1825B517}"/>
    <cellStyle name="Normal 8 3 2 3 6 4" xfId="19572" xr:uid="{6B231B1B-0B24-40C7-A3EE-B95C51F778FE}"/>
    <cellStyle name="Normal 8 3 2 3 7" xfId="4867" xr:uid="{00000000-0005-0000-0000-00006C1D0000}"/>
    <cellStyle name="Normal 8 3 2 3 7 2" xfId="13296" xr:uid="{3E237EA5-6712-4D2E-B574-627AE66AF14D}"/>
    <cellStyle name="Normal 8 3 2 3 7 3" xfId="25929" xr:uid="{D77BFAB7-E80E-4A76-BFE3-C36EE7E48827}"/>
    <cellStyle name="Normal 8 3 2 3 8" xfId="9078" xr:uid="{7FB2E564-D4BD-4DD3-95ED-0D3AC92AF642}"/>
    <cellStyle name="Normal 8 3 2 3 8 2" xfId="21718" xr:uid="{6408FFC3-1C90-4178-91A4-11964EBEAC74}"/>
    <cellStyle name="Normal 8 3 2 3 9" xfId="17507" xr:uid="{CBA65D7E-4B48-4524-90C1-85BADBE01284}"/>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399B9406-08A1-40E7-B9CE-428DE39D4F51}"/>
    <cellStyle name="Normal 8 3 2 4 2 2 3" xfId="28484" xr:uid="{84622EAB-0FB0-4C1B-8AEC-B04047607F04}"/>
    <cellStyle name="Normal 8 3 2 4 2 3" xfId="11633" xr:uid="{70CD20DC-4623-432E-B17B-68D62F6D97BB}"/>
    <cellStyle name="Normal 8 3 2 4 2 3 2" xfId="24273" xr:uid="{1CEB3565-811B-4B36-AEBD-AD361C2A9B2D}"/>
    <cellStyle name="Normal 8 3 2 4 2 4" xfId="20062" xr:uid="{B15B4C96-C2B7-4DB8-92E7-287DB0A1D8AA}"/>
    <cellStyle name="Normal 8 3 2 4 3" xfId="5277" xr:uid="{00000000-0005-0000-0000-0000701D0000}"/>
    <cellStyle name="Normal 8 3 2 4 3 2" xfId="13706" xr:uid="{C8BE4136-6AA5-4A7C-8CD1-DC29F08FC1B0}"/>
    <cellStyle name="Normal 8 3 2 4 3 3" xfId="26339" xr:uid="{CABCBC56-50A7-4A88-B952-0D469C553B43}"/>
    <cellStyle name="Normal 8 3 2 4 4" xfId="9488" xr:uid="{B8B7DC6C-19DF-4467-A7EF-DC96C4237AE4}"/>
    <cellStyle name="Normal 8 3 2 4 4 2" xfId="22128" xr:uid="{DB6C2412-5077-4AD5-A85F-2291E4AFD485}"/>
    <cellStyle name="Normal 8 3 2 4 5" xfId="17917" xr:uid="{60729556-CA31-41C2-BFC6-091E3F6A19B2}"/>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3D46CF71-A391-484C-9562-58A49D558453}"/>
    <cellStyle name="Normal 8 3 2 5 2 2 3" xfId="28897" xr:uid="{2B879CDB-B147-49BA-A178-2C1DE566B531}"/>
    <cellStyle name="Normal 8 3 2 5 2 3" xfId="12046" xr:uid="{3B28DC0C-0829-4104-84E8-26D2D910F06E}"/>
    <cellStyle name="Normal 8 3 2 5 2 3 2" xfId="24686" xr:uid="{7FB6102D-F66B-4A12-9F46-CE37A0E1825E}"/>
    <cellStyle name="Normal 8 3 2 5 2 4" xfId="20475" xr:uid="{FE1B628F-9F6F-4AB5-8780-4C57914D2EED}"/>
    <cellStyle name="Normal 8 3 2 5 3" xfId="5690" xr:uid="{00000000-0005-0000-0000-0000741D0000}"/>
    <cellStyle name="Normal 8 3 2 5 3 2" xfId="14119" xr:uid="{65843A1C-F64F-4306-9792-FA62DA889A8B}"/>
    <cellStyle name="Normal 8 3 2 5 3 3" xfId="26752" xr:uid="{0D3FC78A-DAA0-44BA-9085-2C42DDC5BFDE}"/>
    <cellStyle name="Normal 8 3 2 5 4" xfId="9901" xr:uid="{3F996681-5806-4462-AF04-0AE94C274D44}"/>
    <cellStyle name="Normal 8 3 2 5 4 2" xfId="22541" xr:uid="{AAF109FC-9FEA-43AB-A1A0-E1E486FBBA97}"/>
    <cellStyle name="Normal 8 3 2 5 5" xfId="18330" xr:uid="{CCD063BF-8D17-479A-928C-E6B4A8675F4C}"/>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42031D9D-B0B3-46ED-AA2A-3545BDB33901}"/>
    <cellStyle name="Normal 8 3 2 6 2 2 3" xfId="29310" xr:uid="{36703011-1374-4DD2-B6D4-9A1CC32F1EC5}"/>
    <cellStyle name="Normal 8 3 2 6 2 3" xfId="12459" xr:uid="{763E0EF6-8B64-4629-9400-04778A5058D4}"/>
    <cellStyle name="Normal 8 3 2 6 2 3 2" xfId="25099" xr:uid="{63DCD717-35D1-4FA7-B4FB-B2A860570819}"/>
    <cellStyle name="Normal 8 3 2 6 2 4" xfId="20888" xr:uid="{4C8409FD-795A-4BA5-920D-369CFDD361FF}"/>
    <cellStyle name="Normal 8 3 2 6 3" xfId="6103" xr:uid="{00000000-0005-0000-0000-0000781D0000}"/>
    <cellStyle name="Normal 8 3 2 6 3 2" xfId="14532" xr:uid="{2CCB9DD1-61DA-4DAE-995A-5D8E80D3FDD3}"/>
    <cellStyle name="Normal 8 3 2 6 3 3" xfId="27165" xr:uid="{F8D967CF-8EDB-417A-8AC8-63406C6ED904}"/>
    <cellStyle name="Normal 8 3 2 6 4" xfId="10314" xr:uid="{B69946E9-BDCF-49AC-AE3A-80F6FF945705}"/>
    <cellStyle name="Normal 8 3 2 6 4 2" xfId="22954" xr:uid="{BD2F1F01-14A0-4820-B602-567A91E97E9D}"/>
    <cellStyle name="Normal 8 3 2 6 5" xfId="18743" xr:uid="{8CF7A185-B357-4109-B51A-D4928416EFFC}"/>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9D045038-077E-43E0-A1FA-B7BEFE5C1078}"/>
    <cellStyle name="Normal 8 3 2 7 2 2 3" xfId="29723" xr:uid="{DFE1B2CE-1A86-4FA7-B2CE-83FF468E26F0}"/>
    <cellStyle name="Normal 8 3 2 7 2 3" xfId="12872" xr:uid="{0363EAFA-09D3-4141-9C19-8D4B44E70DB9}"/>
    <cellStyle name="Normal 8 3 2 7 2 3 2" xfId="25512" xr:uid="{532AADEB-7028-4B65-9A5E-61CC7BE18364}"/>
    <cellStyle name="Normal 8 3 2 7 2 4" xfId="21301" xr:uid="{B4AC1788-11A7-4FFD-B78D-546A7A4B9CCA}"/>
    <cellStyle name="Normal 8 3 2 7 3" xfId="6516" xr:uid="{00000000-0005-0000-0000-00007C1D0000}"/>
    <cellStyle name="Normal 8 3 2 7 3 2" xfId="14945" xr:uid="{AF63C48B-65A9-46BE-9C2A-8EB2529D2EA5}"/>
    <cellStyle name="Normal 8 3 2 7 3 3" xfId="27578" xr:uid="{E49700D0-CAA2-459E-B439-5E5573B2E8AF}"/>
    <cellStyle name="Normal 8 3 2 7 4" xfId="10727" xr:uid="{AA5B39D5-9541-4CAE-A6BA-2919723D78CE}"/>
    <cellStyle name="Normal 8 3 2 7 4 2" xfId="23367" xr:uid="{D5C322F8-8E7D-4C23-A197-A96528B34BC4}"/>
    <cellStyle name="Normal 8 3 2 7 5" xfId="19156" xr:uid="{2DF1BA31-BA53-4A61-B25B-E072A376F919}"/>
    <cellStyle name="Normal 8 3 2 8" xfId="2644" xr:uid="{00000000-0005-0000-0000-00007D1D0000}"/>
    <cellStyle name="Normal 8 3 2 8 2" xfId="6929" xr:uid="{00000000-0005-0000-0000-00007E1D0000}"/>
    <cellStyle name="Normal 8 3 2 8 2 2" xfId="15358" xr:uid="{F2EC226E-FE65-4823-80EA-F53D34A8B668}"/>
    <cellStyle name="Normal 8 3 2 8 2 3" xfId="27991" xr:uid="{5714F25B-53E6-42D8-A63A-C282E573D40F}"/>
    <cellStyle name="Normal 8 3 2 8 3" xfId="11140" xr:uid="{7DE0B13A-1B71-4B2B-83F4-BC3B65A76874}"/>
    <cellStyle name="Normal 8 3 2 8 3 2" xfId="23780" xr:uid="{739B0463-616B-4AF3-8857-7EB0FCFE0EAB}"/>
    <cellStyle name="Normal 8 3 2 8 4" xfId="19569" xr:uid="{C663E71B-0874-49E3-9D19-0788F2895C21}"/>
    <cellStyle name="Normal 8 3 2 9" xfId="4864" xr:uid="{00000000-0005-0000-0000-00007F1D0000}"/>
    <cellStyle name="Normal 8 3 2 9 2" xfId="13293" xr:uid="{74B575C4-CC31-4339-88B4-4722D5C67DC5}"/>
    <cellStyle name="Normal 8 3 2 9 3" xfId="25926" xr:uid="{5BFE56C1-4191-4C81-948E-80C1A87EDCF9}"/>
    <cellStyle name="Normal 8 3 3" xfId="500" xr:uid="{00000000-0005-0000-0000-0000801D0000}"/>
    <cellStyle name="Normal 8 3 3 10" xfId="17508" xr:uid="{C3CC405F-165A-480C-B637-43C0A0B693F4}"/>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7233D0D7-4A5C-4BDE-91BA-393C60343699}"/>
    <cellStyle name="Normal 8 3 3 2 2 2 2 3" xfId="28489" xr:uid="{C6BB2825-ACF3-40F2-A2AA-43614264760C}"/>
    <cellStyle name="Normal 8 3 3 2 2 2 3" xfId="11638" xr:uid="{5196640A-D736-45DF-97F1-75A453E56C88}"/>
    <cellStyle name="Normal 8 3 3 2 2 2 3 2" xfId="24278" xr:uid="{A6C18050-62B3-4EB4-82A5-2BBA8CB42A61}"/>
    <cellStyle name="Normal 8 3 3 2 2 2 4" xfId="20067" xr:uid="{FCD5764E-0F35-4686-9808-1BF114B76435}"/>
    <cellStyle name="Normal 8 3 3 2 2 3" xfId="5282" xr:uid="{00000000-0005-0000-0000-0000851D0000}"/>
    <cellStyle name="Normal 8 3 3 2 2 3 2" xfId="13711" xr:uid="{EA584A0C-56B3-46AD-8018-FE518E8F0221}"/>
    <cellStyle name="Normal 8 3 3 2 2 3 3" xfId="26344" xr:uid="{96AC4D8C-418A-4A3F-8C07-F77A22EE532B}"/>
    <cellStyle name="Normal 8 3 3 2 2 4" xfId="9493" xr:uid="{2E892BD4-42F7-4212-A205-E1400E0ABCFE}"/>
    <cellStyle name="Normal 8 3 3 2 2 4 2" xfId="22133" xr:uid="{253F9065-F8A2-4553-8660-FB342C360743}"/>
    <cellStyle name="Normal 8 3 3 2 2 5" xfId="17922" xr:uid="{9FCAE3A6-A148-4920-A79E-7D1FE39AAC66}"/>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CF0CB4AA-FEDA-4296-8494-0E946BF43083}"/>
    <cellStyle name="Normal 8 3 3 2 3 2 2 3" xfId="28902" xr:uid="{BCEBEE96-CC2F-4D3C-B166-AB509A126D6B}"/>
    <cellStyle name="Normal 8 3 3 2 3 2 3" xfId="12051" xr:uid="{F64215C8-12BA-4BB4-A3D4-B9D38615C677}"/>
    <cellStyle name="Normal 8 3 3 2 3 2 3 2" xfId="24691" xr:uid="{637328A0-0F4A-4428-B270-3879E6798180}"/>
    <cellStyle name="Normal 8 3 3 2 3 2 4" xfId="20480" xr:uid="{C85B3FE1-E578-4DB8-8B39-C08BBAF327EF}"/>
    <cellStyle name="Normal 8 3 3 2 3 3" xfId="5695" xr:uid="{00000000-0005-0000-0000-0000891D0000}"/>
    <cellStyle name="Normal 8 3 3 2 3 3 2" xfId="14124" xr:uid="{B83FB3E7-4796-4544-80AB-64D162BC9B8C}"/>
    <cellStyle name="Normal 8 3 3 2 3 3 3" xfId="26757" xr:uid="{4E352B44-B16C-4550-96FB-89E22CCCEF3F}"/>
    <cellStyle name="Normal 8 3 3 2 3 4" xfId="9906" xr:uid="{CDC3A0F1-6F94-458B-9847-0C859DACBBC6}"/>
    <cellStyle name="Normal 8 3 3 2 3 4 2" xfId="22546" xr:uid="{659B3B8D-0810-4C61-83DE-A62C66AF2E95}"/>
    <cellStyle name="Normal 8 3 3 2 3 5" xfId="18335" xr:uid="{94006DE6-7167-4FF8-9717-F89CAC60CFD9}"/>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9585AEB1-AE45-4E1A-967F-33A6EBC4D279}"/>
    <cellStyle name="Normal 8 3 3 2 4 2 2 3" xfId="29315" xr:uid="{18F7B79B-C56C-49B9-A4C2-B1A9BFB8C18D}"/>
    <cellStyle name="Normal 8 3 3 2 4 2 3" xfId="12464" xr:uid="{5E48772B-45DC-4771-9209-22572AFB6A5F}"/>
    <cellStyle name="Normal 8 3 3 2 4 2 3 2" xfId="25104" xr:uid="{A7380E6A-BB8B-4866-B563-9C1A18F2182A}"/>
    <cellStyle name="Normal 8 3 3 2 4 2 4" xfId="20893" xr:uid="{3C855444-7ED9-47B5-822C-3C7D1BFC6FE3}"/>
    <cellStyle name="Normal 8 3 3 2 4 3" xfId="6108" xr:uid="{00000000-0005-0000-0000-00008D1D0000}"/>
    <cellStyle name="Normal 8 3 3 2 4 3 2" xfId="14537" xr:uid="{3DF909EB-686E-40A9-8A7B-E57D2581FE46}"/>
    <cellStyle name="Normal 8 3 3 2 4 3 3" xfId="27170" xr:uid="{F2A66A14-CC2E-4999-910A-5B43164A8C37}"/>
    <cellStyle name="Normal 8 3 3 2 4 4" xfId="10319" xr:uid="{AE324210-5378-4D19-B7BE-E05BBEF1508D}"/>
    <cellStyle name="Normal 8 3 3 2 4 4 2" xfId="22959" xr:uid="{83D84CAB-9218-4A03-AB7C-88E05FBC0974}"/>
    <cellStyle name="Normal 8 3 3 2 4 5" xfId="18748" xr:uid="{F06A60B0-BAAE-4A77-98CF-51D8E07401EE}"/>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C72E5460-8261-42C1-81B1-88B0C9D00279}"/>
    <cellStyle name="Normal 8 3 3 2 5 2 2 3" xfId="29728" xr:uid="{7BCACF3C-ACB9-438A-AA27-48B51DEC4167}"/>
    <cellStyle name="Normal 8 3 3 2 5 2 3" xfId="12877" xr:uid="{A948B772-DE14-4489-AF33-95AB0688355C}"/>
    <cellStyle name="Normal 8 3 3 2 5 2 3 2" xfId="25517" xr:uid="{DBF3F0AD-C335-4C3B-82E7-50D9E0D9E002}"/>
    <cellStyle name="Normal 8 3 3 2 5 2 4" xfId="21306" xr:uid="{5B05D63A-CF78-423E-AA28-20AB7C6E400F}"/>
    <cellStyle name="Normal 8 3 3 2 5 3" xfId="6521" xr:uid="{00000000-0005-0000-0000-0000911D0000}"/>
    <cellStyle name="Normal 8 3 3 2 5 3 2" xfId="14950" xr:uid="{19B250FF-9011-43B5-84B5-8FB49A7674D3}"/>
    <cellStyle name="Normal 8 3 3 2 5 3 3" xfId="27583" xr:uid="{FDC8BA39-61AD-4F4D-B07C-F030483B0845}"/>
    <cellStyle name="Normal 8 3 3 2 5 4" xfId="10732" xr:uid="{E62096F1-B8BE-451B-B735-6B9967D1E47B}"/>
    <cellStyle name="Normal 8 3 3 2 5 4 2" xfId="23372" xr:uid="{2FA31C2A-D632-40C0-9CBF-2935B7D9C853}"/>
    <cellStyle name="Normal 8 3 3 2 5 5" xfId="19161" xr:uid="{027BD895-3874-47CB-9931-8632F0CDE653}"/>
    <cellStyle name="Normal 8 3 3 2 6" xfId="2649" xr:uid="{00000000-0005-0000-0000-0000921D0000}"/>
    <cellStyle name="Normal 8 3 3 2 6 2" xfId="6934" xr:uid="{00000000-0005-0000-0000-0000931D0000}"/>
    <cellStyle name="Normal 8 3 3 2 6 2 2" xfId="15363" xr:uid="{885AF9EB-38D5-4272-80DE-CA409D0E2BF9}"/>
    <cellStyle name="Normal 8 3 3 2 6 2 3" xfId="27996" xr:uid="{9F543F82-E947-4834-B7B8-22777C8938FA}"/>
    <cellStyle name="Normal 8 3 3 2 6 3" xfId="11145" xr:uid="{ABF3E0F6-2F51-4BEE-A5BA-71C8C1A5725F}"/>
    <cellStyle name="Normal 8 3 3 2 6 3 2" xfId="23785" xr:uid="{B4E00D13-FE0A-445B-B843-66D35EB4E217}"/>
    <cellStyle name="Normal 8 3 3 2 6 4" xfId="19574" xr:uid="{1E79835E-4B4C-4A13-8516-2BE7892F9A1C}"/>
    <cellStyle name="Normal 8 3 3 2 7" xfId="4869" xr:uid="{00000000-0005-0000-0000-0000941D0000}"/>
    <cellStyle name="Normal 8 3 3 2 7 2" xfId="13298" xr:uid="{E93D62E0-BE7D-44C9-B042-A6A0E04054BD}"/>
    <cellStyle name="Normal 8 3 3 2 7 3" xfId="25931" xr:uid="{7152841A-838A-4375-9513-5A177B547D7B}"/>
    <cellStyle name="Normal 8 3 3 2 8" xfId="9080" xr:uid="{9A64A57A-ECAF-476D-B0A5-A63EE9D4417B}"/>
    <cellStyle name="Normal 8 3 3 2 8 2" xfId="21720" xr:uid="{9315376C-23CE-4C2B-AD5B-7C3F019AF43D}"/>
    <cellStyle name="Normal 8 3 3 2 9" xfId="17509" xr:uid="{E849D448-A0F8-4556-A360-FC842DF92C87}"/>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FDC1EBDC-639A-413E-A807-95B0A8EE40D0}"/>
    <cellStyle name="Normal 8 3 3 3 2 2 3" xfId="28488" xr:uid="{65103166-279B-45AD-A4A8-45F4C3F74CAA}"/>
    <cellStyle name="Normal 8 3 3 3 2 3" xfId="11637" xr:uid="{913C65BC-3B17-4FF6-9130-5935867F9F59}"/>
    <cellStyle name="Normal 8 3 3 3 2 3 2" xfId="24277" xr:uid="{7C968323-D20B-4FEB-B267-13701441AD0F}"/>
    <cellStyle name="Normal 8 3 3 3 2 4" xfId="20066" xr:uid="{6468CFD5-8AC2-408E-B774-F9B036E2BFE6}"/>
    <cellStyle name="Normal 8 3 3 3 3" xfId="5281" xr:uid="{00000000-0005-0000-0000-0000981D0000}"/>
    <cellStyle name="Normal 8 3 3 3 3 2" xfId="13710" xr:uid="{0E85CB1D-676C-4E62-B36E-BE0E2C0060B9}"/>
    <cellStyle name="Normal 8 3 3 3 3 3" xfId="26343" xr:uid="{743199B3-C81C-4D9E-BFEB-19B6C1E370F6}"/>
    <cellStyle name="Normal 8 3 3 3 4" xfId="9492" xr:uid="{D406E565-74B8-4B89-9129-BACA2FF16097}"/>
    <cellStyle name="Normal 8 3 3 3 4 2" xfId="22132" xr:uid="{207388AB-C5F4-499C-8426-9CAEAE80A196}"/>
    <cellStyle name="Normal 8 3 3 3 5" xfId="17921" xr:uid="{2B317FA6-CA22-4733-B7CD-7FCAAD8C0B19}"/>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B3500039-B243-4F84-9DC1-B949AC4760B1}"/>
    <cellStyle name="Normal 8 3 3 4 2 2 3" xfId="28901" xr:uid="{CB25BD27-B6BA-4345-ABBF-653FE1087617}"/>
    <cellStyle name="Normal 8 3 3 4 2 3" xfId="12050" xr:uid="{B7E21F74-71DA-4AB5-80E1-D5D95B1DFC15}"/>
    <cellStyle name="Normal 8 3 3 4 2 3 2" xfId="24690" xr:uid="{81A29998-3212-4207-AE8D-3F95A0E95BC1}"/>
    <cellStyle name="Normal 8 3 3 4 2 4" xfId="20479" xr:uid="{569C3E71-43ED-46A2-B97D-C9B3E62F4403}"/>
    <cellStyle name="Normal 8 3 3 4 3" xfId="5694" xr:uid="{00000000-0005-0000-0000-00009C1D0000}"/>
    <cellStyle name="Normal 8 3 3 4 3 2" xfId="14123" xr:uid="{2240B328-D572-490F-B2CB-996DF2A43F64}"/>
    <cellStyle name="Normal 8 3 3 4 3 3" xfId="26756" xr:uid="{DC5C0DB6-FCB6-4493-A3C6-4F1266AA64C4}"/>
    <cellStyle name="Normal 8 3 3 4 4" xfId="9905" xr:uid="{5CAC296C-A431-4B05-98D9-15421F49B476}"/>
    <cellStyle name="Normal 8 3 3 4 4 2" xfId="22545" xr:uid="{07506EB9-7E1A-447A-AF69-B9942D620F72}"/>
    <cellStyle name="Normal 8 3 3 4 5" xfId="18334" xr:uid="{B52643F6-E820-4A04-A911-B14EBD6F6180}"/>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BD5879EA-3F49-4B26-9AAF-3AD77AD23E1F}"/>
    <cellStyle name="Normal 8 3 3 5 2 2 3" xfId="29314" xr:uid="{34EBB069-4814-4BC9-B3C7-8AE91B93957E}"/>
    <cellStyle name="Normal 8 3 3 5 2 3" xfId="12463" xr:uid="{313A3551-EE4E-4B30-AF31-295D94BBB098}"/>
    <cellStyle name="Normal 8 3 3 5 2 3 2" xfId="25103" xr:uid="{6133337A-B3CD-4308-8A61-B3CB3F73DD82}"/>
    <cellStyle name="Normal 8 3 3 5 2 4" xfId="20892" xr:uid="{8E52CFDB-994D-4871-B4B1-386822B92FA1}"/>
    <cellStyle name="Normal 8 3 3 5 3" xfId="6107" xr:uid="{00000000-0005-0000-0000-0000A01D0000}"/>
    <cellStyle name="Normal 8 3 3 5 3 2" xfId="14536" xr:uid="{6734D052-0519-43A2-8234-B288ABC38FF0}"/>
    <cellStyle name="Normal 8 3 3 5 3 3" xfId="27169" xr:uid="{38FDC811-8BAF-4278-B065-8AED7C34AED9}"/>
    <cellStyle name="Normal 8 3 3 5 4" xfId="10318" xr:uid="{46E5103C-EDB0-4BCB-8A94-D5FD7791735C}"/>
    <cellStyle name="Normal 8 3 3 5 4 2" xfId="22958" xr:uid="{52B30479-1F76-4EDD-94C6-964E837A746D}"/>
    <cellStyle name="Normal 8 3 3 5 5" xfId="18747" xr:uid="{B9FCC836-EDB0-4D93-94C0-FED8E8DC28E9}"/>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543A31C3-6C88-4D9D-A2F1-3469436F027A}"/>
    <cellStyle name="Normal 8 3 3 6 2 2 3" xfId="29727" xr:uid="{EB73122B-AE85-465D-9417-7A083B23C3ED}"/>
    <cellStyle name="Normal 8 3 3 6 2 3" xfId="12876" xr:uid="{AC0F14D4-4853-43E9-992B-D8D422430AEC}"/>
    <cellStyle name="Normal 8 3 3 6 2 3 2" xfId="25516" xr:uid="{188E6AB3-F24D-4AB3-99B6-AC8D03803FE2}"/>
    <cellStyle name="Normal 8 3 3 6 2 4" xfId="21305" xr:uid="{A2F343D6-8A2F-47FE-B0CC-D1C6A177A0FB}"/>
    <cellStyle name="Normal 8 3 3 6 3" xfId="6520" xr:uid="{00000000-0005-0000-0000-0000A41D0000}"/>
    <cellStyle name="Normal 8 3 3 6 3 2" xfId="14949" xr:uid="{CD9822A2-A675-46FE-BDB5-E4370D0BFCE3}"/>
    <cellStyle name="Normal 8 3 3 6 3 3" xfId="27582" xr:uid="{F67B36B5-7FA0-47C0-B8EB-FAF5FF44D75D}"/>
    <cellStyle name="Normal 8 3 3 6 4" xfId="10731" xr:uid="{0BB8A5D8-22C2-44BB-84F7-C70EEEC679BB}"/>
    <cellStyle name="Normal 8 3 3 6 4 2" xfId="23371" xr:uid="{B8316213-9919-4873-BD84-641CCD22574A}"/>
    <cellStyle name="Normal 8 3 3 6 5" xfId="19160" xr:uid="{F6D8C7F9-E594-4664-9D29-996C68EFA5CD}"/>
    <cellStyle name="Normal 8 3 3 7" xfId="2648" xr:uid="{00000000-0005-0000-0000-0000A51D0000}"/>
    <cellStyle name="Normal 8 3 3 7 2" xfId="6933" xr:uid="{00000000-0005-0000-0000-0000A61D0000}"/>
    <cellStyle name="Normal 8 3 3 7 2 2" xfId="15362" xr:uid="{F782EC19-F8EA-48F6-BD06-317177DBF7F2}"/>
    <cellStyle name="Normal 8 3 3 7 2 3" xfId="27995" xr:uid="{2AD81486-34CE-46B8-84E5-9553D21D2E1E}"/>
    <cellStyle name="Normal 8 3 3 7 3" xfId="11144" xr:uid="{C0FB9866-B6D8-4B36-AAD3-DDDCC3168848}"/>
    <cellStyle name="Normal 8 3 3 7 3 2" xfId="23784" xr:uid="{71C9AE9E-E9E2-475C-86A7-6A43787171A9}"/>
    <cellStyle name="Normal 8 3 3 7 4" xfId="19573" xr:uid="{973171A1-32F9-4108-8332-1E5BB740C2B5}"/>
    <cellStyle name="Normal 8 3 3 8" xfId="4868" xr:uid="{00000000-0005-0000-0000-0000A71D0000}"/>
    <cellStyle name="Normal 8 3 3 8 2" xfId="13297" xr:uid="{DD8CCB07-1899-4B46-BB83-CEE585CB5322}"/>
    <cellStyle name="Normal 8 3 3 8 3" xfId="25930" xr:uid="{9EBB42D8-F57C-4B9C-90D4-DF088894E973}"/>
    <cellStyle name="Normal 8 3 3 9" xfId="9079" xr:uid="{34B812D4-0F97-43E9-982C-9679A9F826BE}"/>
    <cellStyle name="Normal 8 3 3 9 2" xfId="21719" xr:uid="{A28D2621-56E5-45E5-89E3-1EDEAEB80031}"/>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763FBF2D-0EC4-4216-8CFA-023E2AAD7B12}"/>
    <cellStyle name="Normal 8 3 4 2 2 2 3" xfId="28490" xr:uid="{313DBB45-B50B-456E-BB70-37B63B647D4C}"/>
    <cellStyle name="Normal 8 3 4 2 2 3" xfId="11639" xr:uid="{C55B78E4-D6AC-40FB-BF66-7ACAFAD82B26}"/>
    <cellStyle name="Normal 8 3 4 2 2 3 2" xfId="24279" xr:uid="{023C4C5B-D6D3-45CE-A40F-FFD41EEDC26A}"/>
    <cellStyle name="Normal 8 3 4 2 2 4" xfId="20068" xr:uid="{A783747A-5F74-44B4-9D9A-7E00781B6062}"/>
    <cellStyle name="Normal 8 3 4 2 3" xfId="5283" xr:uid="{00000000-0005-0000-0000-0000AC1D0000}"/>
    <cellStyle name="Normal 8 3 4 2 3 2" xfId="13712" xr:uid="{39391E32-F321-4752-96EC-D6F41914657B}"/>
    <cellStyle name="Normal 8 3 4 2 3 3" xfId="26345" xr:uid="{9297BCED-EA15-40EF-8B0B-C82EFE676BDC}"/>
    <cellStyle name="Normal 8 3 4 2 4" xfId="9494" xr:uid="{B86AD14C-84C0-4856-8FD8-6423086B93C8}"/>
    <cellStyle name="Normal 8 3 4 2 4 2" xfId="22134" xr:uid="{565B339B-8416-4BA3-B75E-10A331FFC48E}"/>
    <cellStyle name="Normal 8 3 4 2 5" xfId="17923" xr:uid="{BC7C9D36-743C-4931-9449-4B6A372EE5F9}"/>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A469BDC7-F7CB-4C80-8C20-EA402A57B7FA}"/>
    <cellStyle name="Normal 8 3 4 3 2 2 3" xfId="28903" xr:uid="{ABC9911B-F807-4406-9A88-D0838F625DBE}"/>
    <cellStyle name="Normal 8 3 4 3 2 3" xfId="12052" xr:uid="{E39EB9C1-77F0-4BAA-B774-A29A08CCFF81}"/>
    <cellStyle name="Normal 8 3 4 3 2 3 2" xfId="24692" xr:uid="{51D420AF-65BB-45F9-B2DB-37CDDF10A889}"/>
    <cellStyle name="Normal 8 3 4 3 2 4" xfId="20481" xr:uid="{8DD34839-D340-4916-884E-578B3D4D67BF}"/>
    <cellStyle name="Normal 8 3 4 3 3" xfId="5696" xr:uid="{00000000-0005-0000-0000-0000B01D0000}"/>
    <cellStyle name="Normal 8 3 4 3 3 2" xfId="14125" xr:uid="{6EE71E87-6C0F-46EB-9383-BFD90F84BE4F}"/>
    <cellStyle name="Normal 8 3 4 3 3 3" xfId="26758" xr:uid="{21C091FB-FED1-4167-8AF5-4FE132E5C52A}"/>
    <cellStyle name="Normal 8 3 4 3 4" xfId="9907" xr:uid="{5CA9F977-EB9B-40F0-B1ED-68E300B1F0C1}"/>
    <cellStyle name="Normal 8 3 4 3 4 2" xfId="22547" xr:uid="{EB03A028-28B6-4A0C-8937-B481FB84BBFB}"/>
    <cellStyle name="Normal 8 3 4 3 5" xfId="18336" xr:uid="{C9031698-0C40-47F8-8CF7-F4F0B2E131D0}"/>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4539A27D-AEDF-4233-8982-7DB5C3C3BE67}"/>
    <cellStyle name="Normal 8 3 4 4 2 2 3" xfId="29316" xr:uid="{960D7895-498D-4510-827F-8B84321B783A}"/>
    <cellStyle name="Normal 8 3 4 4 2 3" xfId="12465" xr:uid="{D4194C34-A88E-4E45-AAFC-EDE8F4F27469}"/>
    <cellStyle name="Normal 8 3 4 4 2 3 2" xfId="25105" xr:uid="{D5207404-D90E-42DA-A380-8320F6D9D435}"/>
    <cellStyle name="Normal 8 3 4 4 2 4" xfId="20894" xr:uid="{A48C412C-9306-49B7-B246-50102B4D9CBA}"/>
    <cellStyle name="Normal 8 3 4 4 3" xfId="6109" xr:uid="{00000000-0005-0000-0000-0000B41D0000}"/>
    <cellStyle name="Normal 8 3 4 4 3 2" xfId="14538" xr:uid="{23E30172-A099-42BE-A421-C8A4BE0AFE84}"/>
    <cellStyle name="Normal 8 3 4 4 3 3" xfId="27171" xr:uid="{C5A813E6-CF1D-40C5-A63D-38A27FD42D18}"/>
    <cellStyle name="Normal 8 3 4 4 4" xfId="10320" xr:uid="{82C5CA42-BD46-4E5D-AC11-07B0A00D12A2}"/>
    <cellStyle name="Normal 8 3 4 4 4 2" xfId="22960" xr:uid="{8A347FA3-A360-4D91-BF81-71DCC024091E}"/>
    <cellStyle name="Normal 8 3 4 4 5" xfId="18749" xr:uid="{53140E66-43CB-4FC4-8715-3EBE2C771D4A}"/>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F9C8683C-74D3-4720-986F-1490809FC46D}"/>
    <cellStyle name="Normal 8 3 4 5 2 2 3" xfId="29729" xr:uid="{3766DC14-0472-4B78-A87D-FA3A25C75EC7}"/>
    <cellStyle name="Normal 8 3 4 5 2 3" xfId="12878" xr:uid="{87CB1D43-9495-4814-9688-7AC3B1A76A54}"/>
    <cellStyle name="Normal 8 3 4 5 2 3 2" xfId="25518" xr:uid="{156FD0B4-08D0-455A-ADCE-5AFA7F221178}"/>
    <cellStyle name="Normal 8 3 4 5 2 4" xfId="21307" xr:uid="{3F238C12-0075-4131-8A24-BF700F38ED2E}"/>
    <cellStyle name="Normal 8 3 4 5 3" xfId="6522" xr:uid="{00000000-0005-0000-0000-0000B81D0000}"/>
    <cellStyle name="Normal 8 3 4 5 3 2" xfId="14951" xr:uid="{7FA1A346-1CC2-47BC-A0C7-A2EB573F4A5F}"/>
    <cellStyle name="Normal 8 3 4 5 3 3" xfId="27584" xr:uid="{1FDA373A-564C-4CE8-99D4-36B6858B36CA}"/>
    <cellStyle name="Normal 8 3 4 5 4" xfId="10733" xr:uid="{499C574B-A5C7-463E-A289-D460A4F6CC7A}"/>
    <cellStyle name="Normal 8 3 4 5 4 2" xfId="23373" xr:uid="{7C419014-1069-452D-9E0E-121AAFF03F05}"/>
    <cellStyle name="Normal 8 3 4 5 5" xfId="19162" xr:uid="{9BF574C6-B57F-44F0-ADF9-E1A0532DB480}"/>
    <cellStyle name="Normal 8 3 4 6" xfId="2650" xr:uid="{00000000-0005-0000-0000-0000B91D0000}"/>
    <cellStyle name="Normal 8 3 4 6 2" xfId="6935" xr:uid="{00000000-0005-0000-0000-0000BA1D0000}"/>
    <cellStyle name="Normal 8 3 4 6 2 2" xfId="15364" xr:uid="{72EBCDD0-A997-44BF-95A6-23F1FAAD7875}"/>
    <cellStyle name="Normal 8 3 4 6 2 3" xfId="27997" xr:uid="{7990F652-9EDD-4F25-A533-DE83B692A865}"/>
    <cellStyle name="Normal 8 3 4 6 3" xfId="11146" xr:uid="{881C34CF-F49F-4E24-A13E-5E3FE6EA8ACE}"/>
    <cellStyle name="Normal 8 3 4 6 3 2" xfId="23786" xr:uid="{2CF903CD-7BD6-4D8B-870F-C7E0FEAE198F}"/>
    <cellStyle name="Normal 8 3 4 6 4" xfId="19575" xr:uid="{ED7F6446-2D67-41C8-94E4-F43D221CDD82}"/>
    <cellStyle name="Normal 8 3 4 7" xfId="4870" xr:uid="{00000000-0005-0000-0000-0000BB1D0000}"/>
    <cellStyle name="Normal 8 3 4 7 2" xfId="13299" xr:uid="{5BF9E79C-A7D4-4925-B6F2-F412BBB8A58A}"/>
    <cellStyle name="Normal 8 3 4 7 3" xfId="25932" xr:uid="{A90432DC-54C4-4FA9-92B6-1065A28A74B2}"/>
    <cellStyle name="Normal 8 3 4 8" xfId="9081" xr:uid="{F3661048-B8D7-4006-A519-1E8A8993FAFC}"/>
    <cellStyle name="Normal 8 3 4 8 2" xfId="21721" xr:uid="{A59B5F8F-7D61-47BD-84F0-30E6ED1890C2}"/>
    <cellStyle name="Normal 8 3 4 9" xfId="17510" xr:uid="{F0E6F70C-186A-4A63-89E7-E1D25FD6CDA2}"/>
    <cellStyle name="Normal 8 3 5" xfId="963" xr:uid="{00000000-0005-0000-0000-0000BC1D0000}"/>
    <cellStyle name="Normal 8 3 5 2" xfId="3197" xr:uid="{00000000-0005-0000-0000-0000BD1D0000}"/>
    <cellStyle name="Normal 8 3 5 2 2" xfId="7421" xr:uid="{00000000-0005-0000-0000-0000BE1D0000}"/>
    <cellStyle name="Normal 8 3 5 2 2 2" xfId="15850" xr:uid="{153D69F8-23BD-42EB-8FCE-D088B8398998}"/>
    <cellStyle name="Normal 8 3 5 2 2 3" xfId="28483" xr:uid="{C9C0C6D1-B2E2-4D32-972D-6527271FC378}"/>
    <cellStyle name="Normal 8 3 5 2 3" xfId="11632" xr:uid="{8129B51F-7004-45AF-B349-4FE305F33745}"/>
    <cellStyle name="Normal 8 3 5 2 3 2" xfId="24272" xr:uid="{53104B12-AFA6-4E53-A057-AB8344066F6A}"/>
    <cellStyle name="Normal 8 3 5 2 4" xfId="20061" xr:uid="{31B38523-4D94-4917-9858-9117E0A5E15E}"/>
    <cellStyle name="Normal 8 3 5 3" xfId="5276" xr:uid="{00000000-0005-0000-0000-0000BF1D0000}"/>
    <cellStyle name="Normal 8 3 5 3 2" xfId="13705" xr:uid="{C728CA58-0F40-4ABD-8470-86FB647A7DF2}"/>
    <cellStyle name="Normal 8 3 5 3 3" xfId="26338" xr:uid="{A50FC2A6-77DA-4692-A2C8-B1622B78BB4C}"/>
    <cellStyle name="Normal 8 3 5 4" xfId="9487" xr:uid="{3CAB897D-FE28-4D1B-B6A1-437FFFECF28F}"/>
    <cellStyle name="Normal 8 3 5 4 2" xfId="22127" xr:uid="{7D48B4BB-8D86-49DA-9BA5-4FAE1347FA76}"/>
    <cellStyle name="Normal 8 3 5 5" xfId="17916" xr:uid="{956D5DD7-4325-4EDF-9A43-9252E53515D6}"/>
    <cellStyle name="Normal 8 3 6" xfId="1380" xr:uid="{00000000-0005-0000-0000-0000C01D0000}"/>
    <cellStyle name="Normal 8 3 6 2" xfId="3610" xr:uid="{00000000-0005-0000-0000-0000C11D0000}"/>
    <cellStyle name="Normal 8 3 6 2 2" xfId="7834" xr:uid="{00000000-0005-0000-0000-0000C21D0000}"/>
    <cellStyle name="Normal 8 3 6 2 2 2" xfId="16263" xr:uid="{B2A99EBA-3EF6-4B2E-A4BE-AA1495153F4D}"/>
    <cellStyle name="Normal 8 3 6 2 2 3" xfId="28896" xr:uid="{E95C798A-2620-47BC-8FEB-B2F6A39F2DF4}"/>
    <cellStyle name="Normal 8 3 6 2 3" xfId="12045" xr:uid="{FA028792-D7E6-4FE1-B8D4-ACC72EB8C2C8}"/>
    <cellStyle name="Normal 8 3 6 2 3 2" xfId="24685" xr:uid="{66521124-925D-4A6C-A2A0-AB9BE6606245}"/>
    <cellStyle name="Normal 8 3 6 2 4" xfId="20474" xr:uid="{7FEB8F1C-A03C-42A0-9A5D-420099537779}"/>
    <cellStyle name="Normal 8 3 6 3" xfId="5689" xr:uid="{00000000-0005-0000-0000-0000C31D0000}"/>
    <cellStyle name="Normal 8 3 6 3 2" xfId="14118" xr:uid="{4FB86817-CE25-458C-9973-279C7394FB9A}"/>
    <cellStyle name="Normal 8 3 6 3 3" xfId="26751" xr:uid="{2E59A3D5-007D-4F07-BDD4-77CCE24E531E}"/>
    <cellStyle name="Normal 8 3 6 4" xfId="9900" xr:uid="{7CB4F0A0-FAB1-441B-8D74-2FA9429E8422}"/>
    <cellStyle name="Normal 8 3 6 4 2" xfId="22540" xr:uid="{031F2119-3AB3-4C17-B2C4-B63FBF4465C8}"/>
    <cellStyle name="Normal 8 3 6 5" xfId="18329" xr:uid="{66E72CD3-B2F0-45B4-925A-CC0A82B34886}"/>
    <cellStyle name="Normal 8 3 7" xfId="1793" xr:uid="{00000000-0005-0000-0000-0000C41D0000}"/>
    <cellStyle name="Normal 8 3 7 2" xfId="4023" xr:uid="{00000000-0005-0000-0000-0000C51D0000}"/>
    <cellStyle name="Normal 8 3 7 2 2" xfId="8247" xr:uid="{00000000-0005-0000-0000-0000C61D0000}"/>
    <cellStyle name="Normal 8 3 7 2 2 2" xfId="16676" xr:uid="{85D97CA1-21CF-4625-8A30-BE17D46226E5}"/>
    <cellStyle name="Normal 8 3 7 2 2 3" xfId="29309" xr:uid="{DFCDCB3B-CF98-4BF7-94D9-0132EECE7A91}"/>
    <cellStyle name="Normal 8 3 7 2 3" xfId="12458" xr:uid="{5F203A9A-2B13-46BF-A848-E09E7DE04D96}"/>
    <cellStyle name="Normal 8 3 7 2 3 2" xfId="25098" xr:uid="{11425B60-F16B-4E08-95D1-ADBE3F3A4C0F}"/>
    <cellStyle name="Normal 8 3 7 2 4" xfId="20887" xr:uid="{14572716-5733-4279-A7DC-40470B6708EE}"/>
    <cellStyle name="Normal 8 3 7 3" xfId="6102" xr:uid="{00000000-0005-0000-0000-0000C71D0000}"/>
    <cellStyle name="Normal 8 3 7 3 2" xfId="14531" xr:uid="{546C0F63-B091-4D39-9504-4C99FC91FE55}"/>
    <cellStyle name="Normal 8 3 7 3 3" xfId="27164" xr:uid="{6ED50C68-4380-4C77-B02C-904CA9349CD1}"/>
    <cellStyle name="Normal 8 3 7 4" xfId="10313" xr:uid="{EAFB8297-B59E-4E17-B245-04D850883108}"/>
    <cellStyle name="Normal 8 3 7 4 2" xfId="22953" xr:uid="{C9542D06-14C9-42F1-862A-9B0EED86F175}"/>
    <cellStyle name="Normal 8 3 7 5" xfId="18742" xr:uid="{89D284D4-9895-44B9-BC47-FA115CF2B940}"/>
    <cellStyle name="Normal 8 3 8" xfId="2207" xr:uid="{00000000-0005-0000-0000-0000C81D0000}"/>
    <cellStyle name="Normal 8 3 8 2" xfId="4436" xr:uid="{00000000-0005-0000-0000-0000C91D0000}"/>
    <cellStyle name="Normal 8 3 8 2 2" xfId="8660" xr:uid="{00000000-0005-0000-0000-0000CA1D0000}"/>
    <cellStyle name="Normal 8 3 8 2 2 2" xfId="17089" xr:uid="{4B6D78FD-87E4-4364-BE25-D18EA7892995}"/>
    <cellStyle name="Normal 8 3 8 2 2 3" xfId="29722" xr:uid="{5693F313-D6DD-4CFC-AB69-0282485695D3}"/>
    <cellStyle name="Normal 8 3 8 2 3" xfId="12871" xr:uid="{463ED7C4-904E-4E9A-8F2D-CAFAA03A7525}"/>
    <cellStyle name="Normal 8 3 8 2 3 2" xfId="25511" xr:uid="{0D47D3CB-81DA-424D-9E29-464AC4D4BDBB}"/>
    <cellStyle name="Normal 8 3 8 2 4" xfId="21300" xr:uid="{C6FCC7B5-026F-4766-9F4C-14225B69FC9F}"/>
    <cellStyle name="Normal 8 3 8 3" xfId="6515" xr:uid="{00000000-0005-0000-0000-0000CB1D0000}"/>
    <cellStyle name="Normal 8 3 8 3 2" xfId="14944" xr:uid="{AA5510C5-0DE5-457F-BFC1-81EE97D6327E}"/>
    <cellStyle name="Normal 8 3 8 3 3" xfId="27577" xr:uid="{304F0FD6-7628-4AF0-823F-EB718E423A2B}"/>
    <cellStyle name="Normal 8 3 8 4" xfId="10726" xr:uid="{7207D888-BD1A-4352-A25B-853FEF6DB586}"/>
    <cellStyle name="Normal 8 3 8 4 2" xfId="23366" xr:uid="{A9FC3E05-079F-4E57-8810-0715E62B9972}"/>
    <cellStyle name="Normal 8 3 8 5" xfId="19155" xr:uid="{2D19155E-82C5-487E-8805-A0F3F8D570C6}"/>
    <cellStyle name="Normal 8 3 9" xfId="2643" xr:uid="{00000000-0005-0000-0000-0000CC1D0000}"/>
    <cellStyle name="Normal 8 3 9 2" xfId="6928" xr:uid="{00000000-0005-0000-0000-0000CD1D0000}"/>
    <cellStyle name="Normal 8 3 9 2 2" xfId="15357" xr:uid="{CE29021C-0678-4BAF-9E8E-C8711292E9F6}"/>
    <cellStyle name="Normal 8 3 9 2 3" xfId="27990" xr:uid="{22D6384B-8088-4AE5-9C4E-D53D6E5E2986}"/>
    <cellStyle name="Normal 8 3 9 3" xfId="11139" xr:uid="{9FC0C95B-78EE-4A64-A963-42B161DEED03}"/>
    <cellStyle name="Normal 8 3 9 3 2" xfId="23779" xr:uid="{DEBF2F62-E90B-4A2F-95B5-FBAA1791E5CB}"/>
    <cellStyle name="Normal 8 3 9 4" xfId="19568" xr:uid="{11BECD5E-0D1C-4FFE-93A5-E30070C494E6}"/>
    <cellStyle name="Normal 8 4" xfId="503" xr:uid="{00000000-0005-0000-0000-0000CE1D0000}"/>
    <cellStyle name="Normal 8 4 10" xfId="9082" xr:uid="{4A1EAFBE-A310-4CBD-B717-D7B9ECEEFE41}"/>
    <cellStyle name="Normal 8 4 10 2" xfId="21722" xr:uid="{DCEF6302-31BC-428F-966E-B3F7EEADBBDE}"/>
    <cellStyle name="Normal 8 4 11" xfId="17511" xr:uid="{D406E51B-6FF5-4F6D-9C82-C686DE8D09A8}"/>
    <cellStyle name="Normal 8 4 2" xfId="504" xr:uid="{00000000-0005-0000-0000-0000CF1D0000}"/>
    <cellStyle name="Normal 8 4 2 10" xfId="17512" xr:uid="{625C9E7D-9432-4F4F-99C3-9411D93AC7E3}"/>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CA00351A-49CC-40DE-8F83-7C29F5995F65}"/>
    <cellStyle name="Normal 8 4 2 2 2 2 2 3" xfId="28493" xr:uid="{1DB367E3-66BD-4363-A65D-038B1A816BD2}"/>
    <cellStyle name="Normal 8 4 2 2 2 2 3" xfId="11642" xr:uid="{7C9C8BCC-B946-42BD-9F06-1701802B9F42}"/>
    <cellStyle name="Normal 8 4 2 2 2 2 3 2" xfId="24282" xr:uid="{FEB6A04D-B0BD-4795-A8D1-FFE0CAFC57E1}"/>
    <cellStyle name="Normal 8 4 2 2 2 2 4" xfId="20071" xr:uid="{82DF93A6-AAD9-4DB8-AD02-0176EDFE5254}"/>
    <cellStyle name="Normal 8 4 2 2 2 3" xfId="5286" xr:uid="{00000000-0005-0000-0000-0000D41D0000}"/>
    <cellStyle name="Normal 8 4 2 2 2 3 2" xfId="13715" xr:uid="{68DEB310-3336-4C70-A32B-066413C2DC13}"/>
    <cellStyle name="Normal 8 4 2 2 2 3 3" xfId="26348" xr:uid="{846D18B6-3C31-45B4-885B-36E03C165470}"/>
    <cellStyle name="Normal 8 4 2 2 2 4" xfId="9497" xr:uid="{71C1EBAF-41A7-45C5-8A5E-5021DB54FD4D}"/>
    <cellStyle name="Normal 8 4 2 2 2 4 2" xfId="22137" xr:uid="{B772FA0D-A7D7-4191-BC05-B20869867741}"/>
    <cellStyle name="Normal 8 4 2 2 2 5" xfId="17926" xr:uid="{73585B14-D744-4EBB-A3FD-A93F9317DEB9}"/>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B8DC0E86-854B-439E-92D7-ACB9A1776AB6}"/>
    <cellStyle name="Normal 8 4 2 2 3 2 2 3" xfId="28906" xr:uid="{D6DBCD02-2FB7-4DCC-B4C7-A7C3F570211F}"/>
    <cellStyle name="Normal 8 4 2 2 3 2 3" xfId="12055" xr:uid="{E22EAACF-1819-470D-AEF0-181D9DB2A104}"/>
    <cellStyle name="Normal 8 4 2 2 3 2 3 2" xfId="24695" xr:uid="{AAF5E8EE-8ACD-482F-97EC-B131F1AEEF23}"/>
    <cellStyle name="Normal 8 4 2 2 3 2 4" xfId="20484" xr:uid="{5EC4BDD5-D9FF-4693-B76D-0DCA2266F564}"/>
    <cellStyle name="Normal 8 4 2 2 3 3" xfId="5699" xr:uid="{00000000-0005-0000-0000-0000D81D0000}"/>
    <cellStyle name="Normal 8 4 2 2 3 3 2" xfId="14128" xr:uid="{9DCBE1E8-226D-4FB6-B3EA-FABE28B21629}"/>
    <cellStyle name="Normal 8 4 2 2 3 3 3" xfId="26761" xr:uid="{944D2BAF-8E1C-4F20-9FCF-99009873EF90}"/>
    <cellStyle name="Normal 8 4 2 2 3 4" xfId="9910" xr:uid="{2C40BD47-3457-4D1A-A10F-764D2BBFFD3E}"/>
    <cellStyle name="Normal 8 4 2 2 3 4 2" xfId="22550" xr:uid="{9447874F-6479-4F48-94ED-0E85C22BE457}"/>
    <cellStyle name="Normal 8 4 2 2 3 5" xfId="18339" xr:uid="{90C60DD3-0B5C-4390-AAA4-30A97DBD6071}"/>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D130AEC3-2747-41A3-B424-DD0EACD50E22}"/>
    <cellStyle name="Normal 8 4 2 2 4 2 2 3" xfId="29319" xr:uid="{C661DC79-4AEC-46F7-B7EE-1DCF6B447B86}"/>
    <cellStyle name="Normal 8 4 2 2 4 2 3" xfId="12468" xr:uid="{26B6228D-F55B-485B-8363-20C11A4DA0B1}"/>
    <cellStyle name="Normal 8 4 2 2 4 2 3 2" xfId="25108" xr:uid="{BBC45341-9E38-45E6-A4B2-68428598260B}"/>
    <cellStyle name="Normal 8 4 2 2 4 2 4" xfId="20897" xr:uid="{7C1CED00-F022-4886-8B87-3553A07685F9}"/>
    <cellStyle name="Normal 8 4 2 2 4 3" xfId="6112" xr:uid="{00000000-0005-0000-0000-0000DC1D0000}"/>
    <cellStyle name="Normal 8 4 2 2 4 3 2" xfId="14541" xr:uid="{BB538FD8-CFD3-4CF4-8979-34BA68E93358}"/>
    <cellStyle name="Normal 8 4 2 2 4 3 3" xfId="27174" xr:uid="{38DFDE17-8C28-425E-8CEC-AAEB30E03954}"/>
    <cellStyle name="Normal 8 4 2 2 4 4" xfId="10323" xr:uid="{01C1CE77-4BC5-4C57-8445-67D35D5BFF9D}"/>
    <cellStyle name="Normal 8 4 2 2 4 4 2" xfId="22963" xr:uid="{C1670B54-41FD-4960-864C-B9F5D1C07B96}"/>
    <cellStyle name="Normal 8 4 2 2 4 5" xfId="18752" xr:uid="{F81949BF-9F2B-4C5D-850A-95DFA47EDDF1}"/>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CC0E34DE-D616-4075-8B65-7202AD707981}"/>
    <cellStyle name="Normal 8 4 2 2 5 2 2 3" xfId="29732" xr:uid="{5782C821-4D65-48FB-A7D8-6FEF93D134E4}"/>
    <cellStyle name="Normal 8 4 2 2 5 2 3" xfId="12881" xr:uid="{4C682746-2A5E-446A-8EFD-52E72C1297A6}"/>
    <cellStyle name="Normal 8 4 2 2 5 2 3 2" xfId="25521" xr:uid="{5F76EB91-4761-4CCA-AB93-D64733967085}"/>
    <cellStyle name="Normal 8 4 2 2 5 2 4" xfId="21310" xr:uid="{E28C1066-7ED7-4829-8AC5-C25CCBABF5B0}"/>
    <cellStyle name="Normal 8 4 2 2 5 3" xfId="6525" xr:uid="{00000000-0005-0000-0000-0000E01D0000}"/>
    <cellStyle name="Normal 8 4 2 2 5 3 2" xfId="14954" xr:uid="{DEE7D561-9501-4EC8-ADBC-4B940A74D2B5}"/>
    <cellStyle name="Normal 8 4 2 2 5 3 3" xfId="27587" xr:uid="{267C9003-8F25-4210-8050-4B0F1274E40D}"/>
    <cellStyle name="Normal 8 4 2 2 5 4" xfId="10736" xr:uid="{9350BB77-BF8F-4E70-9855-69F71D42F0F7}"/>
    <cellStyle name="Normal 8 4 2 2 5 4 2" xfId="23376" xr:uid="{ADEB516C-9146-4EBD-A834-9111C5793603}"/>
    <cellStyle name="Normal 8 4 2 2 5 5" xfId="19165" xr:uid="{63AE6820-0EE3-4A77-BE42-2235FB560A98}"/>
    <cellStyle name="Normal 8 4 2 2 6" xfId="2653" xr:uid="{00000000-0005-0000-0000-0000E11D0000}"/>
    <cellStyle name="Normal 8 4 2 2 6 2" xfId="6938" xr:uid="{00000000-0005-0000-0000-0000E21D0000}"/>
    <cellStyle name="Normal 8 4 2 2 6 2 2" xfId="15367" xr:uid="{FA2D2035-24F0-426E-B090-609C28DA4AD9}"/>
    <cellStyle name="Normal 8 4 2 2 6 2 3" xfId="28000" xr:uid="{CD792EEE-2739-4B71-9257-15F5CEC8B1BA}"/>
    <cellStyle name="Normal 8 4 2 2 6 3" xfId="11149" xr:uid="{21DA6706-6017-4CFD-90BD-88E7FF755D32}"/>
    <cellStyle name="Normal 8 4 2 2 6 3 2" xfId="23789" xr:uid="{672BF420-0355-4A11-A80F-7F2203BD800D}"/>
    <cellStyle name="Normal 8 4 2 2 6 4" xfId="19578" xr:uid="{1792EE17-C6EA-4F48-BEB2-CD6499E7D032}"/>
    <cellStyle name="Normal 8 4 2 2 7" xfId="4873" xr:uid="{00000000-0005-0000-0000-0000E31D0000}"/>
    <cellStyle name="Normal 8 4 2 2 7 2" xfId="13302" xr:uid="{A88DA7BB-5F3D-4589-8E50-CA014D3E4C33}"/>
    <cellStyle name="Normal 8 4 2 2 7 3" xfId="25935" xr:uid="{3BD485BD-5755-471F-9AB2-C1A6B12AFBFC}"/>
    <cellStyle name="Normal 8 4 2 2 8" xfId="9084" xr:uid="{3684B2B7-85C2-44AA-B8FE-2E3EEA9B723F}"/>
    <cellStyle name="Normal 8 4 2 2 8 2" xfId="21724" xr:uid="{8DFA6C88-FE1B-469E-8A84-69DE764CCC6C}"/>
    <cellStyle name="Normal 8 4 2 2 9" xfId="17513" xr:uid="{7183A3AA-B682-4842-8120-D7B7F5D32A83}"/>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4BA520D4-D49F-49CF-B033-4524EF3C1BCC}"/>
    <cellStyle name="Normal 8 4 2 3 2 2 3" xfId="28492" xr:uid="{C2C8FF74-9D94-4E70-8741-9EAB931FAAEA}"/>
    <cellStyle name="Normal 8 4 2 3 2 3" xfId="11641" xr:uid="{0597FC5B-116C-43F0-B981-1139DD265EF4}"/>
    <cellStyle name="Normal 8 4 2 3 2 3 2" xfId="24281" xr:uid="{F5D29119-D361-4853-A1DE-906B801A57F2}"/>
    <cellStyle name="Normal 8 4 2 3 2 4" xfId="20070" xr:uid="{43B978BA-3492-422C-B80F-A84E169E97D7}"/>
    <cellStyle name="Normal 8 4 2 3 3" xfId="5285" xr:uid="{00000000-0005-0000-0000-0000E71D0000}"/>
    <cellStyle name="Normal 8 4 2 3 3 2" xfId="13714" xr:uid="{9419B29F-E6AC-4560-BA4B-A9D54DFA59D7}"/>
    <cellStyle name="Normal 8 4 2 3 3 3" xfId="26347" xr:uid="{5DF333BB-A51E-41EA-A966-38FE9969BC9A}"/>
    <cellStyle name="Normal 8 4 2 3 4" xfId="9496" xr:uid="{AE34D85F-CE2C-4201-A275-8658637557C6}"/>
    <cellStyle name="Normal 8 4 2 3 4 2" xfId="22136" xr:uid="{99956711-0F2B-4238-BC12-31DAC1AE238D}"/>
    <cellStyle name="Normal 8 4 2 3 5" xfId="17925" xr:uid="{8666ADA0-E5C5-4421-ADF5-72680D08C2A3}"/>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A49620E7-80DB-436D-BF8C-AC9A1DD77A7A}"/>
    <cellStyle name="Normal 8 4 2 4 2 2 3" xfId="28905" xr:uid="{963F57E4-AECC-4E85-94B3-E9F36FE81251}"/>
    <cellStyle name="Normal 8 4 2 4 2 3" xfId="12054" xr:uid="{2FF58D96-B7C3-449F-9BE1-AF734133C1D8}"/>
    <cellStyle name="Normal 8 4 2 4 2 3 2" xfId="24694" xr:uid="{015093F4-037F-4DEF-A9A0-770D583A1A94}"/>
    <cellStyle name="Normal 8 4 2 4 2 4" xfId="20483" xr:uid="{3A619287-6FF4-452E-85BF-DDAC14D7B3C4}"/>
    <cellStyle name="Normal 8 4 2 4 3" xfId="5698" xr:uid="{00000000-0005-0000-0000-0000EB1D0000}"/>
    <cellStyle name="Normal 8 4 2 4 3 2" xfId="14127" xr:uid="{418AC5CC-D3B5-48CF-BEA3-BAB5533DBE55}"/>
    <cellStyle name="Normal 8 4 2 4 3 3" xfId="26760" xr:uid="{3C497E87-3D4D-456A-89FF-28808AF930A4}"/>
    <cellStyle name="Normal 8 4 2 4 4" xfId="9909" xr:uid="{34AFAC37-53DD-4647-ADEC-6E8432BC7B44}"/>
    <cellStyle name="Normal 8 4 2 4 4 2" xfId="22549" xr:uid="{E0C4245B-947F-4676-9273-9A0AFB70B0BA}"/>
    <cellStyle name="Normal 8 4 2 4 5" xfId="18338" xr:uid="{5EBD4B85-C362-4A2B-975A-8B68F865A2A6}"/>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0C6C947F-280C-40B0-9537-09FE63CDB046}"/>
    <cellStyle name="Normal 8 4 2 5 2 2 3" xfId="29318" xr:uid="{AB1D2547-68B9-40BE-BF96-CEC5E6424469}"/>
    <cellStyle name="Normal 8 4 2 5 2 3" xfId="12467" xr:uid="{B6286CF1-038E-494C-A02A-ACADFB74C0F6}"/>
    <cellStyle name="Normal 8 4 2 5 2 3 2" xfId="25107" xr:uid="{3329C452-FB18-45EA-90E6-9AA649636735}"/>
    <cellStyle name="Normal 8 4 2 5 2 4" xfId="20896" xr:uid="{C8CF8AB5-5064-4A59-978A-1150CF7939EE}"/>
    <cellStyle name="Normal 8 4 2 5 3" xfId="6111" xr:uid="{00000000-0005-0000-0000-0000EF1D0000}"/>
    <cellStyle name="Normal 8 4 2 5 3 2" xfId="14540" xr:uid="{963951F9-36FF-4795-A296-0797044D112F}"/>
    <cellStyle name="Normal 8 4 2 5 3 3" xfId="27173" xr:uid="{F21746B1-E922-4EB9-9840-5A385C83CBD8}"/>
    <cellStyle name="Normal 8 4 2 5 4" xfId="10322" xr:uid="{49075C1B-F67D-4499-B23F-F6E87E329731}"/>
    <cellStyle name="Normal 8 4 2 5 4 2" xfId="22962" xr:uid="{5928AE5B-7227-46A9-8EAF-2E93D4681F73}"/>
    <cellStyle name="Normal 8 4 2 5 5" xfId="18751" xr:uid="{DDD23D97-80B2-4CC0-84E4-2B8D2C12EE80}"/>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E061EDC8-337D-4E20-B420-869E825A004C}"/>
    <cellStyle name="Normal 8 4 2 6 2 2 3" xfId="29731" xr:uid="{08A2E772-3DBB-4DEF-9E73-79F89FAB3CCC}"/>
    <cellStyle name="Normal 8 4 2 6 2 3" xfId="12880" xr:uid="{6BE6557B-22EF-4663-8742-2C399336AE14}"/>
    <cellStyle name="Normal 8 4 2 6 2 3 2" xfId="25520" xr:uid="{53F68383-9E45-461E-9AA4-5D98C2DC10BE}"/>
    <cellStyle name="Normal 8 4 2 6 2 4" xfId="21309" xr:uid="{34FE808E-D667-45C8-AAEF-2CABC33D3C0E}"/>
    <cellStyle name="Normal 8 4 2 6 3" xfId="6524" xr:uid="{00000000-0005-0000-0000-0000F31D0000}"/>
    <cellStyle name="Normal 8 4 2 6 3 2" xfId="14953" xr:uid="{A521DB41-6E5A-42A8-92D3-85EA56E70807}"/>
    <cellStyle name="Normal 8 4 2 6 3 3" xfId="27586" xr:uid="{A4463089-1180-4531-8E03-6657336CC5B9}"/>
    <cellStyle name="Normal 8 4 2 6 4" xfId="10735" xr:uid="{D09098D2-96E2-4019-B07C-41292E7E507A}"/>
    <cellStyle name="Normal 8 4 2 6 4 2" xfId="23375" xr:uid="{6F0442AF-E532-4475-B0BB-E88DB1CBCB14}"/>
    <cellStyle name="Normal 8 4 2 6 5" xfId="19164" xr:uid="{C29A88D2-40F1-4394-914A-D9EE4AFEC78D}"/>
    <cellStyle name="Normal 8 4 2 7" xfId="2652" xr:uid="{00000000-0005-0000-0000-0000F41D0000}"/>
    <cellStyle name="Normal 8 4 2 7 2" xfId="6937" xr:uid="{00000000-0005-0000-0000-0000F51D0000}"/>
    <cellStyle name="Normal 8 4 2 7 2 2" xfId="15366" xr:uid="{1E5D8D45-4B95-411C-B408-7D7FDE335218}"/>
    <cellStyle name="Normal 8 4 2 7 2 3" xfId="27999" xr:uid="{B880656D-3BA7-4430-A206-B74C765933C0}"/>
    <cellStyle name="Normal 8 4 2 7 3" xfId="11148" xr:uid="{FE66ACF3-6D8F-4636-85AB-1C2FB2E299CA}"/>
    <cellStyle name="Normal 8 4 2 7 3 2" xfId="23788" xr:uid="{1AE17723-34C8-47AD-8F6B-B8F402B9673E}"/>
    <cellStyle name="Normal 8 4 2 7 4" xfId="19577" xr:uid="{A23E4A3F-0F6F-4865-A897-2CBCB1CA4F8D}"/>
    <cellStyle name="Normal 8 4 2 8" xfId="4872" xr:uid="{00000000-0005-0000-0000-0000F61D0000}"/>
    <cellStyle name="Normal 8 4 2 8 2" xfId="13301" xr:uid="{7D841C8E-BC24-4B7C-A918-6BC62C177862}"/>
    <cellStyle name="Normal 8 4 2 8 3" xfId="25934" xr:uid="{F5D36013-4243-4EAE-9BD0-8EFBC192A30C}"/>
    <cellStyle name="Normal 8 4 2 9" xfId="9083" xr:uid="{DA57C4AE-AA37-4912-9847-981F01350BB5}"/>
    <cellStyle name="Normal 8 4 2 9 2" xfId="21723" xr:uid="{736E131A-75AC-4C07-A370-F1BE99E3B009}"/>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4A4FB7E0-ADF7-467B-B643-3354814C357E}"/>
    <cellStyle name="Normal 8 4 3 2 2 2 3" xfId="28494" xr:uid="{B5D2456E-A02E-4583-BF50-73C0A7A25E61}"/>
    <cellStyle name="Normal 8 4 3 2 2 3" xfId="11643" xr:uid="{846F036D-7662-45A2-AC80-CB48956A53A1}"/>
    <cellStyle name="Normal 8 4 3 2 2 3 2" xfId="24283" xr:uid="{FFB5CE08-1698-48CB-8B9A-96D96F52BF55}"/>
    <cellStyle name="Normal 8 4 3 2 2 4" xfId="20072" xr:uid="{A218778F-9866-4422-AE39-94C88026B0CB}"/>
    <cellStyle name="Normal 8 4 3 2 3" xfId="5287" xr:uid="{00000000-0005-0000-0000-0000FB1D0000}"/>
    <cellStyle name="Normal 8 4 3 2 3 2" xfId="13716" xr:uid="{D2594733-BD4D-43AF-87AC-9F12414664BB}"/>
    <cellStyle name="Normal 8 4 3 2 3 3" xfId="26349" xr:uid="{96ECE97D-6C85-41FE-8C23-CEC27A1AC6AD}"/>
    <cellStyle name="Normal 8 4 3 2 4" xfId="9498" xr:uid="{183C3E57-7BAD-4810-9670-D84E857F40F9}"/>
    <cellStyle name="Normal 8 4 3 2 4 2" xfId="22138" xr:uid="{B53BA58C-B78F-487F-AEC7-D27FE4DB6252}"/>
    <cellStyle name="Normal 8 4 3 2 5" xfId="17927" xr:uid="{A7E40448-C632-4EBC-8FDF-ACCF241DAAFE}"/>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4313F437-8C35-47CF-A9B4-16BD61F9F281}"/>
    <cellStyle name="Normal 8 4 3 3 2 2 3" xfId="28907" xr:uid="{52A0963A-B823-4529-BFEE-02C12A896D3E}"/>
    <cellStyle name="Normal 8 4 3 3 2 3" xfId="12056" xr:uid="{1EE9FFFE-D0A3-4C6C-861C-56E7797A96B2}"/>
    <cellStyle name="Normal 8 4 3 3 2 3 2" xfId="24696" xr:uid="{41494500-A675-4282-B484-1C9312BBB3BA}"/>
    <cellStyle name="Normal 8 4 3 3 2 4" xfId="20485" xr:uid="{4605703C-E3FD-413D-88E8-8F357CEE032D}"/>
    <cellStyle name="Normal 8 4 3 3 3" xfId="5700" xr:uid="{00000000-0005-0000-0000-0000FF1D0000}"/>
    <cellStyle name="Normal 8 4 3 3 3 2" xfId="14129" xr:uid="{66357AAB-3421-48EF-A6DE-FAE672F74901}"/>
    <cellStyle name="Normal 8 4 3 3 3 3" xfId="26762" xr:uid="{90101F1F-AAD1-4370-BF9B-9E363BCA72CA}"/>
    <cellStyle name="Normal 8 4 3 3 4" xfId="9911" xr:uid="{778209D2-2C09-4D7A-B58D-F04D9FFF1919}"/>
    <cellStyle name="Normal 8 4 3 3 4 2" xfId="22551" xr:uid="{872410A9-853C-4E95-AB19-3CC6C4B2EDE2}"/>
    <cellStyle name="Normal 8 4 3 3 5" xfId="18340" xr:uid="{7F0E27E7-E3CE-4BBE-8CDC-C9A7588CC97F}"/>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3E546D8E-BE21-4D5F-887B-7587E83AE5BD}"/>
    <cellStyle name="Normal 8 4 3 4 2 2 3" xfId="29320" xr:uid="{121FAC26-A3BE-4798-B846-2D0FB4D86C0A}"/>
    <cellStyle name="Normal 8 4 3 4 2 3" xfId="12469" xr:uid="{4249CFDC-28D0-4DC5-87C8-2C6D9D1ACA76}"/>
    <cellStyle name="Normal 8 4 3 4 2 3 2" xfId="25109" xr:uid="{43836941-2E97-488A-BFE9-E402EB1DC062}"/>
    <cellStyle name="Normal 8 4 3 4 2 4" xfId="20898" xr:uid="{23686904-0EF1-4A17-AC85-479B848E8B01}"/>
    <cellStyle name="Normal 8 4 3 4 3" xfId="6113" xr:uid="{00000000-0005-0000-0000-0000031E0000}"/>
    <cellStyle name="Normal 8 4 3 4 3 2" xfId="14542" xr:uid="{6C2F9DB4-D4EF-4260-B618-13D7EC19F84A}"/>
    <cellStyle name="Normal 8 4 3 4 3 3" xfId="27175" xr:uid="{866155DE-67DD-4C27-A478-7EF939EA3DE6}"/>
    <cellStyle name="Normal 8 4 3 4 4" xfId="10324" xr:uid="{1DFDCC4F-E101-44CE-9041-C0985E4B9B51}"/>
    <cellStyle name="Normal 8 4 3 4 4 2" xfId="22964" xr:uid="{2DA9A10F-66FF-4194-A6D6-18093F5B2350}"/>
    <cellStyle name="Normal 8 4 3 4 5" xfId="18753" xr:uid="{8EFECDE5-81B2-4D0A-9741-DC48D0F73393}"/>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34540D06-8311-4C11-BD51-AF1B99D4D7D0}"/>
    <cellStyle name="Normal 8 4 3 5 2 2 3" xfId="29733" xr:uid="{1A173B01-0676-4434-A738-1743858A432D}"/>
    <cellStyle name="Normal 8 4 3 5 2 3" xfId="12882" xr:uid="{C972B9FF-8062-4A06-AB43-3F4D5620FB26}"/>
    <cellStyle name="Normal 8 4 3 5 2 3 2" xfId="25522" xr:uid="{69332123-808B-40B0-90A4-1964DEB1CED9}"/>
    <cellStyle name="Normal 8 4 3 5 2 4" xfId="21311" xr:uid="{F92A2594-3615-4B18-8C2B-5100A7B5EF6B}"/>
    <cellStyle name="Normal 8 4 3 5 3" xfId="6526" xr:uid="{00000000-0005-0000-0000-0000071E0000}"/>
    <cellStyle name="Normal 8 4 3 5 3 2" xfId="14955" xr:uid="{5DF8E2B3-7205-4F42-953D-6B97621AC058}"/>
    <cellStyle name="Normal 8 4 3 5 3 3" xfId="27588" xr:uid="{9A82526F-3D19-4421-B977-E6970FA985FB}"/>
    <cellStyle name="Normal 8 4 3 5 4" xfId="10737" xr:uid="{FB9A8D63-FE48-4321-AC61-28F65D29F4E1}"/>
    <cellStyle name="Normal 8 4 3 5 4 2" xfId="23377" xr:uid="{D847E866-86E2-4306-A56E-C710C8D35D90}"/>
    <cellStyle name="Normal 8 4 3 5 5" xfId="19166" xr:uid="{92033BC4-3A48-41D1-9285-19797E1C141E}"/>
    <cellStyle name="Normal 8 4 3 6" xfId="2654" xr:uid="{00000000-0005-0000-0000-0000081E0000}"/>
    <cellStyle name="Normal 8 4 3 6 2" xfId="6939" xr:uid="{00000000-0005-0000-0000-0000091E0000}"/>
    <cellStyle name="Normal 8 4 3 6 2 2" xfId="15368" xr:uid="{5DB9B826-3AC8-4F77-BC5F-9988B6A27518}"/>
    <cellStyle name="Normal 8 4 3 6 2 3" xfId="28001" xr:uid="{8FE2788A-3BA3-483D-9502-CA0812AB69E8}"/>
    <cellStyle name="Normal 8 4 3 6 3" xfId="11150" xr:uid="{EDC0808E-E5D6-4883-B89B-2D862E83AD75}"/>
    <cellStyle name="Normal 8 4 3 6 3 2" xfId="23790" xr:uid="{144E7B95-4AD0-4E25-B1D9-E4B3030A8ACC}"/>
    <cellStyle name="Normal 8 4 3 6 4" xfId="19579" xr:uid="{71E83BF7-B4CA-40AD-81D4-15A6323BD305}"/>
    <cellStyle name="Normal 8 4 3 7" xfId="4874" xr:uid="{00000000-0005-0000-0000-00000A1E0000}"/>
    <cellStyle name="Normal 8 4 3 7 2" xfId="13303" xr:uid="{882C2D0F-F80A-4B35-B1F5-EB4D3DC6365F}"/>
    <cellStyle name="Normal 8 4 3 7 3" xfId="25936" xr:uid="{22FB89AC-3B05-43AD-ABA2-4E8376416B9F}"/>
    <cellStyle name="Normal 8 4 3 8" xfId="9085" xr:uid="{3597EFCB-7BD6-46D9-B2D3-9F8D004D6E64}"/>
    <cellStyle name="Normal 8 4 3 8 2" xfId="21725" xr:uid="{87AED957-F051-4A1F-BF4B-48E646A009C1}"/>
    <cellStyle name="Normal 8 4 3 9" xfId="17514" xr:uid="{FDCB2F3F-7B95-4F1E-8A04-F909B171DB9B}"/>
    <cellStyle name="Normal 8 4 4" xfId="971" xr:uid="{00000000-0005-0000-0000-00000B1E0000}"/>
    <cellStyle name="Normal 8 4 4 2" xfId="3205" xr:uid="{00000000-0005-0000-0000-00000C1E0000}"/>
    <cellStyle name="Normal 8 4 4 2 2" xfId="7429" xr:uid="{00000000-0005-0000-0000-00000D1E0000}"/>
    <cellStyle name="Normal 8 4 4 2 2 2" xfId="15858" xr:uid="{9529C253-8B76-429C-9C1A-70150A98E554}"/>
    <cellStyle name="Normal 8 4 4 2 2 3" xfId="28491" xr:uid="{02FD790F-8DCD-4F4A-A1C5-69AFC1EBAFE3}"/>
    <cellStyle name="Normal 8 4 4 2 3" xfId="11640" xr:uid="{EEB15F2E-B0C2-442B-8031-CE2DBF5DBF81}"/>
    <cellStyle name="Normal 8 4 4 2 3 2" xfId="24280" xr:uid="{E0DF22A9-DE69-4B68-931B-A7399746A6F4}"/>
    <cellStyle name="Normal 8 4 4 2 4" xfId="20069" xr:uid="{C1511C4F-FB89-41A7-ADA7-A89FC9FDD39D}"/>
    <cellStyle name="Normal 8 4 4 3" xfId="5284" xr:uid="{00000000-0005-0000-0000-00000E1E0000}"/>
    <cellStyle name="Normal 8 4 4 3 2" xfId="13713" xr:uid="{03B1945D-3322-4C55-977A-B1B3B1DEECA7}"/>
    <cellStyle name="Normal 8 4 4 3 3" xfId="26346" xr:uid="{22EFAC5E-70AC-4AD9-8AD4-D7C37CA22A70}"/>
    <cellStyle name="Normal 8 4 4 4" xfId="9495" xr:uid="{5F467800-7ED3-46BA-99B5-CC884ECD97FB}"/>
    <cellStyle name="Normal 8 4 4 4 2" xfId="22135" xr:uid="{AA7465AF-5C54-4EC5-8134-3579D4A75571}"/>
    <cellStyle name="Normal 8 4 4 5" xfId="17924" xr:uid="{0397565E-EF3C-4920-BE63-57EB89FCA8DF}"/>
    <cellStyle name="Normal 8 4 5" xfId="1388" xr:uid="{00000000-0005-0000-0000-00000F1E0000}"/>
    <cellStyle name="Normal 8 4 5 2" xfId="3618" xr:uid="{00000000-0005-0000-0000-0000101E0000}"/>
    <cellStyle name="Normal 8 4 5 2 2" xfId="7842" xr:uid="{00000000-0005-0000-0000-0000111E0000}"/>
    <cellStyle name="Normal 8 4 5 2 2 2" xfId="16271" xr:uid="{0B31422B-DAF2-4496-B492-B01ACF8E15E7}"/>
    <cellStyle name="Normal 8 4 5 2 2 3" xfId="28904" xr:uid="{709D6336-7ABF-492E-9F9B-1AB8B83C7E33}"/>
    <cellStyle name="Normal 8 4 5 2 3" xfId="12053" xr:uid="{1596C316-E5DA-4C13-AE8A-C7EBA37A31E6}"/>
    <cellStyle name="Normal 8 4 5 2 3 2" xfId="24693" xr:uid="{4CC4DAFA-9755-42E3-964F-EF2388BFDB75}"/>
    <cellStyle name="Normal 8 4 5 2 4" xfId="20482" xr:uid="{9469415A-8BBC-49CC-BF62-6744C442DE01}"/>
    <cellStyle name="Normal 8 4 5 3" xfId="5697" xr:uid="{00000000-0005-0000-0000-0000121E0000}"/>
    <cellStyle name="Normal 8 4 5 3 2" xfId="14126" xr:uid="{D893AD55-620D-4FDA-844C-C1E85B07D95B}"/>
    <cellStyle name="Normal 8 4 5 3 3" xfId="26759" xr:uid="{20FD7DA9-F74B-43F0-9853-50C75B44B99A}"/>
    <cellStyle name="Normal 8 4 5 4" xfId="9908" xr:uid="{2C4D4E95-4B30-48B5-8D7D-26DAD0B43273}"/>
    <cellStyle name="Normal 8 4 5 4 2" xfId="22548" xr:uid="{AB048E21-7803-4770-8F0A-B999755702B5}"/>
    <cellStyle name="Normal 8 4 5 5" xfId="18337" xr:uid="{37E01816-987E-474E-B124-5BEDD14AEC34}"/>
    <cellStyle name="Normal 8 4 6" xfId="1801" xr:uid="{00000000-0005-0000-0000-0000131E0000}"/>
    <cellStyle name="Normal 8 4 6 2" xfId="4031" xr:uid="{00000000-0005-0000-0000-0000141E0000}"/>
    <cellStyle name="Normal 8 4 6 2 2" xfId="8255" xr:uid="{00000000-0005-0000-0000-0000151E0000}"/>
    <cellStyle name="Normal 8 4 6 2 2 2" xfId="16684" xr:uid="{FA11E437-45F6-4257-9C1F-F3934F11D57F}"/>
    <cellStyle name="Normal 8 4 6 2 2 3" xfId="29317" xr:uid="{992E5A99-F9E1-4D38-BC7F-4BDA95197EA0}"/>
    <cellStyle name="Normal 8 4 6 2 3" xfId="12466" xr:uid="{9F1B3E2E-9E82-44D8-96EA-619731C9AB0B}"/>
    <cellStyle name="Normal 8 4 6 2 3 2" xfId="25106" xr:uid="{756AC4AD-B9DD-433D-B6B0-D0212F14225C}"/>
    <cellStyle name="Normal 8 4 6 2 4" xfId="20895" xr:uid="{90182B8D-4B5A-4FAB-8DBF-A6CE561A2C83}"/>
    <cellStyle name="Normal 8 4 6 3" xfId="6110" xr:uid="{00000000-0005-0000-0000-0000161E0000}"/>
    <cellStyle name="Normal 8 4 6 3 2" xfId="14539" xr:uid="{AB5CDEA7-CCB6-4FD4-828A-44726193121E}"/>
    <cellStyle name="Normal 8 4 6 3 3" xfId="27172" xr:uid="{A4A4BE22-EB62-4C68-B0BB-CE112BFD35B5}"/>
    <cellStyle name="Normal 8 4 6 4" xfId="10321" xr:uid="{F1811F9B-3805-4375-A810-020B3DC75038}"/>
    <cellStyle name="Normal 8 4 6 4 2" xfId="22961" xr:uid="{C8A03599-E1E4-4125-A1D9-5BBA6F63803F}"/>
    <cellStyle name="Normal 8 4 6 5" xfId="18750" xr:uid="{8E4CD9E0-19C6-49B5-95E2-5D08E62123F1}"/>
    <cellStyle name="Normal 8 4 7" xfId="2215" xr:uid="{00000000-0005-0000-0000-0000171E0000}"/>
    <cellStyle name="Normal 8 4 7 2" xfId="4444" xr:uid="{00000000-0005-0000-0000-0000181E0000}"/>
    <cellStyle name="Normal 8 4 7 2 2" xfId="8668" xr:uid="{00000000-0005-0000-0000-0000191E0000}"/>
    <cellStyle name="Normal 8 4 7 2 2 2" xfId="17097" xr:uid="{BA395CFF-1E7F-495F-8EBA-D24DDA0B9DA6}"/>
    <cellStyle name="Normal 8 4 7 2 2 3" xfId="29730" xr:uid="{64AD5B80-5D83-46AF-B319-832128ADC9F7}"/>
    <cellStyle name="Normal 8 4 7 2 3" xfId="12879" xr:uid="{277174AD-F4DD-41B4-B721-A9638A830426}"/>
    <cellStyle name="Normal 8 4 7 2 3 2" xfId="25519" xr:uid="{C3F256EF-8699-4851-AB04-5FD78E860C0D}"/>
    <cellStyle name="Normal 8 4 7 2 4" xfId="21308" xr:uid="{4F03EADC-F3D0-4D03-B145-3A8CE2254BC4}"/>
    <cellStyle name="Normal 8 4 7 3" xfId="6523" xr:uid="{00000000-0005-0000-0000-00001A1E0000}"/>
    <cellStyle name="Normal 8 4 7 3 2" xfId="14952" xr:uid="{CDF95105-240D-4277-A451-19823F17F7EA}"/>
    <cellStyle name="Normal 8 4 7 3 3" xfId="27585" xr:uid="{0409E47C-82AB-4B6E-9030-B17B0050F6F1}"/>
    <cellStyle name="Normal 8 4 7 4" xfId="10734" xr:uid="{979FC848-964A-4CDE-B87F-2EAB71CBDAE1}"/>
    <cellStyle name="Normal 8 4 7 4 2" xfId="23374" xr:uid="{3E86787D-5960-41DC-AD4C-CA1DD96687FF}"/>
    <cellStyle name="Normal 8 4 7 5" xfId="19163" xr:uid="{C48A6688-D55A-4973-8078-BF3FA7A83B57}"/>
    <cellStyle name="Normal 8 4 8" xfId="2651" xr:uid="{00000000-0005-0000-0000-00001B1E0000}"/>
    <cellStyle name="Normal 8 4 8 2" xfId="6936" xr:uid="{00000000-0005-0000-0000-00001C1E0000}"/>
    <cellStyle name="Normal 8 4 8 2 2" xfId="15365" xr:uid="{00879B3E-2E20-47B2-846A-09E18B6EDE57}"/>
    <cellStyle name="Normal 8 4 8 2 3" xfId="27998" xr:uid="{750CC7EB-D998-4752-993A-A9D986242176}"/>
    <cellStyle name="Normal 8 4 8 3" xfId="11147" xr:uid="{B846765B-AE58-4A84-A926-ED9CC40080E5}"/>
    <cellStyle name="Normal 8 4 8 3 2" xfId="23787" xr:uid="{32C7230B-E986-41EB-BF44-586807D1F510}"/>
    <cellStyle name="Normal 8 4 8 4" xfId="19576" xr:uid="{1C3DA851-7287-41F8-AE98-2C629C494868}"/>
    <cellStyle name="Normal 8 4 9" xfId="4871" xr:uid="{00000000-0005-0000-0000-00001D1E0000}"/>
    <cellStyle name="Normal 8 4 9 2" xfId="13300" xr:uid="{28917955-F2D5-43C9-8E89-829A9C278207}"/>
    <cellStyle name="Normal 8 4 9 3" xfId="25933" xr:uid="{6CDBCCEA-BD8B-4535-A761-9F941B87F813}"/>
    <cellStyle name="Normal 8 5" xfId="507" xr:uid="{00000000-0005-0000-0000-00001E1E0000}"/>
    <cellStyle name="Normal 8 5 10" xfId="17515" xr:uid="{09FA977C-978A-438C-A683-692EA460DD5D}"/>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F0AC5A71-9CB6-4FA5-9096-9AFE576D8328}"/>
    <cellStyle name="Normal 8 5 2 2 2 2 3" xfId="28496" xr:uid="{5043CABB-2213-44DF-BD01-5CC0534AFA78}"/>
    <cellStyle name="Normal 8 5 2 2 2 3" xfId="11645" xr:uid="{8DEE7D6F-2FA4-4E9B-9313-AFA515B3FDBD}"/>
    <cellStyle name="Normal 8 5 2 2 2 3 2" xfId="24285" xr:uid="{0AD88893-182A-466D-81FD-092D6786B02E}"/>
    <cellStyle name="Normal 8 5 2 2 2 4" xfId="20074" xr:uid="{430D0371-8B34-4CE3-86CC-44A3A8C3C092}"/>
    <cellStyle name="Normal 8 5 2 2 3" xfId="5289" xr:uid="{00000000-0005-0000-0000-0000231E0000}"/>
    <cellStyle name="Normal 8 5 2 2 3 2" xfId="13718" xr:uid="{33C426E3-6707-4EA8-8967-04ACA2CD07B3}"/>
    <cellStyle name="Normal 8 5 2 2 3 3" xfId="26351" xr:uid="{EA0464AF-ED4B-4E52-8301-33B77E3C525A}"/>
    <cellStyle name="Normal 8 5 2 2 4" xfId="9500" xr:uid="{CC64C2B7-21BC-4040-804D-F412DD27BA7B}"/>
    <cellStyle name="Normal 8 5 2 2 4 2" xfId="22140" xr:uid="{14D6BB2C-F010-4828-9376-F8BDB431823B}"/>
    <cellStyle name="Normal 8 5 2 2 5" xfId="17929" xr:uid="{846F0ACA-81D2-48AC-8EAA-F071AB39CE2A}"/>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8C21FFCF-AC21-4E45-848A-FF971D5126BD}"/>
    <cellStyle name="Normal 8 5 2 3 2 2 3" xfId="28909" xr:uid="{8EADEE8E-2ADB-4B0F-B863-D5FA48577C38}"/>
    <cellStyle name="Normal 8 5 2 3 2 3" xfId="12058" xr:uid="{11D4EE0A-DCF9-4CED-944A-9E0E21CDB9E6}"/>
    <cellStyle name="Normal 8 5 2 3 2 3 2" xfId="24698" xr:uid="{502B880F-057C-4E36-A3B7-93976600B0CA}"/>
    <cellStyle name="Normal 8 5 2 3 2 4" xfId="20487" xr:uid="{071B435B-9DBC-4A5A-A8A6-574679F0CFA1}"/>
    <cellStyle name="Normal 8 5 2 3 3" xfId="5702" xr:uid="{00000000-0005-0000-0000-0000271E0000}"/>
    <cellStyle name="Normal 8 5 2 3 3 2" xfId="14131" xr:uid="{E9D20F0F-382B-4128-A135-BFA6811F1CCE}"/>
    <cellStyle name="Normal 8 5 2 3 3 3" xfId="26764" xr:uid="{01020533-62A1-4232-9810-4BDCC859388F}"/>
    <cellStyle name="Normal 8 5 2 3 4" xfId="9913" xr:uid="{9C3C8219-EDF3-4945-8F14-3F1AE4ED5B2D}"/>
    <cellStyle name="Normal 8 5 2 3 4 2" xfId="22553" xr:uid="{7E2D0872-A551-4C7B-ACC7-8F16F9709E95}"/>
    <cellStyle name="Normal 8 5 2 3 5" xfId="18342" xr:uid="{C30823EF-4B92-4A8F-B798-A24C5D5AF43A}"/>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49DA04DB-8A41-4764-BBF8-58C4C6BC4025}"/>
    <cellStyle name="Normal 8 5 2 4 2 2 3" xfId="29322" xr:uid="{569D66F5-EAB5-4ABB-A612-749F3E6C4083}"/>
    <cellStyle name="Normal 8 5 2 4 2 3" xfId="12471" xr:uid="{22AC72FF-DB8F-4251-8AFF-7C6A6C35EBF5}"/>
    <cellStyle name="Normal 8 5 2 4 2 3 2" xfId="25111" xr:uid="{317E6DD8-C289-4D59-B6B3-9E7CAAC6FCF8}"/>
    <cellStyle name="Normal 8 5 2 4 2 4" xfId="20900" xr:uid="{E61B928D-8A61-4D23-B63D-130AD93D7ACD}"/>
    <cellStyle name="Normal 8 5 2 4 3" xfId="6115" xr:uid="{00000000-0005-0000-0000-00002B1E0000}"/>
    <cellStyle name="Normal 8 5 2 4 3 2" xfId="14544" xr:uid="{01F30DBD-224B-4D9D-BA0E-D430D7652D8E}"/>
    <cellStyle name="Normal 8 5 2 4 3 3" xfId="27177" xr:uid="{B3FF653B-63B5-44B3-B70F-4ACE6E4EB61A}"/>
    <cellStyle name="Normal 8 5 2 4 4" xfId="10326" xr:uid="{C52DDEF7-5373-4856-8EB2-1E9BB4F065AE}"/>
    <cellStyle name="Normal 8 5 2 4 4 2" xfId="22966" xr:uid="{7A1849F1-9278-4E75-B026-7860E9235E29}"/>
    <cellStyle name="Normal 8 5 2 4 5" xfId="18755" xr:uid="{8BBC1808-BC15-446C-9476-6D6F0BBDD59C}"/>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A334D207-721C-4AF7-A4F4-5EC6B561C0D7}"/>
    <cellStyle name="Normal 8 5 2 5 2 2 3" xfId="29735" xr:uid="{60A9D894-700A-435E-BE6D-8151F2B13BA6}"/>
    <cellStyle name="Normal 8 5 2 5 2 3" xfId="12884" xr:uid="{900F15B6-4416-4E29-97DB-08E86E05A22A}"/>
    <cellStyle name="Normal 8 5 2 5 2 3 2" xfId="25524" xr:uid="{016DE267-8BBC-46CE-88EF-10D8DF9EA0A0}"/>
    <cellStyle name="Normal 8 5 2 5 2 4" xfId="21313" xr:uid="{D1613342-1DA9-497F-B4AC-4B261A9C962A}"/>
    <cellStyle name="Normal 8 5 2 5 3" xfId="6528" xr:uid="{00000000-0005-0000-0000-00002F1E0000}"/>
    <cellStyle name="Normal 8 5 2 5 3 2" xfId="14957" xr:uid="{13BD5404-6FC2-4A0B-A187-37F6A6F8A907}"/>
    <cellStyle name="Normal 8 5 2 5 3 3" xfId="27590" xr:uid="{D87E00F4-227F-45D2-B2D1-5F704186A8FB}"/>
    <cellStyle name="Normal 8 5 2 5 4" xfId="10739" xr:uid="{E181CCAD-8641-478C-9E97-6E1A6B128F9A}"/>
    <cellStyle name="Normal 8 5 2 5 4 2" xfId="23379" xr:uid="{B91D0D4B-AF09-4228-AC7F-2B456558A594}"/>
    <cellStyle name="Normal 8 5 2 5 5" xfId="19168" xr:uid="{7EFB8B00-79CE-44C2-A43D-8A6691DA61D5}"/>
    <cellStyle name="Normal 8 5 2 6" xfId="2656" xr:uid="{00000000-0005-0000-0000-0000301E0000}"/>
    <cellStyle name="Normal 8 5 2 6 2" xfId="6941" xr:uid="{00000000-0005-0000-0000-0000311E0000}"/>
    <cellStyle name="Normal 8 5 2 6 2 2" xfId="15370" xr:uid="{CA5C50A8-89AE-46C5-8978-AF8053D87540}"/>
    <cellStyle name="Normal 8 5 2 6 2 3" xfId="28003" xr:uid="{8C8D2257-EEBA-441F-A169-C9637F7D6330}"/>
    <cellStyle name="Normal 8 5 2 6 3" xfId="11152" xr:uid="{99F3FFFC-6A1A-4E6C-99FF-F2A3620E1CE9}"/>
    <cellStyle name="Normal 8 5 2 6 3 2" xfId="23792" xr:uid="{7AD4A546-6C60-462B-9002-CD38F70C42CB}"/>
    <cellStyle name="Normal 8 5 2 6 4" xfId="19581" xr:uid="{860066E1-C43B-404A-BB36-F20BCB315BBA}"/>
    <cellStyle name="Normal 8 5 2 7" xfId="4876" xr:uid="{00000000-0005-0000-0000-0000321E0000}"/>
    <cellStyle name="Normal 8 5 2 7 2" xfId="13305" xr:uid="{FF20C62A-7FA9-4915-AA84-3F2371E41EF9}"/>
    <cellStyle name="Normal 8 5 2 7 3" xfId="25938" xr:uid="{7EEA7FCE-F444-442A-A562-118A1142F45C}"/>
    <cellStyle name="Normal 8 5 2 8" xfId="9087" xr:uid="{BD87CF89-ECD5-41AF-B3A4-67744781578C}"/>
    <cellStyle name="Normal 8 5 2 8 2" xfId="21727" xr:uid="{56FBC2EA-5DE2-47AA-828B-3DBB7E3B817F}"/>
    <cellStyle name="Normal 8 5 2 9" xfId="17516" xr:uid="{962907B4-67CC-438F-A0A4-36EB6CD72A13}"/>
    <cellStyle name="Normal 8 5 3" xfId="975" xr:uid="{00000000-0005-0000-0000-0000331E0000}"/>
    <cellStyle name="Normal 8 5 3 2" xfId="3209" xr:uid="{00000000-0005-0000-0000-0000341E0000}"/>
    <cellStyle name="Normal 8 5 3 2 2" xfId="7433" xr:uid="{00000000-0005-0000-0000-0000351E0000}"/>
    <cellStyle name="Normal 8 5 3 2 2 2" xfId="15862" xr:uid="{8C7A3F88-7443-4AE1-B524-66B3AA2AA3E8}"/>
    <cellStyle name="Normal 8 5 3 2 2 3" xfId="28495" xr:uid="{1A7631EA-1026-4B62-A6DF-0B4700BF8146}"/>
    <cellStyle name="Normal 8 5 3 2 3" xfId="11644" xr:uid="{24285231-28D2-4153-ADD6-43CC6AE107A7}"/>
    <cellStyle name="Normal 8 5 3 2 3 2" xfId="24284" xr:uid="{0C80B67C-7E15-4527-9BAB-D37F8CC2B1B1}"/>
    <cellStyle name="Normal 8 5 3 2 4" xfId="20073" xr:uid="{2B7F3369-16FB-46B6-B4BE-9524C6EFA0BA}"/>
    <cellStyle name="Normal 8 5 3 3" xfId="5288" xr:uid="{00000000-0005-0000-0000-0000361E0000}"/>
    <cellStyle name="Normal 8 5 3 3 2" xfId="13717" xr:uid="{940129C1-D484-4F3E-8890-1D9461FC4847}"/>
    <cellStyle name="Normal 8 5 3 3 3" xfId="26350" xr:uid="{C97A8AB8-977B-4776-9EDE-5792E873F790}"/>
    <cellStyle name="Normal 8 5 3 4" xfId="9499" xr:uid="{9BB8660A-DED5-47E1-BD55-2969EBC54AC8}"/>
    <cellStyle name="Normal 8 5 3 4 2" xfId="22139" xr:uid="{2E25564B-C3DE-427A-8FDF-3367847C13CF}"/>
    <cellStyle name="Normal 8 5 3 5" xfId="17928" xr:uid="{046BD8A1-5820-4584-A0E3-963032623699}"/>
    <cellStyle name="Normal 8 5 4" xfId="1392" xr:uid="{00000000-0005-0000-0000-0000371E0000}"/>
    <cellStyle name="Normal 8 5 4 2" xfId="3622" xr:uid="{00000000-0005-0000-0000-0000381E0000}"/>
    <cellStyle name="Normal 8 5 4 2 2" xfId="7846" xr:uid="{00000000-0005-0000-0000-0000391E0000}"/>
    <cellStyle name="Normal 8 5 4 2 2 2" xfId="16275" xr:uid="{53081757-940D-4635-92DC-6168F81D7546}"/>
    <cellStyle name="Normal 8 5 4 2 2 3" xfId="28908" xr:uid="{12F6AC61-7750-49A0-89AE-98849CCC09F9}"/>
    <cellStyle name="Normal 8 5 4 2 3" xfId="12057" xr:uid="{ACC449AA-5821-48EC-95B2-C8F0342E4DC9}"/>
    <cellStyle name="Normal 8 5 4 2 3 2" xfId="24697" xr:uid="{DEEE76A8-6013-4206-82D4-822DD3C35D07}"/>
    <cellStyle name="Normal 8 5 4 2 4" xfId="20486" xr:uid="{6E521BD9-4FAF-4140-BC68-C49CDC27AE91}"/>
    <cellStyle name="Normal 8 5 4 3" xfId="5701" xr:uid="{00000000-0005-0000-0000-00003A1E0000}"/>
    <cellStyle name="Normal 8 5 4 3 2" xfId="14130" xr:uid="{B6BA1F98-744F-43C0-8C20-7510F5286139}"/>
    <cellStyle name="Normal 8 5 4 3 3" xfId="26763" xr:uid="{EB0739A1-7A48-44C9-9E68-7754632E036A}"/>
    <cellStyle name="Normal 8 5 4 4" xfId="9912" xr:uid="{7A7786B2-17E7-4F93-AA59-843EA2133925}"/>
    <cellStyle name="Normal 8 5 4 4 2" xfId="22552" xr:uid="{4FEE8A38-76E9-402E-88DD-7AF3963CBB29}"/>
    <cellStyle name="Normal 8 5 4 5" xfId="18341" xr:uid="{B032D44D-8996-4B65-BA46-242F69D7F740}"/>
    <cellStyle name="Normal 8 5 5" xfId="1805" xr:uid="{00000000-0005-0000-0000-00003B1E0000}"/>
    <cellStyle name="Normal 8 5 5 2" xfId="4035" xr:uid="{00000000-0005-0000-0000-00003C1E0000}"/>
    <cellStyle name="Normal 8 5 5 2 2" xfId="8259" xr:uid="{00000000-0005-0000-0000-00003D1E0000}"/>
    <cellStyle name="Normal 8 5 5 2 2 2" xfId="16688" xr:uid="{CA03B66E-530C-4D9E-8DB1-FFE077740AB6}"/>
    <cellStyle name="Normal 8 5 5 2 2 3" xfId="29321" xr:uid="{7D25C745-3B4A-4E67-9264-F6153E5FC225}"/>
    <cellStyle name="Normal 8 5 5 2 3" xfId="12470" xr:uid="{EB4E1D87-3562-446A-8550-4C63F122ED01}"/>
    <cellStyle name="Normal 8 5 5 2 3 2" xfId="25110" xr:uid="{9B179366-ACAA-454D-80CD-A06AC6BADCD6}"/>
    <cellStyle name="Normal 8 5 5 2 4" xfId="20899" xr:uid="{1A55394E-740D-4EFA-9AA6-62A8B5D8542D}"/>
    <cellStyle name="Normal 8 5 5 3" xfId="6114" xr:uid="{00000000-0005-0000-0000-00003E1E0000}"/>
    <cellStyle name="Normal 8 5 5 3 2" xfId="14543" xr:uid="{5EFFEDE9-6DF2-4BB0-9E4A-4834DEE697E0}"/>
    <cellStyle name="Normal 8 5 5 3 3" xfId="27176" xr:uid="{420A2E7A-D145-483A-BFFA-A84E3EA28EE8}"/>
    <cellStyle name="Normal 8 5 5 4" xfId="10325" xr:uid="{3A344286-4FF6-411E-AE62-A0FCEA773A63}"/>
    <cellStyle name="Normal 8 5 5 4 2" xfId="22965" xr:uid="{869C6880-F34A-46D1-B2B9-C1590222353F}"/>
    <cellStyle name="Normal 8 5 5 5" xfId="18754" xr:uid="{17E48D29-44BC-45E2-AEE7-8FE577AEE787}"/>
    <cellStyle name="Normal 8 5 6" xfId="2219" xr:uid="{00000000-0005-0000-0000-00003F1E0000}"/>
    <cellStyle name="Normal 8 5 6 2" xfId="4448" xr:uid="{00000000-0005-0000-0000-0000401E0000}"/>
    <cellStyle name="Normal 8 5 6 2 2" xfId="8672" xr:uid="{00000000-0005-0000-0000-0000411E0000}"/>
    <cellStyle name="Normal 8 5 6 2 2 2" xfId="17101" xr:uid="{96CD88E4-5B2C-4603-B4C8-255AE74664C1}"/>
    <cellStyle name="Normal 8 5 6 2 2 3" xfId="29734" xr:uid="{4B26BA96-F7F0-421F-9104-C2AAD47C1C25}"/>
    <cellStyle name="Normal 8 5 6 2 3" xfId="12883" xr:uid="{F83F2C36-3AD5-4FE0-B99F-67BB09E55FFF}"/>
    <cellStyle name="Normal 8 5 6 2 3 2" xfId="25523" xr:uid="{B7441542-22C9-47FB-8661-21E631A8F816}"/>
    <cellStyle name="Normal 8 5 6 2 4" xfId="21312" xr:uid="{72E23493-FFE9-4819-86E8-47DC957557F4}"/>
    <cellStyle name="Normal 8 5 6 3" xfId="6527" xr:uid="{00000000-0005-0000-0000-0000421E0000}"/>
    <cellStyle name="Normal 8 5 6 3 2" xfId="14956" xr:uid="{BAE9E6CD-082F-4001-88BE-0AB05F3FE248}"/>
    <cellStyle name="Normal 8 5 6 3 3" xfId="27589" xr:uid="{1554686B-8FDB-4673-ADB8-982E1052F81F}"/>
    <cellStyle name="Normal 8 5 6 4" xfId="10738" xr:uid="{1BD44842-91DF-4AAB-9D20-D0F1576D3D3A}"/>
    <cellStyle name="Normal 8 5 6 4 2" xfId="23378" xr:uid="{F6F0C2C2-5D13-4179-8BE3-6C80C6FF142C}"/>
    <cellStyle name="Normal 8 5 6 5" xfId="19167" xr:uid="{8E006674-5B08-4D72-AFA8-70196F154481}"/>
    <cellStyle name="Normal 8 5 7" xfId="2655" xr:uid="{00000000-0005-0000-0000-0000431E0000}"/>
    <cellStyle name="Normal 8 5 7 2" xfId="6940" xr:uid="{00000000-0005-0000-0000-0000441E0000}"/>
    <cellStyle name="Normal 8 5 7 2 2" xfId="15369" xr:uid="{E4E44590-C779-4519-A565-1016C650C374}"/>
    <cellStyle name="Normal 8 5 7 2 3" xfId="28002" xr:uid="{3599DC6C-C693-4529-B31F-8F9B5944F41E}"/>
    <cellStyle name="Normal 8 5 7 3" xfId="11151" xr:uid="{EF7BA92B-A9BA-46B7-9FF3-34A7309D6999}"/>
    <cellStyle name="Normal 8 5 7 3 2" xfId="23791" xr:uid="{67410702-C2CA-49D0-8B64-37FD93408B9F}"/>
    <cellStyle name="Normal 8 5 7 4" xfId="19580" xr:uid="{65CB8E98-A73E-4CD9-990D-6408A814D542}"/>
    <cellStyle name="Normal 8 5 8" xfId="4875" xr:uid="{00000000-0005-0000-0000-0000451E0000}"/>
    <cellStyle name="Normal 8 5 8 2" xfId="13304" xr:uid="{E40C99A7-F775-463B-B81B-D35639800A24}"/>
    <cellStyle name="Normal 8 5 8 3" xfId="25937" xr:uid="{66D26713-7C58-4B48-99CE-E0C83C4F8B5E}"/>
    <cellStyle name="Normal 8 5 9" xfId="9086" xr:uid="{6E2220D6-B660-44EE-97D9-EBBE49F3D7A8}"/>
    <cellStyle name="Normal 8 5 9 2" xfId="21726" xr:uid="{82F44DAC-08DC-45A1-B143-C620B8285E5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29E815F2-615F-4F1C-B726-58C2E8721D30}"/>
    <cellStyle name="Normal 8 6 2 2 2 3" xfId="28497" xr:uid="{809F2F25-5964-47BF-B43F-F8E4A37F72CE}"/>
    <cellStyle name="Normal 8 6 2 2 3" xfId="11646" xr:uid="{467B83DB-2FE8-42C2-A962-45B65A71B9FC}"/>
    <cellStyle name="Normal 8 6 2 2 3 2" xfId="24286" xr:uid="{7724369B-C1C5-4C8C-9B74-036F4F71816D}"/>
    <cellStyle name="Normal 8 6 2 2 4" xfId="20075" xr:uid="{CD7F71D1-E7E8-49E5-8EF8-C9CBBD0A8778}"/>
    <cellStyle name="Normal 8 6 2 3" xfId="5290" xr:uid="{00000000-0005-0000-0000-00004A1E0000}"/>
    <cellStyle name="Normal 8 6 2 3 2" xfId="13719" xr:uid="{15D7EFDC-D11B-472E-9BAC-CF064FC82E62}"/>
    <cellStyle name="Normal 8 6 2 3 3" xfId="26352" xr:uid="{58E82A77-A1BE-4C26-826B-E107BD4216B4}"/>
    <cellStyle name="Normal 8 6 2 4" xfId="9501" xr:uid="{984509FE-C1E6-4337-8496-75F8B70C6438}"/>
    <cellStyle name="Normal 8 6 2 4 2" xfId="22141" xr:uid="{2478A746-19E5-4D73-AB44-8CBA716F04B6}"/>
    <cellStyle name="Normal 8 6 2 5" xfId="17930" xr:uid="{B84C28CD-2E5B-4FC4-8079-4E353C0D529A}"/>
    <cellStyle name="Normal 8 6 3" xfId="1394" xr:uid="{00000000-0005-0000-0000-00004B1E0000}"/>
    <cellStyle name="Normal 8 6 3 2" xfId="3624" xr:uid="{00000000-0005-0000-0000-00004C1E0000}"/>
    <cellStyle name="Normal 8 6 3 2 2" xfId="7848" xr:uid="{00000000-0005-0000-0000-00004D1E0000}"/>
    <cellStyle name="Normal 8 6 3 2 2 2" xfId="16277" xr:uid="{14D3D592-3576-458F-80C9-8CEB2A45DE58}"/>
    <cellStyle name="Normal 8 6 3 2 2 3" xfId="28910" xr:uid="{3C53B465-E7CF-40E7-87CA-29B264A34898}"/>
    <cellStyle name="Normal 8 6 3 2 3" xfId="12059" xr:uid="{1EB8DE93-096F-4923-9E37-2B8091E7C1AD}"/>
    <cellStyle name="Normal 8 6 3 2 3 2" xfId="24699" xr:uid="{A3637D26-D2D0-40EA-8E9C-CBE59AB6AE8D}"/>
    <cellStyle name="Normal 8 6 3 2 4" xfId="20488" xr:uid="{ABED8D42-D537-4E2A-B4B9-28105A12622A}"/>
    <cellStyle name="Normal 8 6 3 3" xfId="5703" xr:uid="{00000000-0005-0000-0000-00004E1E0000}"/>
    <cellStyle name="Normal 8 6 3 3 2" xfId="14132" xr:uid="{F612F4C7-A678-4489-B572-7CF20A83AF75}"/>
    <cellStyle name="Normal 8 6 3 3 3" xfId="26765" xr:uid="{2A98500D-FEC2-409F-9AFF-23216196910B}"/>
    <cellStyle name="Normal 8 6 3 4" xfId="9914" xr:uid="{1E5F07C3-0F0D-4EA0-83F6-FACDFEDB8B52}"/>
    <cellStyle name="Normal 8 6 3 4 2" xfId="22554" xr:uid="{E1C14AA6-9E58-4F92-A35A-4DC2194CDC8B}"/>
    <cellStyle name="Normal 8 6 3 5" xfId="18343" xr:uid="{016A3028-A5D2-4B9A-A58C-FF8E2A237748}"/>
    <cellStyle name="Normal 8 6 4" xfId="1807" xr:uid="{00000000-0005-0000-0000-00004F1E0000}"/>
    <cellStyle name="Normal 8 6 4 2" xfId="4037" xr:uid="{00000000-0005-0000-0000-0000501E0000}"/>
    <cellStyle name="Normal 8 6 4 2 2" xfId="8261" xr:uid="{00000000-0005-0000-0000-0000511E0000}"/>
    <cellStyle name="Normal 8 6 4 2 2 2" xfId="16690" xr:uid="{9489D890-5295-480B-9DC8-F5FD0C0F8789}"/>
    <cellStyle name="Normal 8 6 4 2 2 3" xfId="29323" xr:uid="{86A8CBEA-EBEF-45FA-9EDB-ABA24573933F}"/>
    <cellStyle name="Normal 8 6 4 2 3" xfId="12472" xr:uid="{8868CD07-95F5-4478-A0D5-A187AF046B82}"/>
    <cellStyle name="Normal 8 6 4 2 3 2" xfId="25112" xr:uid="{4196C649-A5E6-419A-9E41-AD53F68E06E9}"/>
    <cellStyle name="Normal 8 6 4 2 4" xfId="20901" xr:uid="{267B6101-F3DB-4C14-82E7-5142D259EB0C}"/>
    <cellStyle name="Normal 8 6 4 3" xfId="6116" xr:uid="{00000000-0005-0000-0000-0000521E0000}"/>
    <cellStyle name="Normal 8 6 4 3 2" xfId="14545" xr:uid="{6E3308C2-D468-4A37-B849-67E22108EBD4}"/>
    <cellStyle name="Normal 8 6 4 3 3" xfId="27178" xr:uid="{135B96AE-E549-4EC8-A056-1399F6A38EF0}"/>
    <cellStyle name="Normal 8 6 4 4" xfId="10327" xr:uid="{707CB643-7D1E-4417-AF97-E8655FAE415F}"/>
    <cellStyle name="Normal 8 6 4 4 2" xfId="22967" xr:uid="{3330585A-612E-424D-A3A6-8F424C586357}"/>
    <cellStyle name="Normal 8 6 4 5" xfId="18756" xr:uid="{430E815C-8A81-48E2-91BA-C4A8F53BA58E}"/>
    <cellStyle name="Normal 8 6 5" xfId="2221" xr:uid="{00000000-0005-0000-0000-0000531E0000}"/>
    <cellStyle name="Normal 8 6 5 2" xfId="4450" xr:uid="{00000000-0005-0000-0000-0000541E0000}"/>
    <cellStyle name="Normal 8 6 5 2 2" xfId="8674" xr:uid="{00000000-0005-0000-0000-0000551E0000}"/>
    <cellStyle name="Normal 8 6 5 2 2 2" xfId="17103" xr:uid="{C057AA6A-F4CE-4A29-8BDC-377088DDDC7B}"/>
    <cellStyle name="Normal 8 6 5 2 2 3" xfId="29736" xr:uid="{C2216A8F-3EBD-4D2B-B2E1-6B6ED211C464}"/>
    <cellStyle name="Normal 8 6 5 2 3" xfId="12885" xr:uid="{92F67A94-00CF-47C6-89E9-330804F35546}"/>
    <cellStyle name="Normal 8 6 5 2 3 2" xfId="25525" xr:uid="{6173A80A-8545-42F1-A9C4-DCC3EDE2EEEA}"/>
    <cellStyle name="Normal 8 6 5 2 4" xfId="21314" xr:uid="{A62A233E-2641-42E0-8CEF-19CFB8777D91}"/>
    <cellStyle name="Normal 8 6 5 3" xfId="6529" xr:uid="{00000000-0005-0000-0000-0000561E0000}"/>
    <cellStyle name="Normal 8 6 5 3 2" xfId="14958" xr:uid="{13E3D611-4C93-4D68-B27B-ECCA852EBEA6}"/>
    <cellStyle name="Normal 8 6 5 3 3" xfId="27591" xr:uid="{B9A4972F-482D-42CF-BECC-60D4CC30D7ED}"/>
    <cellStyle name="Normal 8 6 5 4" xfId="10740" xr:uid="{B579EA86-6ADF-463F-AAB0-64995DCF3A04}"/>
    <cellStyle name="Normal 8 6 5 4 2" xfId="23380" xr:uid="{BD49303B-504B-4F35-9464-C60C8918BC0F}"/>
    <cellStyle name="Normal 8 6 5 5" xfId="19169" xr:uid="{B2CAD782-96F4-4827-9704-BCBE3FE413B1}"/>
    <cellStyle name="Normal 8 6 6" xfId="2657" xr:uid="{00000000-0005-0000-0000-0000571E0000}"/>
    <cellStyle name="Normal 8 6 6 2" xfId="6942" xr:uid="{00000000-0005-0000-0000-0000581E0000}"/>
    <cellStyle name="Normal 8 6 6 2 2" xfId="15371" xr:uid="{0820BABA-58EA-4398-A69A-90C78C2119D6}"/>
    <cellStyle name="Normal 8 6 6 2 3" xfId="28004" xr:uid="{0C51594D-8854-4CF9-9A41-90F7FBEBDC42}"/>
    <cellStyle name="Normal 8 6 6 3" xfId="11153" xr:uid="{75D94A2A-C0CB-4D92-851B-C54384396C1A}"/>
    <cellStyle name="Normal 8 6 6 3 2" xfId="23793" xr:uid="{1B0580E9-05DF-415A-B3DF-4C086B27615C}"/>
    <cellStyle name="Normal 8 6 6 4" xfId="19582" xr:uid="{1B58B87D-902D-40F6-8AEC-3E7E9665E147}"/>
    <cellStyle name="Normal 8 6 7" xfId="4877" xr:uid="{00000000-0005-0000-0000-0000591E0000}"/>
    <cellStyle name="Normal 8 6 7 2" xfId="13306" xr:uid="{171CF0A2-AD53-4A51-B026-44157FE4DA43}"/>
    <cellStyle name="Normal 8 6 7 3" xfId="25939" xr:uid="{B8A8E172-7BE7-4569-A5C4-205C8DAA3C5B}"/>
    <cellStyle name="Normal 8 6 8" xfId="9088" xr:uid="{D23E0A3D-D0DA-41AD-B248-9A59F0EFB49C}"/>
    <cellStyle name="Normal 8 6 8 2" xfId="21728" xr:uid="{466C7E49-1E8D-4790-B5A5-C76C8D652965}"/>
    <cellStyle name="Normal 8 6 9" xfId="17517" xr:uid="{CB8B3648-4619-4302-8D4F-98B59EB3EB02}"/>
    <cellStyle name="Normal 8 7" xfId="946" xr:uid="{00000000-0005-0000-0000-00005A1E0000}"/>
    <cellStyle name="Normal 8 7 2" xfId="3180" xr:uid="{00000000-0005-0000-0000-00005B1E0000}"/>
    <cellStyle name="Normal 8 7 2 2" xfId="7404" xr:uid="{00000000-0005-0000-0000-00005C1E0000}"/>
    <cellStyle name="Normal 8 7 2 2 2" xfId="15833" xr:uid="{1D77BB69-748F-491B-A479-A4C79E4FFBD5}"/>
    <cellStyle name="Normal 8 7 2 2 3" xfId="28466" xr:uid="{6598856A-1310-4ECD-AEB3-C42BDCE52E1F}"/>
    <cellStyle name="Normal 8 7 2 3" xfId="11615" xr:uid="{BD4407D9-33CD-4181-8783-D807546B892F}"/>
    <cellStyle name="Normal 8 7 2 3 2" xfId="24255" xr:uid="{4BB634F3-AD26-4115-971B-E4CD4E470086}"/>
    <cellStyle name="Normal 8 7 2 4" xfId="20044" xr:uid="{64BCAD66-F3C6-4DA6-8FBA-C115418ED420}"/>
    <cellStyle name="Normal 8 7 3" xfId="5259" xr:uid="{00000000-0005-0000-0000-00005D1E0000}"/>
    <cellStyle name="Normal 8 7 3 2" xfId="13688" xr:uid="{58C0F539-9C67-43C4-B7A8-FE8A95068A6D}"/>
    <cellStyle name="Normal 8 7 3 3" xfId="26321" xr:uid="{A7AFB1B3-F402-4E4C-BDB7-AD30D9B1D1CF}"/>
    <cellStyle name="Normal 8 7 4" xfId="9470" xr:uid="{3ABBF4D2-20A9-4CF3-A34B-697599B1CE73}"/>
    <cellStyle name="Normal 8 7 4 2" xfId="22110" xr:uid="{C37110CE-2C8B-47B5-89E2-DB0E58B704C1}"/>
    <cellStyle name="Normal 8 7 5" xfId="17899" xr:uid="{25D55663-EDD0-4AF6-9E1B-D19DD72EA583}"/>
    <cellStyle name="Normal 8 8" xfId="1363" xr:uid="{00000000-0005-0000-0000-00005E1E0000}"/>
    <cellStyle name="Normal 8 8 2" xfId="3593" xr:uid="{00000000-0005-0000-0000-00005F1E0000}"/>
    <cellStyle name="Normal 8 8 2 2" xfId="7817" xr:uid="{00000000-0005-0000-0000-0000601E0000}"/>
    <cellStyle name="Normal 8 8 2 2 2" xfId="16246" xr:uid="{8E47EA83-9D59-4C89-B5E2-27E2CED7C734}"/>
    <cellStyle name="Normal 8 8 2 2 3" xfId="28879" xr:uid="{66D58EED-6B7A-4DAD-A0CE-0FEE67DB9DCD}"/>
    <cellStyle name="Normal 8 8 2 3" xfId="12028" xr:uid="{12BE0F09-1DD8-44A8-9759-6A9F1FF7BFAE}"/>
    <cellStyle name="Normal 8 8 2 3 2" xfId="24668" xr:uid="{AF51ABDF-3BB1-4975-A7C3-BF22291809CA}"/>
    <cellStyle name="Normal 8 8 2 4" xfId="20457" xr:uid="{A89FE041-5E67-4264-B76F-DF8A0192B110}"/>
    <cellStyle name="Normal 8 8 3" xfId="5672" xr:uid="{00000000-0005-0000-0000-0000611E0000}"/>
    <cellStyle name="Normal 8 8 3 2" xfId="14101" xr:uid="{6366DF17-8740-4886-B590-99F71879A8D8}"/>
    <cellStyle name="Normal 8 8 3 3" xfId="26734" xr:uid="{D302F4FB-7C2A-45D4-9C6F-21A0003B1E6C}"/>
    <cellStyle name="Normal 8 8 4" xfId="9883" xr:uid="{CD2B0786-8AEB-4D94-8108-2191A481FC3D}"/>
    <cellStyle name="Normal 8 8 4 2" xfId="22523" xr:uid="{C726D21C-6933-48B2-9408-BDCC38C80A89}"/>
    <cellStyle name="Normal 8 8 5" xfId="18312" xr:uid="{B5B5E007-71FA-4CF3-8632-0433FDDC18A4}"/>
    <cellStyle name="Normal 8 9" xfId="1776" xr:uid="{00000000-0005-0000-0000-0000621E0000}"/>
    <cellStyle name="Normal 8 9 2" xfId="4006" xr:uid="{00000000-0005-0000-0000-0000631E0000}"/>
    <cellStyle name="Normal 8 9 2 2" xfId="8230" xr:uid="{00000000-0005-0000-0000-0000641E0000}"/>
    <cellStyle name="Normal 8 9 2 2 2" xfId="16659" xr:uid="{D6EA3A73-3851-43B9-A823-1836BF3B127B}"/>
    <cellStyle name="Normal 8 9 2 2 3" xfId="29292" xr:uid="{E5AEA6E8-1784-4F28-9435-A565D35F5389}"/>
    <cellStyle name="Normal 8 9 2 3" xfId="12441" xr:uid="{D89C4042-EA68-42C6-AA33-854C0F2D8616}"/>
    <cellStyle name="Normal 8 9 2 3 2" xfId="25081" xr:uid="{C076020D-BC8B-460E-8F91-DA8F8CD639D2}"/>
    <cellStyle name="Normal 8 9 2 4" xfId="20870" xr:uid="{2E1EA5A6-9F66-4F42-AD7E-86E44802C7C5}"/>
    <cellStyle name="Normal 8 9 3" xfId="6085" xr:uid="{00000000-0005-0000-0000-0000651E0000}"/>
    <cellStyle name="Normal 8 9 3 2" xfId="14514" xr:uid="{7457FE02-EC41-41F3-89A6-C7465330C730}"/>
    <cellStyle name="Normal 8 9 3 3" xfId="27147" xr:uid="{7C2D6B33-8E52-4F84-9397-B36ABF5F5A02}"/>
    <cellStyle name="Normal 8 9 4" xfId="10296" xr:uid="{D1DCEF1A-903F-4574-BC67-0E258F2FB56D}"/>
    <cellStyle name="Normal 8 9 4 2" xfId="22936" xr:uid="{0B217061-8770-4CF8-BCF7-57CED3214479}"/>
    <cellStyle name="Normal 8 9 5" xfId="18725" xr:uid="{E5A6294C-B355-4ADF-9B3B-DA59D0FAF2F6}"/>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3F26DCAB-FEAA-4BC1-A51C-E96F5E6B58D0}"/>
    <cellStyle name="Normal 9 2 10 2 3" xfId="28005" xr:uid="{1A6347B4-B01A-4396-94EB-A468C0A2AD16}"/>
    <cellStyle name="Normal 9 2 10 3" xfId="11154" xr:uid="{87D9CF13-B428-4B44-B99A-A60B261C2253}"/>
    <cellStyle name="Normal 9 2 10 3 2" xfId="23794" xr:uid="{87644B6D-7CCC-40C2-B47E-67BEE1E428EF}"/>
    <cellStyle name="Normal 9 2 10 4" xfId="19583" xr:uid="{90D37068-E5E2-4E21-8785-17DA9D9C6BBF}"/>
    <cellStyle name="Normal 9 2 11" xfId="4878" xr:uid="{00000000-0005-0000-0000-00006A1E0000}"/>
    <cellStyle name="Normal 9 2 11 2" xfId="13307" xr:uid="{62D55475-1639-43AD-A5F6-FB6992BF47B9}"/>
    <cellStyle name="Normal 9 2 11 3" xfId="25940" xr:uid="{6597712D-59D4-4CA8-A097-CB21452EE122}"/>
    <cellStyle name="Normal 9 2 12" xfId="9089" xr:uid="{410DEF6C-DEB0-424B-BA3A-BE53344EA2D1}"/>
    <cellStyle name="Normal 9 2 12 2" xfId="21729" xr:uid="{183D6EE2-7322-4FCA-BCA4-08A890DCAD0B}"/>
    <cellStyle name="Normal 9 2 13" xfId="17518" xr:uid="{2C849790-98A6-4A7A-B9EC-2C4A1309D28F}"/>
    <cellStyle name="Normal 9 2 2" xfId="512" xr:uid="{00000000-0005-0000-0000-00006B1E0000}"/>
    <cellStyle name="Normal 9 2 2 10" xfId="4879" xr:uid="{00000000-0005-0000-0000-00006C1E0000}"/>
    <cellStyle name="Normal 9 2 2 10 2" xfId="13308" xr:uid="{98379CED-6441-48C1-A5AB-5A1F14E91FED}"/>
    <cellStyle name="Normal 9 2 2 10 3" xfId="25941" xr:uid="{90791D4C-C809-4AA5-8C14-691651C9A32A}"/>
    <cellStyle name="Normal 9 2 2 11" xfId="9090" xr:uid="{4842A503-B68A-412B-9D81-8D36EDF6AA5D}"/>
    <cellStyle name="Normal 9 2 2 11 2" xfId="21730" xr:uid="{F38F2530-1A75-415C-A4E3-440AF8B4774B}"/>
    <cellStyle name="Normal 9 2 2 12" xfId="17519" xr:uid="{B904DCF0-81EB-4253-907E-723429BE8D49}"/>
    <cellStyle name="Normal 9 2 2 2" xfId="513" xr:uid="{00000000-0005-0000-0000-00006D1E0000}"/>
    <cellStyle name="Normal 9 2 2 2 10" xfId="9091" xr:uid="{7D1A8E26-EAEE-465D-82A0-C73EB5177410}"/>
    <cellStyle name="Normal 9 2 2 2 10 2" xfId="21731" xr:uid="{944ABD4C-AB5A-486A-BCF9-581AC69515EB}"/>
    <cellStyle name="Normal 9 2 2 2 11" xfId="17520" xr:uid="{3A2516F7-36DD-4A84-AAFA-AD63E629ED83}"/>
    <cellStyle name="Normal 9 2 2 2 2" xfId="514" xr:uid="{00000000-0005-0000-0000-00006E1E0000}"/>
    <cellStyle name="Normal 9 2 2 2 2 10" xfId="17521" xr:uid="{99EA32D0-22B6-4045-8851-5C5AC65B8441}"/>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ED71373E-FAD1-46FF-839C-E0D406451C2F}"/>
    <cellStyle name="Normal 9 2 2 2 2 2 2 2 2 3" xfId="28502" xr:uid="{61599C23-8380-46C7-9C1B-A3B92F078FFB}"/>
    <cellStyle name="Normal 9 2 2 2 2 2 2 2 3" xfId="11651" xr:uid="{F2EBE046-3937-45A3-AF0B-F1A4E9E4CF55}"/>
    <cellStyle name="Normal 9 2 2 2 2 2 2 2 3 2" xfId="24291" xr:uid="{66CBCEDB-4350-4877-BBF8-748B0F6FE5EA}"/>
    <cellStyle name="Normal 9 2 2 2 2 2 2 2 4" xfId="20080" xr:uid="{B8F00D0B-7B7E-4914-BF98-B0DEE68CF30D}"/>
    <cellStyle name="Normal 9 2 2 2 2 2 2 3" xfId="5295" xr:uid="{00000000-0005-0000-0000-0000731E0000}"/>
    <cellStyle name="Normal 9 2 2 2 2 2 2 3 2" xfId="13724" xr:uid="{7824AFC1-E115-456F-B3E3-AAD222F9AB5A}"/>
    <cellStyle name="Normal 9 2 2 2 2 2 2 3 3" xfId="26357" xr:uid="{492C978A-3AE6-4578-9CE1-A305D895BBB9}"/>
    <cellStyle name="Normal 9 2 2 2 2 2 2 4" xfId="9506" xr:uid="{1970B43F-BCD7-472F-A2E1-0B8463A96087}"/>
    <cellStyle name="Normal 9 2 2 2 2 2 2 4 2" xfId="22146" xr:uid="{658F3363-D7F9-4F87-BA10-B1BFD247EC7B}"/>
    <cellStyle name="Normal 9 2 2 2 2 2 2 5" xfId="17935" xr:uid="{10DAFCF2-2C5E-4529-A03F-B03490E1B306}"/>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606EB75B-5434-47B6-8A67-8F6B88F9B1EB}"/>
    <cellStyle name="Normal 9 2 2 2 2 2 3 2 2 3" xfId="28915" xr:uid="{62AA0BFC-9A93-46FB-A926-3EEAE4109EA7}"/>
    <cellStyle name="Normal 9 2 2 2 2 2 3 2 3" xfId="12064" xr:uid="{3B7E13A3-167B-4863-B427-E595B139D14F}"/>
    <cellStyle name="Normal 9 2 2 2 2 2 3 2 3 2" xfId="24704" xr:uid="{93B28A4E-5FE0-4FD9-A3A4-846A3C422DC3}"/>
    <cellStyle name="Normal 9 2 2 2 2 2 3 2 4" xfId="20493" xr:uid="{4209B87C-D9D3-478A-BAA1-51D977907FF9}"/>
    <cellStyle name="Normal 9 2 2 2 2 2 3 3" xfId="5708" xr:uid="{00000000-0005-0000-0000-0000771E0000}"/>
    <cellStyle name="Normal 9 2 2 2 2 2 3 3 2" xfId="14137" xr:uid="{F52CEF93-80FD-4DAF-93C5-79FDE236AE11}"/>
    <cellStyle name="Normal 9 2 2 2 2 2 3 3 3" xfId="26770" xr:uid="{2AC50F1F-7FE0-4EF7-B253-19901F3278ED}"/>
    <cellStyle name="Normal 9 2 2 2 2 2 3 4" xfId="9919" xr:uid="{0ABD14EE-1133-419D-BD1B-54602B600FEB}"/>
    <cellStyle name="Normal 9 2 2 2 2 2 3 4 2" xfId="22559" xr:uid="{AA06562F-B2AA-44FB-B617-7C1E05328D23}"/>
    <cellStyle name="Normal 9 2 2 2 2 2 3 5" xfId="18348" xr:uid="{7E8EE4C6-E3C9-4434-82F0-C33FF4C0D84B}"/>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1CEA3287-8AC2-4DCB-9AA5-B0BB4E0A45A5}"/>
    <cellStyle name="Normal 9 2 2 2 2 2 4 2 2 3" xfId="29328" xr:uid="{293619CF-A37F-4CD5-A079-26FF7F6D6FD1}"/>
    <cellStyle name="Normal 9 2 2 2 2 2 4 2 3" xfId="12477" xr:uid="{17C94FAB-1173-4700-B9FF-BDB6BEF27B0A}"/>
    <cellStyle name="Normal 9 2 2 2 2 2 4 2 3 2" xfId="25117" xr:uid="{5176F7B6-AF10-491F-8BC9-991580A5F89B}"/>
    <cellStyle name="Normal 9 2 2 2 2 2 4 2 4" xfId="20906" xr:uid="{38ED79C4-F3FA-4828-95A9-DD547069BB71}"/>
    <cellStyle name="Normal 9 2 2 2 2 2 4 3" xfId="6121" xr:uid="{00000000-0005-0000-0000-00007B1E0000}"/>
    <cellStyle name="Normal 9 2 2 2 2 2 4 3 2" xfId="14550" xr:uid="{A8D3F772-DA15-4004-932E-43602DD4A88F}"/>
    <cellStyle name="Normal 9 2 2 2 2 2 4 3 3" xfId="27183" xr:uid="{A0BDD07D-4453-4DEB-8221-E4378936F23B}"/>
    <cellStyle name="Normal 9 2 2 2 2 2 4 4" xfId="10332" xr:uid="{37EDF508-691E-4070-968E-E8C9DB8A1095}"/>
    <cellStyle name="Normal 9 2 2 2 2 2 4 4 2" xfId="22972" xr:uid="{FFC5A3F0-0089-4246-8561-75CFEDE04F36}"/>
    <cellStyle name="Normal 9 2 2 2 2 2 4 5" xfId="18761" xr:uid="{5F78DAE1-0502-4A6C-ADF7-4F966FBA3207}"/>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85CA0FB6-CA3E-4695-BE2F-9DB2E06C926C}"/>
    <cellStyle name="Normal 9 2 2 2 2 2 5 2 2 3" xfId="29741" xr:uid="{0A5EF7AF-DAB7-4908-B031-A07AA92E7F00}"/>
    <cellStyle name="Normal 9 2 2 2 2 2 5 2 3" xfId="12890" xr:uid="{9D6F9E28-A6FF-4CA3-B3CE-07FDCF4EF11B}"/>
    <cellStyle name="Normal 9 2 2 2 2 2 5 2 3 2" xfId="25530" xr:uid="{41BA17DF-AA21-4066-AD3F-45D43C1C824D}"/>
    <cellStyle name="Normal 9 2 2 2 2 2 5 2 4" xfId="21319" xr:uid="{DAA0A1A3-2392-4C6A-BF62-F7BD25A7CA94}"/>
    <cellStyle name="Normal 9 2 2 2 2 2 5 3" xfId="6534" xr:uid="{00000000-0005-0000-0000-00007F1E0000}"/>
    <cellStyle name="Normal 9 2 2 2 2 2 5 3 2" xfId="14963" xr:uid="{06C6074A-709A-4A8B-BA6A-49D1612A6348}"/>
    <cellStyle name="Normal 9 2 2 2 2 2 5 3 3" xfId="27596" xr:uid="{D5CAFE07-CFEC-4F95-B3E4-44E4B4727C87}"/>
    <cellStyle name="Normal 9 2 2 2 2 2 5 4" xfId="10745" xr:uid="{799E6CFE-A091-4FD3-AACF-186E1F40A152}"/>
    <cellStyle name="Normal 9 2 2 2 2 2 5 4 2" xfId="23385" xr:uid="{4A109717-E714-4378-B5AE-3851878BA504}"/>
    <cellStyle name="Normal 9 2 2 2 2 2 5 5" xfId="19174" xr:uid="{1AA768C4-40B4-4053-80FF-E6BE3ED753E9}"/>
    <cellStyle name="Normal 9 2 2 2 2 2 6" xfId="2662" xr:uid="{00000000-0005-0000-0000-0000801E0000}"/>
    <cellStyle name="Normal 9 2 2 2 2 2 6 2" xfId="6947" xr:uid="{00000000-0005-0000-0000-0000811E0000}"/>
    <cellStyle name="Normal 9 2 2 2 2 2 6 2 2" xfId="15376" xr:uid="{D7AE16E2-5D54-4640-9D02-C9DEC007C92D}"/>
    <cellStyle name="Normal 9 2 2 2 2 2 6 2 3" xfId="28009" xr:uid="{D6A2ABB7-B51A-4AD8-8104-19668B391234}"/>
    <cellStyle name="Normal 9 2 2 2 2 2 6 3" xfId="11158" xr:uid="{639C71A0-3BD6-4991-A602-11BD332F60AC}"/>
    <cellStyle name="Normal 9 2 2 2 2 2 6 3 2" xfId="23798" xr:uid="{7419CBB3-7CAE-48A3-8951-DF2060BA9130}"/>
    <cellStyle name="Normal 9 2 2 2 2 2 6 4" xfId="19587" xr:uid="{9B99EE0E-9347-499C-8F81-D9AFBE7BE86D}"/>
    <cellStyle name="Normal 9 2 2 2 2 2 7" xfId="4882" xr:uid="{00000000-0005-0000-0000-0000821E0000}"/>
    <cellStyle name="Normal 9 2 2 2 2 2 7 2" xfId="13311" xr:uid="{EC0B42FA-C611-4569-838B-397B6681A2FE}"/>
    <cellStyle name="Normal 9 2 2 2 2 2 7 3" xfId="25944" xr:uid="{604871F5-1E9E-4458-AAB2-50542B666846}"/>
    <cellStyle name="Normal 9 2 2 2 2 2 8" xfId="9093" xr:uid="{5B5C31E4-3E5B-4BB0-B537-8273161A1809}"/>
    <cellStyle name="Normal 9 2 2 2 2 2 8 2" xfId="21733" xr:uid="{84C4BB77-3149-4A91-8C9A-5E3104A6B22E}"/>
    <cellStyle name="Normal 9 2 2 2 2 2 9" xfId="17522" xr:uid="{69945D75-9249-45C2-BD53-08E051BB70D3}"/>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A1A7E789-16E4-42D1-A11B-16D4D3F4F55A}"/>
    <cellStyle name="Normal 9 2 2 2 2 3 2 2 3" xfId="28501" xr:uid="{07A0F723-0440-431B-A978-3319C3F92A91}"/>
    <cellStyle name="Normal 9 2 2 2 2 3 2 3" xfId="11650" xr:uid="{6C9C9F5E-77E8-4A96-8FEC-7632B6F68A48}"/>
    <cellStyle name="Normal 9 2 2 2 2 3 2 3 2" xfId="24290" xr:uid="{984EB48B-C850-497B-9E79-10F53DC7BD07}"/>
    <cellStyle name="Normal 9 2 2 2 2 3 2 4" xfId="20079" xr:uid="{9372BD07-C1AD-4AC6-887D-1F594B939A3A}"/>
    <cellStyle name="Normal 9 2 2 2 2 3 3" xfId="5294" xr:uid="{00000000-0005-0000-0000-0000861E0000}"/>
    <cellStyle name="Normal 9 2 2 2 2 3 3 2" xfId="13723" xr:uid="{311D1376-43E6-4A6D-AEB3-F62A3BF092F2}"/>
    <cellStyle name="Normal 9 2 2 2 2 3 3 3" xfId="26356" xr:uid="{120AA7C1-1037-4FCA-B050-B4AB106D43F3}"/>
    <cellStyle name="Normal 9 2 2 2 2 3 4" xfId="9505" xr:uid="{0CD06CAB-587B-41BB-A9FC-F37AAF7999DB}"/>
    <cellStyle name="Normal 9 2 2 2 2 3 4 2" xfId="22145" xr:uid="{F9763510-D9FA-464B-AEE1-9AC712908AD5}"/>
    <cellStyle name="Normal 9 2 2 2 2 3 5" xfId="17934" xr:uid="{CEDA57CD-6D93-43C0-A52D-637C5B054F6F}"/>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0EC0A79C-A52C-4607-9C09-1A1FA8F638AD}"/>
    <cellStyle name="Normal 9 2 2 2 2 4 2 2 3" xfId="28914" xr:uid="{893AA428-8ACD-4035-89CF-7D3244AB73D3}"/>
    <cellStyle name="Normal 9 2 2 2 2 4 2 3" xfId="12063" xr:uid="{023D3EBD-84BE-409E-8771-915F860058D0}"/>
    <cellStyle name="Normal 9 2 2 2 2 4 2 3 2" xfId="24703" xr:uid="{5FDC2E19-7B32-4E80-8610-02EFF6856573}"/>
    <cellStyle name="Normal 9 2 2 2 2 4 2 4" xfId="20492" xr:uid="{C142B65C-AF72-447A-91C6-A913C825C5E0}"/>
    <cellStyle name="Normal 9 2 2 2 2 4 3" xfId="5707" xr:uid="{00000000-0005-0000-0000-00008A1E0000}"/>
    <cellStyle name="Normal 9 2 2 2 2 4 3 2" xfId="14136" xr:uid="{C805F0FE-3CD8-4171-86DB-5ED0C7335994}"/>
    <cellStyle name="Normal 9 2 2 2 2 4 3 3" xfId="26769" xr:uid="{0EDA785F-4F46-417B-90B8-BC764611131F}"/>
    <cellStyle name="Normal 9 2 2 2 2 4 4" xfId="9918" xr:uid="{B4C5037D-750A-470C-BED5-4D6FCC1EFFB3}"/>
    <cellStyle name="Normal 9 2 2 2 2 4 4 2" xfId="22558" xr:uid="{E3AE1071-4C8F-4C37-BEA4-633FE7C00EC2}"/>
    <cellStyle name="Normal 9 2 2 2 2 4 5" xfId="18347" xr:uid="{D5E446D1-C991-4D1D-AFDF-3E9CD93DE4B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D54E26BE-887B-4924-8AFC-F01E73DC057A}"/>
    <cellStyle name="Normal 9 2 2 2 2 5 2 2 3" xfId="29327" xr:uid="{34B3AAE6-2FB3-46E2-A574-A44CF4B0D01B}"/>
    <cellStyle name="Normal 9 2 2 2 2 5 2 3" xfId="12476" xr:uid="{1A0D1F1B-E77A-4EF4-908A-CBEC93B9CA1F}"/>
    <cellStyle name="Normal 9 2 2 2 2 5 2 3 2" xfId="25116" xr:uid="{B8FE0150-2463-4C7C-9A9C-CED14042EBF7}"/>
    <cellStyle name="Normal 9 2 2 2 2 5 2 4" xfId="20905" xr:uid="{2494F297-02AB-4CFE-B8DB-EC172A42118F}"/>
    <cellStyle name="Normal 9 2 2 2 2 5 3" xfId="6120" xr:uid="{00000000-0005-0000-0000-00008E1E0000}"/>
    <cellStyle name="Normal 9 2 2 2 2 5 3 2" xfId="14549" xr:uid="{82F109C1-FFA9-4B5F-ACA8-89D7B7B0BABA}"/>
    <cellStyle name="Normal 9 2 2 2 2 5 3 3" xfId="27182" xr:uid="{EE598F12-9DA4-4F2C-911B-412243457805}"/>
    <cellStyle name="Normal 9 2 2 2 2 5 4" xfId="10331" xr:uid="{8F9C89EB-40FC-4016-94EA-51208972B0E1}"/>
    <cellStyle name="Normal 9 2 2 2 2 5 4 2" xfId="22971" xr:uid="{AC688A7A-3EAB-434B-82F7-05D757CE805B}"/>
    <cellStyle name="Normal 9 2 2 2 2 5 5" xfId="18760" xr:uid="{2DB08CBD-81A5-4478-9CED-979B3746E262}"/>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78A01C4E-2FB2-46A0-A878-1E5BB2155020}"/>
    <cellStyle name="Normal 9 2 2 2 2 6 2 2 3" xfId="29740" xr:uid="{031266BE-D9AC-4C66-B68D-4197FDB3D49D}"/>
    <cellStyle name="Normal 9 2 2 2 2 6 2 3" xfId="12889" xr:uid="{E0F4189A-C47B-4957-8EF7-EFA72865B323}"/>
    <cellStyle name="Normal 9 2 2 2 2 6 2 3 2" xfId="25529" xr:uid="{B9AD8995-5B9C-45BA-B33A-CA9D6EF736F0}"/>
    <cellStyle name="Normal 9 2 2 2 2 6 2 4" xfId="21318" xr:uid="{636186C6-C73C-4807-B15C-205081195BC9}"/>
    <cellStyle name="Normal 9 2 2 2 2 6 3" xfId="6533" xr:uid="{00000000-0005-0000-0000-0000921E0000}"/>
    <cellStyle name="Normal 9 2 2 2 2 6 3 2" xfId="14962" xr:uid="{6F1840C9-CBB5-4063-B736-E1E3F7CD573F}"/>
    <cellStyle name="Normal 9 2 2 2 2 6 3 3" xfId="27595" xr:uid="{AB4346A3-540B-45F6-B9E3-2835CBF17E33}"/>
    <cellStyle name="Normal 9 2 2 2 2 6 4" xfId="10744" xr:uid="{31C2934D-E39B-45E9-8F89-6E83C82827DC}"/>
    <cellStyle name="Normal 9 2 2 2 2 6 4 2" xfId="23384" xr:uid="{1DB7C5EC-9BC9-43C5-9E74-5483195C1CAF}"/>
    <cellStyle name="Normal 9 2 2 2 2 6 5" xfId="19173" xr:uid="{CFB58BB1-910A-4E22-8935-8C4CA0EF50C4}"/>
    <cellStyle name="Normal 9 2 2 2 2 7" xfId="2661" xr:uid="{00000000-0005-0000-0000-0000931E0000}"/>
    <cellStyle name="Normal 9 2 2 2 2 7 2" xfId="6946" xr:uid="{00000000-0005-0000-0000-0000941E0000}"/>
    <cellStyle name="Normal 9 2 2 2 2 7 2 2" xfId="15375" xr:uid="{6ED01721-6799-4A39-AF6B-B8F765CEA581}"/>
    <cellStyle name="Normal 9 2 2 2 2 7 2 3" xfId="28008" xr:uid="{CDDD8DC3-1521-426B-B59F-81B4A0D45603}"/>
    <cellStyle name="Normal 9 2 2 2 2 7 3" xfId="11157" xr:uid="{DD60F1F2-99FF-41B2-B6DE-851D6B9421E4}"/>
    <cellStyle name="Normal 9 2 2 2 2 7 3 2" xfId="23797" xr:uid="{C229179D-36CF-4DA6-84F4-6616CB513DDB}"/>
    <cellStyle name="Normal 9 2 2 2 2 7 4" xfId="19586" xr:uid="{82BB70B2-9757-41B2-B081-13C01C1A9C18}"/>
    <cellStyle name="Normal 9 2 2 2 2 8" xfId="4881" xr:uid="{00000000-0005-0000-0000-0000951E0000}"/>
    <cellStyle name="Normal 9 2 2 2 2 8 2" xfId="13310" xr:uid="{C231A518-9942-4923-8164-FC7D4E6080C4}"/>
    <cellStyle name="Normal 9 2 2 2 2 8 3" xfId="25943" xr:uid="{4041E4AB-B926-40EC-A763-4073B12886DD}"/>
    <cellStyle name="Normal 9 2 2 2 2 9" xfId="9092" xr:uid="{738A4B2C-4D0E-4C36-8F7A-E785E349423C}"/>
    <cellStyle name="Normal 9 2 2 2 2 9 2" xfId="21732" xr:uid="{9CD93577-24E4-4E89-A461-562A8C3216B8}"/>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E4FBA2C2-48A6-4AC9-9AB4-CDE36F35D200}"/>
    <cellStyle name="Normal 9 2 2 2 3 2 2 2 3" xfId="28503" xr:uid="{204D4C8C-5E65-4C5E-AEA3-569B25ED0D72}"/>
    <cellStyle name="Normal 9 2 2 2 3 2 2 3" xfId="11652" xr:uid="{BC181919-3224-4C94-820F-D863BF778864}"/>
    <cellStyle name="Normal 9 2 2 2 3 2 2 3 2" xfId="24292" xr:uid="{BCD5C1D5-A236-44CD-AF84-BFBD2D4C43C8}"/>
    <cellStyle name="Normal 9 2 2 2 3 2 2 4" xfId="20081" xr:uid="{3E232312-3420-4C49-9D53-33E20D4CF7AA}"/>
    <cellStyle name="Normal 9 2 2 2 3 2 3" xfId="5296" xr:uid="{00000000-0005-0000-0000-00009A1E0000}"/>
    <cellStyle name="Normal 9 2 2 2 3 2 3 2" xfId="13725" xr:uid="{8EA818F4-D8AB-45A1-88F4-362290DFCA8E}"/>
    <cellStyle name="Normal 9 2 2 2 3 2 3 3" xfId="26358" xr:uid="{18E2D9E2-A4AA-402D-B3DB-3A6DD195D421}"/>
    <cellStyle name="Normal 9 2 2 2 3 2 4" xfId="9507" xr:uid="{2938596B-C178-4784-91E5-3C549C394313}"/>
    <cellStyle name="Normal 9 2 2 2 3 2 4 2" xfId="22147" xr:uid="{62CE1F89-5C18-4772-98A5-538B322F3855}"/>
    <cellStyle name="Normal 9 2 2 2 3 2 5" xfId="17936" xr:uid="{C0F0AE68-F2C6-45B8-A9C2-57973437979C}"/>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901D868E-4A01-4361-8FAB-A103968D6C48}"/>
    <cellStyle name="Normal 9 2 2 2 3 3 2 2 3" xfId="28916" xr:uid="{F1910B7B-BC47-4465-B596-A16615FAB566}"/>
    <cellStyle name="Normal 9 2 2 2 3 3 2 3" xfId="12065" xr:uid="{56B0796A-A203-49E8-9050-7254BB1B29CF}"/>
    <cellStyle name="Normal 9 2 2 2 3 3 2 3 2" xfId="24705" xr:uid="{E9BC26C6-CB01-4503-86C2-D3E5BD370809}"/>
    <cellStyle name="Normal 9 2 2 2 3 3 2 4" xfId="20494" xr:uid="{DDE22725-21E7-476D-962D-C91CE3EE2E06}"/>
    <cellStyle name="Normal 9 2 2 2 3 3 3" xfId="5709" xr:uid="{00000000-0005-0000-0000-00009E1E0000}"/>
    <cellStyle name="Normal 9 2 2 2 3 3 3 2" xfId="14138" xr:uid="{239B1384-C003-4FCA-99D9-1878535D838D}"/>
    <cellStyle name="Normal 9 2 2 2 3 3 3 3" xfId="26771" xr:uid="{82403279-113C-415C-A472-5DDCD5595E38}"/>
    <cellStyle name="Normal 9 2 2 2 3 3 4" xfId="9920" xr:uid="{96CBFDA0-B0AF-4A1E-A222-B3A48105F479}"/>
    <cellStyle name="Normal 9 2 2 2 3 3 4 2" xfId="22560" xr:uid="{7BA08A99-46AD-42BA-B3D9-F62BCD5D15FB}"/>
    <cellStyle name="Normal 9 2 2 2 3 3 5" xfId="18349" xr:uid="{1A72D5D2-68A7-40B6-BBF6-29C5362B4BB6}"/>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E9CFA1A6-AC65-487D-A1D5-33CC06074B4A}"/>
    <cellStyle name="Normal 9 2 2 2 3 4 2 2 3" xfId="29329" xr:uid="{0A6DF695-6FC6-46F8-9867-2322D11DF4F7}"/>
    <cellStyle name="Normal 9 2 2 2 3 4 2 3" xfId="12478" xr:uid="{41879FB6-ECEE-47A3-B088-E5D09966BAC9}"/>
    <cellStyle name="Normal 9 2 2 2 3 4 2 3 2" xfId="25118" xr:uid="{103EDD87-89DC-4D5A-8EAF-C77B52362BE3}"/>
    <cellStyle name="Normal 9 2 2 2 3 4 2 4" xfId="20907" xr:uid="{C3DF9622-178B-4F02-ACF0-1CE5370A82B2}"/>
    <cellStyle name="Normal 9 2 2 2 3 4 3" xfId="6122" xr:uid="{00000000-0005-0000-0000-0000A21E0000}"/>
    <cellStyle name="Normal 9 2 2 2 3 4 3 2" xfId="14551" xr:uid="{3E7A7BCE-0ABD-4B62-BDA9-165367285789}"/>
    <cellStyle name="Normal 9 2 2 2 3 4 3 3" xfId="27184" xr:uid="{5118205D-A347-48CC-B8C5-8C5E380ACDC0}"/>
    <cellStyle name="Normal 9 2 2 2 3 4 4" xfId="10333" xr:uid="{FE828B4E-9BE5-4794-86F4-3FB430AAE7BC}"/>
    <cellStyle name="Normal 9 2 2 2 3 4 4 2" xfId="22973" xr:uid="{6C13E70E-DD70-45E9-A720-0D86FC2303FA}"/>
    <cellStyle name="Normal 9 2 2 2 3 4 5" xfId="18762" xr:uid="{01B7D919-E8E9-4B73-B7F0-A4E3088487DF}"/>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0E44F496-E326-4150-9C99-FF7C8DF2B945}"/>
    <cellStyle name="Normal 9 2 2 2 3 5 2 2 3" xfId="29742" xr:uid="{4E1BCDC2-A9B9-4822-9786-4F67B045BA01}"/>
    <cellStyle name="Normal 9 2 2 2 3 5 2 3" xfId="12891" xr:uid="{60B695A6-6F32-459D-B508-61F6E8CC3A47}"/>
    <cellStyle name="Normal 9 2 2 2 3 5 2 3 2" xfId="25531" xr:uid="{156F1CEA-1B31-4F46-9CD5-602DD2C7A5EF}"/>
    <cellStyle name="Normal 9 2 2 2 3 5 2 4" xfId="21320" xr:uid="{55F6D2FC-CA41-4939-96E3-83252BB27797}"/>
    <cellStyle name="Normal 9 2 2 2 3 5 3" xfId="6535" xr:uid="{00000000-0005-0000-0000-0000A61E0000}"/>
    <cellStyle name="Normal 9 2 2 2 3 5 3 2" xfId="14964" xr:uid="{202BD8FE-1439-4C64-9FA1-51679923A5DB}"/>
    <cellStyle name="Normal 9 2 2 2 3 5 3 3" xfId="27597" xr:uid="{BB751916-5D75-447E-8D5E-C0A4933B829B}"/>
    <cellStyle name="Normal 9 2 2 2 3 5 4" xfId="10746" xr:uid="{94286524-6AD5-4D17-B6B2-EA1693071EC5}"/>
    <cellStyle name="Normal 9 2 2 2 3 5 4 2" xfId="23386" xr:uid="{240641E4-11A7-49A6-A8EC-12D93B3FF0E8}"/>
    <cellStyle name="Normal 9 2 2 2 3 5 5" xfId="19175" xr:uid="{BFB71FAC-90EE-402A-98B7-55BE220E5516}"/>
    <cellStyle name="Normal 9 2 2 2 3 6" xfId="2663" xr:uid="{00000000-0005-0000-0000-0000A71E0000}"/>
    <cellStyle name="Normal 9 2 2 2 3 6 2" xfId="6948" xr:uid="{00000000-0005-0000-0000-0000A81E0000}"/>
    <cellStyle name="Normal 9 2 2 2 3 6 2 2" xfId="15377" xr:uid="{67BCD8DB-773A-4269-ACFA-4B9488AB0F97}"/>
    <cellStyle name="Normal 9 2 2 2 3 6 2 3" xfId="28010" xr:uid="{68DA03F7-7EB6-4BC0-8185-E15AD01AA7AF}"/>
    <cellStyle name="Normal 9 2 2 2 3 6 3" xfId="11159" xr:uid="{D52E53A2-6943-4985-9BFC-38DFD548A09C}"/>
    <cellStyle name="Normal 9 2 2 2 3 6 3 2" xfId="23799" xr:uid="{3A09B2AE-E6EE-4742-BFE3-93BBDF42DF1A}"/>
    <cellStyle name="Normal 9 2 2 2 3 6 4" xfId="19588" xr:uid="{40EB175E-F037-4521-83EC-5412A03AE819}"/>
    <cellStyle name="Normal 9 2 2 2 3 7" xfId="4883" xr:uid="{00000000-0005-0000-0000-0000A91E0000}"/>
    <cellStyle name="Normal 9 2 2 2 3 7 2" xfId="13312" xr:uid="{22DFB5CF-0F92-4C0E-980D-62B121E097CC}"/>
    <cellStyle name="Normal 9 2 2 2 3 7 3" xfId="25945" xr:uid="{B2989DEB-FF89-4F67-AF01-1E6D4B130745}"/>
    <cellStyle name="Normal 9 2 2 2 3 8" xfId="9094" xr:uid="{BBAFA218-17E5-4600-BF17-C4B6E31B5F3C}"/>
    <cellStyle name="Normal 9 2 2 2 3 8 2" xfId="21734" xr:uid="{19F38082-E49D-48D6-BF71-4511490AB181}"/>
    <cellStyle name="Normal 9 2 2 2 3 9" xfId="17523" xr:uid="{2AF6E253-EB4E-4BAD-A00C-BDF7ED398372}"/>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240421B7-1191-4F7B-8919-3CD4260C1FBD}"/>
    <cellStyle name="Normal 9 2 2 2 4 2 2 3" xfId="28500" xr:uid="{072C826F-DC92-4117-ADF5-045F8BFCE316}"/>
    <cellStyle name="Normal 9 2 2 2 4 2 3" xfId="11649" xr:uid="{7CA89046-CBEE-48B1-A743-7B81D94F67E1}"/>
    <cellStyle name="Normal 9 2 2 2 4 2 3 2" xfId="24289" xr:uid="{E10CF2BE-BA86-47C0-B839-09D4EDBB7F54}"/>
    <cellStyle name="Normal 9 2 2 2 4 2 4" xfId="20078" xr:uid="{B89214C7-FFDD-4848-8BC1-62CDD79A6853}"/>
    <cellStyle name="Normal 9 2 2 2 4 3" xfId="5293" xr:uid="{00000000-0005-0000-0000-0000AD1E0000}"/>
    <cellStyle name="Normal 9 2 2 2 4 3 2" xfId="13722" xr:uid="{5CE4EB35-B93A-4569-BF29-958C7B11B2AE}"/>
    <cellStyle name="Normal 9 2 2 2 4 3 3" xfId="26355" xr:uid="{A91C49A7-854F-433E-BCB4-A59BD61D7996}"/>
    <cellStyle name="Normal 9 2 2 2 4 4" xfId="9504" xr:uid="{9A62D7A2-373B-41BF-97BE-58936FC0E63D}"/>
    <cellStyle name="Normal 9 2 2 2 4 4 2" xfId="22144" xr:uid="{1A86E116-5B2B-4099-A647-00BABAF63403}"/>
    <cellStyle name="Normal 9 2 2 2 4 5" xfId="17933" xr:uid="{BB1E0A75-753C-457D-BD39-D0E28955BCC9}"/>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B082D056-7650-49C0-AE19-324FEDAAE179}"/>
    <cellStyle name="Normal 9 2 2 2 5 2 2 3" xfId="28913" xr:uid="{D6ACD95A-9309-4A0E-B9FB-1BD2B7FFE078}"/>
    <cellStyle name="Normal 9 2 2 2 5 2 3" xfId="12062" xr:uid="{DA5C9129-5C35-467A-9932-B946856B6486}"/>
    <cellStyle name="Normal 9 2 2 2 5 2 3 2" xfId="24702" xr:uid="{C46568F9-050A-416B-9A65-90F66AD0B245}"/>
    <cellStyle name="Normal 9 2 2 2 5 2 4" xfId="20491" xr:uid="{6E9EE1C5-5C6E-42DE-A0E2-6D04714DFE0E}"/>
    <cellStyle name="Normal 9 2 2 2 5 3" xfId="5706" xr:uid="{00000000-0005-0000-0000-0000B11E0000}"/>
    <cellStyle name="Normal 9 2 2 2 5 3 2" xfId="14135" xr:uid="{51903B5E-E5DF-4C95-984E-9F5FE1E73337}"/>
    <cellStyle name="Normal 9 2 2 2 5 3 3" xfId="26768" xr:uid="{27EF8CA2-BB3F-4AE4-8716-3FD5E5A055F6}"/>
    <cellStyle name="Normal 9 2 2 2 5 4" xfId="9917" xr:uid="{07740A3A-7036-44DB-9B85-4E65CC3DC624}"/>
    <cellStyle name="Normal 9 2 2 2 5 4 2" xfId="22557" xr:uid="{7948CF57-1EA2-4EA7-B574-ACDDC5036B27}"/>
    <cellStyle name="Normal 9 2 2 2 5 5" xfId="18346" xr:uid="{A8A92E77-6108-4008-9E14-6CF03C09A5FC}"/>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72937032-F99F-4216-B261-E86A8604F75C}"/>
    <cellStyle name="Normal 9 2 2 2 6 2 2 3" xfId="29326" xr:uid="{74A0DE09-4D39-4757-BFC9-D17F9EF98BD3}"/>
    <cellStyle name="Normal 9 2 2 2 6 2 3" xfId="12475" xr:uid="{2FA56221-E61E-4032-B726-A2E14AC0EE5B}"/>
    <cellStyle name="Normal 9 2 2 2 6 2 3 2" xfId="25115" xr:uid="{DCB59CC8-4A8D-4199-80E4-63ED962C4028}"/>
    <cellStyle name="Normal 9 2 2 2 6 2 4" xfId="20904" xr:uid="{C676F135-E1CC-40A0-B05B-1AC20CA86B6D}"/>
    <cellStyle name="Normal 9 2 2 2 6 3" xfId="6119" xr:uid="{00000000-0005-0000-0000-0000B51E0000}"/>
    <cellStyle name="Normal 9 2 2 2 6 3 2" xfId="14548" xr:uid="{ECAB9BBC-7A33-4642-86C2-664A0310C89A}"/>
    <cellStyle name="Normal 9 2 2 2 6 3 3" xfId="27181" xr:uid="{06BEFD42-4F82-4BCC-9E9A-B32BDF5E1101}"/>
    <cellStyle name="Normal 9 2 2 2 6 4" xfId="10330" xr:uid="{5FAE829C-8802-4599-862A-5D49719F0140}"/>
    <cellStyle name="Normal 9 2 2 2 6 4 2" xfId="22970" xr:uid="{533321A5-2932-4A94-A823-2A418DA52FD4}"/>
    <cellStyle name="Normal 9 2 2 2 6 5" xfId="18759" xr:uid="{B6F973D3-EF56-40F1-94C7-6EA369EACF59}"/>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56338313-1721-4735-B533-6D6BFCFC3BFE}"/>
    <cellStyle name="Normal 9 2 2 2 7 2 2 3" xfId="29739" xr:uid="{7A9FD356-BBB0-4009-85F3-B23815FC2C73}"/>
    <cellStyle name="Normal 9 2 2 2 7 2 3" xfId="12888" xr:uid="{D241644A-B6D4-4A1B-BABD-8BC47EB3B98A}"/>
    <cellStyle name="Normal 9 2 2 2 7 2 3 2" xfId="25528" xr:uid="{79574773-6918-4980-8840-E7431BDB2B82}"/>
    <cellStyle name="Normal 9 2 2 2 7 2 4" xfId="21317" xr:uid="{DA80FED5-7430-47B6-AC72-86B5B107F489}"/>
    <cellStyle name="Normal 9 2 2 2 7 3" xfId="6532" xr:uid="{00000000-0005-0000-0000-0000B91E0000}"/>
    <cellStyle name="Normal 9 2 2 2 7 3 2" xfId="14961" xr:uid="{F694C2F9-C2BA-4AC3-B28D-A3DD7247B161}"/>
    <cellStyle name="Normal 9 2 2 2 7 3 3" xfId="27594" xr:uid="{39D482D8-3CF1-4D08-9605-EABC98ACE729}"/>
    <cellStyle name="Normal 9 2 2 2 7 4" xfId="10743" xr:uid="{88402BC6-3EE5-47A0-AAD1-D0D03B72E371}"/>
    <cellStyle name="Normal 9 2 2 2 7 4 2" xfId="23383" xr:uid="{134635F7-E25C-4529-B95A-EFC1E2EBB9A1}"/>
    <cellStyle name="Normal 9 2 2 2 7 5" xfId="19172" xr:uid="{AB945407-B5B5-46A0-9316-1DB1AF03C3C4}"/>
    <cellStyle name="Normal 9 2 2 2 8" xfId="2660" xr:uid="{00000000-0005-0000-0000-0000BA1E0000}"/>
    <cellStyle name="Normal 9 2 2 2 8 2" xfId="6945" xr:uid="{00000000-0005-0000-0000-0000BB1E0000}"/>
    <cellStyle name="Normal 9 2 2 2 8 2 2" xfId="15374" xr:uid="{1845E007-A115-4800-8595-0573713AB729}"/>
    <cellStyle name="Normal 9 2 2 2 8 2 3" xfId="28007" xr:uid="{00D34009-FBED-4B9F-B946-DA305A12C145}"/>
    <cellStyle name="Normal 9 2 2 2 8 3" xfId="11156" xr:uid="{EADE2573-4E5E-4990-84B2-AB3E6BFDBA69}"/>
    <cellStyle name="Normal 9 2 2 2 8 3 2" xfId="23796" xr:uid="{C1E4A302-3CBA-48B0-ADB6-44F002DE2D27}"/>
    <cellStyle name="Normal 9 2 2 2 8 4" xfId="19585" xr:uid="{21B221FF-5490-4B20-9C59-6ABB48D5E933}"/>
    <cellStyle name="Normal 9 2 2 2 9" xfId="4880" xr:uid="{00000000-0005-0000-0000-0000BC1E0000}"/>
    <cellStyle name="Normal 9 2 2 2 9 2" xfId="13309" xr:uid="{2605645E-1E40-424C-9B4C-6365BB621CE4}"/>
    <cellStyle name="Normal 9 2 2 2 9 3" xfId="25942" xr:uid="{3CE69821-4326-4F53-8EDE-A6DD3796AA02}"/>
    <cellStyle name="Normal 9 2 2 3" xfId="517" xr:uid="{00000000-0005-0000-0000-0000BD1E0000}"/>
    <cellStyle name="Normal 9 2 2 3 10" xfId="17524" xr:uid="{EA36DE9D-8EAA-4BCB-A056-A70FCA408A57}"/>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C1233D75-9C19-417E-91C6-E6DD7DD2F135}"/>
    <cellStyle name="Normal 9 2 2 3 2 2 2 2 3" xfId="28505" xr:uid="{18E9C58D-EB3C-44AD-81C6-9D455492BB42}"/>
    <cellStyle name="Normal 9 2 2 3 2 2 2 3" xfId="11654" xr:uid="{15D4FE4F-FEFC-4475-A098-37B7DA79078A}"/>
    <cellStyle name="Normal 9 2 2 3 2 2 2 3 2" xfId="24294" xr:uid="{B9392247-9B6C-4A4A-809B-B0574108B20D}"/>
    <cellStyle name="Normal 9 2 2 3 2 2 2 4" xfId="20083" xr:uid="{C31D632E-B012-4016-8E43-85D3A31CA4F1}"/>
    <cellStyle name="Normal 9 2 2 3 2 2 3" xfId="5298" xr:uid="{00000000-0005-0000-0000-0000C21E0000}"/>
    <cellStyle name="Normal 9 2 2 3 2 2 3 2" xfId="13727" xr:uid="{0C50F6E4-76E5-4D9C-B054-EE71C604F8FD}"/>
    <cellStyle name="Normal 9 2 2 3 2 2 3 3" xfId="26360" xr:uid="{CA23A656-B92A-4E52-AE34-D62D05B417F5}"/>
    <cellStyle name="Normal 9 2 2 3 2 2 4" xfId="9509" xr:uid="{BB1DF2A3-FB1F-411D-AB27-75F4ACC1C7D3}"/>
    <cellStyle name="Normal 9 2 2 3 2 2 4 2" xfId="22149" xr:uid="{82B74E26-00D4-44D1-BBA0-74B59E74EAE3}"/>
    <cellStyle name="Normal 9 2 2 3 2 2 5" xfId="17938" xr:uid="{8310E704-4499-4111-9990-0618826DDB12}"/>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B24F3633-12F5-4D0F-9D89-50648E6D10E4}"/>
    <cellStyle name="Normal 9 2 2 3 2 3 2 2 3" xfId="28918" xr:uid="{275C0B2B-9E40-4AFA-B90D-F0CA47EFBC54}"/>
    <cellStyle name="Normal 9 2 2 3 2 3 2 3" xfId="12067" xr:uid="{8B2E4F89-3CE4-498D-9065-25ECE353347D}"/>
    <cellStyle name="Normal 9 2 2 3 2 3 2 3 2" xfId="24707" xr:uid="{355BEAD0-507C-432A-8772-59AB08D74E7E}"/>
    <cellStyle name="Normal 9 2 2 3 2 3 2 4" xfId="20496" xr:uid="{B07747BC-315B-4978-98FB-21EB428F6E75}"/>
    <cellStyle name="Normal 9 2 2 3 2 3 3" xfId="5711" xr:uid="{00000000-0005-0000-0000-0000C61E0000}"/>
    <cellStyle name="Normal 9 2 2 3 2 3 3 2" xfId="14140" xr:uid="{C2DC103C-273C-4B95-898E-EF5740912E96}"/>
    <cellStyle name="Normal 9 2 2 3 2 3 3 3" xfId="26773" xr:uid="{FB5ED19A-543F-400A-886B-775FA500D742}"/>
    <cellStyle name="Normal 9 2 2 3 2 3 4" xfId="9922" xr:uid="{54D60FB4-62CF-4FF6-AAEE-699D43866C39}"/>
    <cellStyle name="Normal 9 2 2 3 2 3 4 2" xfId="22562" xr:uid="{1EDC8089-7B86-43DE-B73C-1225833B7FD9}"/>
    <cellStyle name="Normal 9 2 2 3 2 3 5" xfId="18351" xr:uid="{82C21202-8C08-47C8-81F4-90114FCD6225}"/>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75D5A967-6DB7-4F9E-9D84-120EBDD9C908}"/>
    <cellStyle name="Normal 9 2 2 3 2 4 2 2 3" xfId="29331" xr:uid="{1A34658B-943B-4AFE-9994-CF8506411112}"/>
    <cellStyle name="Normal 9 2 2 3 2 4 2 3" xfId="12480" xr:uid="{26EFFE3D-5969-471B-8D17-F0CE70DB50AE}"/>
    <cellStyle name="Normal 9 2 2 3 2 4 2 3 2" xfId="25120" xr:uid="{8E5FD5A9-4DAC-44C1-97C8-CE51E63E62EF}"/>
    <cellStyle name="Normal 9 2 2 3 2 4 2 4" xfId="20909" xr:uid="{20E64E13-2CB6-4C26-922B-A7298ED06795}"/>
    <cellStyle name="Normal 9 2 2 3 2 4 3" xfId="6124" xr:uid="{00000000-0005-0000-0000-0000CA1E0000}"/>
    <cellStyle name="Normal 9 2 2 3 2 4 3 2" xfId="14553" xr:uid="{F530798A-64E5-4FA6-B471-B90BF06D1083}"/>
    <cellStyle name="Normal 9 2 2 3 2 4 3 3" xfId="27186" xr:uid="{0DB07535-8582-41C2-AD49-6532E05CB7A5}"/>
    <cellStyle name="Normal 9 2 2 3 2 4 4" xfId="10335" xr:uid="{C1253367-EE3B-475A-8CDA-08E4BE79EA6C}"/>
    <cellStyle name="Normal 9 2 2 3 2 4 4 2" xfId="22975" xr:uid="{0914A0F1-DA9B-403B-8DD6-BE27AACFD819}"/>
    <cellStyle name="Normal 9 2 2 3 2 4 5" xfId="18764" xr:uid="{0009EE8D-38AC-42FD-AD14-B28F12594336}"/>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04F3D19F-8F08-4045-888B-9C3641A43365}"/>
    <cellStyle name="Normal 9 2 2 3 2 5 2 2 3" xfId="29744" xr:uid="{287A6F11-1D4D-48DF-8056-C224F615E86D}"/>
    <cellStyle name="Normal 9 2 2 3 2 5 2 3" xfId="12893" xr:uid="{7C527A9D-FB5F-4D9B-8177-64437AB23CA3}"/>
    <cellStyle name="Normal 9 2 2 3 2 5 2 3 2" xfId="25533" xr:uid="{27C3AFEE-3260-4DC7-A26E-196CA35FB063}"/>
    <cellStyle name="Normal 9 2 2 3 2 5 2 4" xfId="21322" xr:uid="{476A79E4-D9EF-4C89-B421-E5BFF1BC2B43}"/>
    <cellStyle name="Normal 9 2 2 3 2 5 3" xfId="6537" xr:uid="{00000000-0005-0000-0000-0000CE1E0000}"/>
    <cellStyle name="Normal 9 2 2 3 2 5 3 2" xfId="14966" xr:uid="{AFE32992-EB24-487A-8B73-05AE985C7FF9}"/>
    <cellStyle name="Normal 9 2 2 3 2 5 3 3" xfId="27599" xr:uid="{31F75B9D-1B1F-44AC-94E4-2DCAD681D91F}"/>
    <cellStyle name="Normal 9 2 2 3 2 5 4" xfId="10748" xr:uid="{E1542688-CEC5-4EF7-84E2-8138477C5E36}"/>
    <cellStyle name="Normal 9 2 2 3 2 5 4 2" xfId="23388" xr:uid="{4A8B6EF1-93D8-4E55-920A-8C89AF13DE71}"/>
    <cellStyle name="Normal 9 2 2 3 2 5 5" xfId="19177" xr:uid="{1540B512-387B-4C63-B2E0-6F17A8369D95}"/>
    <cellStyle name="Normal 9 2 2 3 2 6" xfId="2665" xr:uid="{00000000-0005-0000-0000-0000CF1E0000}"/>
    <cellStyle name="Normal 9 2 2 3 2 6 2" xfId="6950" xr:uid="{00000000-0005-0000-0000-0000D01E0000}"/>
    <cellStyle name="Normal 9 2 2 3 2 6 2 2" xfId="15379" xr:uid="{FFA2B987-87F1-47EA-AE9A-3F4C2ABA0DC4}"/>
    <cellStyle name="Normal 9 2 2 3 2 6 2 3" xfId="28012" xr:uid="{49FD357B-93AA-47FF-9F20-1747CD53A298}"/>
    <cellStyle name="Normal 9 2 2 3 2 6 3" xfId="11161" xr:uid="{41D3093B-1D9E-4B92-A503-F0D41BDA8FAB}"/>
    <cellStyle name="Normal 9 2 2 3 2 6 3 2" xfId="23801" xr:uid="{36B9BC48-3EF3-4F9A-A701-9F57674A2C18}"/>
    <cellStyle name="Normal 9 2 2 3 2 6 4" xfId="19590" xr:uid="{9277D85A-BD9B-479F-9C3B-2779755B6335}"/>
    <cellStyle name="Normal 9 2 2 3 2 7" xfId="4885" xr:uid="{00000000-0005-0000-0000-0000D11E0000}"/>
    <cellStyle name="Normal 9 2 2 3 2 7 2" xfId="13314" xr:uid="{05F6AADF-7537-4985-8412-4122B319915F}"/>
    <cellStyle name="Normal 9 2 2 3 2 7 3" xfId="25947" xr:uid="{60DC01CA-610C-4443-8257-E29BCC1406B1}"/>
    <cellStyle name="Normal 9 2 2 3 2 8" xfId="9096" xr:uid="{480ADC6B-1ADF-48CA-B9AD-1ACF31D31BD5}"/>
    <cellStyle name="Normal 9 2 2 3 2 8 2" xfId="21736" xr:uid="{859F14FA-15E3-4B8E-B39D-C2477E728F17}"/>
    <cellStyle name="Normal 9 2 2 3 2 9" xfId="17525" xr:uid="{59538318-AA4D-4E3A-A757-47C3E5A50BC2}"/>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227EA5F9-E555-4CA8-9D44-F3106B3D93A4}"/>
    <cellStyle name="Normal 9 2 2 3 3 2 2 3" xfId="28504" xr:uid="{B3F865FA-4FA2-439B-B09E-1EB4ED83898E}"/>
    <cellStyle name="Normal 9 2 2 3 3 2 3" xfId="11653" xr:uid="{CDE9545B-A422-4DEB-BD7C-FBA3AAE9AE88}"/>
    <cellStyle name="Normal 9 2 2 3 3 2 3 2" xfId="24293" xr:uid="{3998181A-89A6-43B8-AAEC-B7F22464B3DA}"/>
    <cellStyle name="Normal 9 2 2 3 3 2 4" xfId="20082" xr:uid="{B8DB621E-4C83-479B-8D14-07166677BE4B}"/>
    <cellStyle name="Normal 9 2 2 3 3 3" xfId="5297" xr:uid="{00000000-0005-0000-0000-0000D51E0000}"/>
    <cellStyle name="Normal 9 2 2 3 3 3 2" xfId="13726" xr:uid="{1A0621D2-686C-4555-BD96-BF43EDB01F46}"/>
    <cellStyle name="Normal 9 2 2 3 3 3 3" xfId="26359" xr:uid="{830EDA44-FA22-4757-9661-CB4D899ABF9D}"/>
    <cellStyle name="Normal 9 2 2 3 3 4" xfId="9508" xr:uid="{C2941D7D-EAF4-4A27-9E81-72DFCD12BA94}"/>
    <cellStyle name="Normal 9 2 2 3 3 4 2" xfId="22148" xr:uid="{81763ADA-610C-43FB-948C-E1CC07B2CDA4}"/>
    <cellStyle name="Normal 9 2 2 3 3 5" xfId="17937" xr:uid="{7F7634E0-7C50-4AAA-ACF7-8BA0600C7837}"/>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54AAB672-2684-4053-A11E-0E8A50D2E106}"/>
    <cellStyle name="Normal 9 2 2 3 4 2 2 3" xfId="28917" xr:uid="{833960AD-A2DE-428A-BD51-EDA165CD6E4F}"/>
    <cellStyle name="Normal 9 2 2 3 4 2 3" xfId="12066" xr:uid="{30691069-3C8C-4422-AAC0-E0F33D14B01F}"/>
    <cellStyle name="Normal 9 2 2 3 4 2 3 2" xfId="24706" xr:uid="{EBDCD11C-88CF-4F24-8E3F-B5A2C392C763}"/>
    <cellStyle name="Normal 9 2 2 3 4 2 4" xfId="20495" xr:uid="{960F41CE-92D6-47BC-A981-05F1EA93FBB8}"/>
    <cellStyle name="Normal 9 2 2 3 4 3" xfId="5710" xr:uid="{00000000-0005-0000-0000-0000D91E0000}"/>
    <cellStyle name="Normal 9 2 2 3 4 3 2" xfId="14139" xr:uid="{5E19C72B-AF89-46F0-BC1F-9DB3DC0C027C}"/>
    <cellStyle name="Normal 9 2 2 3 4 3 3" xfId="26772" xr:uid="{4CC32903-9496-4ED9-8002-D0508DC2325B}"/>
    <cellStyle name="Normal 9 2 2 3 4 4" xfId="9921" xr:uid="{F4A10569-7AE3-4458-9083-EC2107BEFEB5}"/>
    <cellStyle name="Normal 9 2 2 3 4 4 2" xfId="22561" xr:uid="{2251B10E-3484-48A3-A0BA-078E01F8A922}"/>
    <cellStyle name="Normal 9 2 2 3 4 5" xfId="18350" xr:uid="{6102051B-852D-4A66-BED3-6FA7A2EDF386}"/>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831E3B9E-651E-430E-B568-ED78C44CBAA9}"/>
    <cellStyle name="Normal 9 2 2 3 5 2 2 3" xfId="29330" xr:uid="{268866B4-FACC-4F4F-841E-E9C4216375ED}"/>
    <cellStyle name="Normal 9 2 2 3 5 2 3" xfId="12479" xr:uid="{5259A7EE-4261-434E-804C-C3416934C339}"/>
    <cellStyle name="Normal 9 2 2 3 5 2 3 2" xfId="25119" xr:uid="{C0F767E5-EE6F-4B8A-9CEC-2A78D7C9E430}"/>
    <cellStyle name="Normal 9 2 2 3 5 2 4" xfId="20908" xr:uid="{2D86139E-0CC8-4ADA-A309-E69CB7C7D5E9}"/>
    <cellStyle name="Normal 9 2 2 3 5 3" xfId="6123" xr:uid="{00000000-0005-0000-0000-0000DD1E0000}"/>
    <cellStyle name="Normal 9 2 2 3 5 3 2" xfId="14552" xr:uid="{BA4BFD95-7031-414C-974B-DE4A675AD03B}"/>
    <cellStyle name="Normal 9 2 2 3 5 3 3" xfId="27185" xr:uid="{46BABBA9-E166-4BAA-BDE0-918772D5B699}"/>
    <cellStyle name="Normal 9 2 2 3 5 4" xfId="10334" xr:uid="{4874EF40-CE5D-4F64-B7A8-B72E136D1C45}"/>
    <cellStyle name="Normal 9 2 2 3 5 4 2" xfId="22974" xr:uid="{7CABF6C3-7C9D-474A-B31D-289BBAF178C9}"/>
    <cellStyle name="Normal 9 2 2 3 5 5" xfId="18763" xr:uid="{84A7DAF9-78A8-45CD-B79E-009A09BE7195}"/>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716FFEF6-3D3B-42F9-AACF-FED3104F43BC}"/>
    <cellStyle name="Normal 9 2 2 3 6 2 2 3" xfId="29743" xr:uid="{04B11E0D-092E-4E20-BF04-7840DFED77A4}"/>
    <cellStyle name="Normal 9 2 2 3 6 2 3" xfId="12892" xr:uid="{DFC81391-7A36-44C4-A28B-F0F69E8EA159}"/>
    <cellStyle name="Normal 9 2 2 3 6 2 3 2" xfId="25532" xr:uid="{66FEECCF-25FA-4B6D-9FDB-55CF6B165CA6}"/>
    <cellStyle name="Normal 9 2 2 3 6 2 4" xfId="21321" xr:uid="{B0C34F15-A79B-4470-A191-12FF1AB2DAEE}"/>
    <cellStyle name="Normal 9 2 2 3 6 3" xfId="6536" xr:uid="{00000000-0005-0000-0000-0000E11E0000}"/>
    <cellStyle name="Normal 9 2 2 3 6 3 2" xfId="14965" xr:uid="{F0F0FD8D-0C83-435B-A9FC-2871D613DB80}"/>
    <cellStyle name="Normal 9 2 2 3 6 3 3" xfId="27598" xr:uid="{032BCF37-374E-4F35-AB3A-D8A016FBFDFC}"/>
    <cellStyle name="Normal 9 2 2 3 6 4" xfId="10747" xr:uid="{E2C78654-ABCC-48CC-9ABB-E10F8083FB22}"/>
    <cellStyle name="Normal 9 2 2 3 6 4 2" xfId="23387" xr:uid="{7871207E-2824-492F-AE1E-C15256855F03}"/>
    <cellStyle name="Normal 9 2 2 3 6 5" xfId="19176" xr:uid="{48707B4E-4781-4AC2-8D94-E902182FE476}"/>
    <cellStyle name="Normal 9 2 2 3 7" xfId="2664" xr:uid="{00000000-0005-0000-0000-0000E21E0000}"/>
    <cellStyle name="Normal 9 2 2 3 7 2" xfId="6949" xr:uid="{00000000-0005-0000-0000-0000E31E0000}"/>
    <cellStyle name="Normal 9 2 2 3 7 2 2" xfId="15378" xr:uid="{4219F13C-8526-4E88-A3FA-C493330E8BAB}"/>
    <cellStyle name="Normal 9 2 2 3 7 2 3" xfId="28011" xr:uid="{2C3756E5-88EA-451F-884D-39C29E6C1D58}"/>
    <cellStyle name="Normal 9 2 2 3 7 3" xfId="11160" xr:uid="{C60D9066-228A-4E67-A3ED-0327B634E1D0}"/>
    <cellStyle name="Normal 9 2 2 3 7 3 2" xfId="23800" xr:uid="{7F0FA947-ABE9-4074-AEB0-74A2F409736E}"/>
    <cellStyle name="Normal 9 2 2 3 7 4" xfId="19589" xr:uid="{58DA67E7-761D-47FA-BD17-03B9E2D013BE}"/>
    <cellStyle name="Normal 9 2 2 3 8" xfId="4884" xr:uid="{00000000-0005-0000-0000-0000E41E0000}"/>
    <cellStyle name="Normal 9 2 2 3 8 2" xfId="13313" xr:uid="{4E39063F-1641-484A-90F1-4D2E1255E249}"/>
    <cellStyle name="Normal 9 2 2 3 8 3" xfId="25946" xr:uid="{D04B254E-F3FE-4A5E-A26D-2922853C6E8F}"/>
    <cellStyle name="Normal 9 2 2 3 9" xfId="9095" xr:uid="{ACD486C6-8FD2-41DB-86BA-5F8E381B9DCD}"/>
    <cellStyle name="Normal 9 2 2 3 9 2" xfId="21735" xr:uid="{6628A923-4E44-4681-802E-BDE1213D8892}"/>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84E313BC-B91B-49CD-8783-ABDC4C2FA8FD}"/>
    <cellStyle name="Normal 9 2 2 4 2 2 2 3" xfId="28506" xr:uid="{CA347E79-95C0-40BC-A7AE-D603D5FFB94C}"/>
    <cellStyle name="Normal 9 2 2 4 2 2 3" xfId="11655" xr:uid="{6B83EC3C-5357-4558-9E0E-1791C636DDE5}"/>
    <cellStyle name="Normal 9 2 2 4 2 2 3 2" xfId="24295" xr:uid="{37654EB7-A4C3-44F3-A978-0A4FE93740DB}"/>
    <cellStyle name="Normal 9 2 2 4 2 2 4" xfId="20084" xr:uid="{1BC1D67E-5B42-4B91-B2C5-3E5E1A6F99FA}"/>
    <cellStyle name="Normal 9 2 2 4 2 3" xfId="5299" xr:uid="{00000000-0005-0000-0000-0000E91E0000}"/>
    <cellStyle name="Normal 9 2 2 4 2 3 2" xfId="13728" xr:uid="{0BC9B7E4-DF83-4C82-877E-9D2826BEE06F}"/>
    <cellStyle name="Normal 9 2 2 4 2 3 3" xfId="26361" xr:uid="{63CC5DAD-BC3D-4AB4-BBC8-E71179F5A4F3}"/>
    <cellStyle name="Normal 9 2 2 4 2 4" xfId="9510" xr:uid="{D8AE3F45-9F2E-47E8-8220-7970101C4D6A}"/>
    <cellStyle name="Normal 9 2 2 4 2 4 2" xfId="22150" xr:uid="{00A38265-9219-4DAE-8395-649F61E057CE}"/>
    <cellStyle name="Normal 9 2 2 4 2 5" xfId="17939" xr:uid="{059EC9D0-0BD5-4793-9ACB-964C092997EB}"/>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75A5300E-7E88-4565-ABB3-5E1A149F896D}"/>
    <cellStyle name="Normal 9 2 2 4 3 2 2 3" xfId="28919" xr:uid="{7ACFD087-BF2B-46BC-809E-CCAA6373EF9D}"/>
    <cellStyle name="Normal 9 2 2 4 3 2 3" xfId="12068" xr:uid="{0E4F5DBB-B696-452F-9645-51D7B6A77FF1}"/>
    <cellStyle name="Normal 9 2 2 4 3 2 3 2" xfId="24708" xr:uid="{F84EE948-49EE-4D68-B4D2-6CB3F71DB763}"/>
    <cellStyle name="Normal 9 2 2 4 3 2 4" xfId="20497" xr:uid="{D9977CEC-CC3B-46AF-BEB3-B733742F8534}"/>
    <cellStyle name="Normal 9 2 2 4 3 3" xfId="5712" xr:uid="{00000000-0005-0000-0000-0000ED1E0000}"/>
    <cellStyle name="Normal 9 2 2 4 3 3 2" xfId="14141" xr:uid="{8EB514D5-9E87-490E-873E-6208CBF7CA26}"/>
    <cellStyle name="Normal 9 2 2 4 3 3 3" xfId="26774" xr:uid="{3AA2F7CD-8114-47FB-B5BC-EB81D41F36CF}"/>
    <cellStyle name="Normal 9 2 2 4 3 4" xfId="9923" xr:uid="{E6FF8ED1-9E10-4175-AAB9-861C078B9E34}"/>
    <cellStyle name="Normal 9 2 2 4 3 4 2" xfId="22563" xr:uid="{E6251A4F-6707-416A-AB32-7CF079648FBC}"/>
    <cellStyle name="Normal 9 2 2 4 3 5" xfId="18352" xr:uid="{B1D759EB-3420-486E-98EC-8381CC418AF4}"/>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4673CF32-FA83-41D2-A4C4-AA378D29ECFC}"/>
    <cellStyle name="Normal 9 2 2 4 4 2 2 3" xfId="29332" xr:uid="{8B19D11F-EFD0-4F6B-B59F-B61C3B8B522B}"/>
    <cellStyle name="Normal 9 2 2 4 4 2 3" xfId="12481" xr:uid="{0FB3063A-EB51-406B-90EA-C48B8AF67F98}"/>
    <cellStyle name="Normal 9 2 2 4 4 2 3 2" xfId="25121" xr:uid="{2906F9DA-A344-49BB-9552-D7BA07F59C3D}"/>
    <cellStyle name="Normal 9 2 2 4 4 2 4" xfId="20910" xr:uid="{D14F0012-061E-4AEA-98B1-DC9661A6798F}"/>
    <cellStyle name="Normal 9 2 2 4 4 3" xfId="6125" xr:uid="{00000000-0005-0000-0000-0000F11E0000}"/>
    <cellStyle name="Normal 9 2 2 4 4 3 2" xfId="14554" xr:uid="{25D5BEDB-5A49-4011-AF43-6D5609DCB82E}"/>
    <cellStyle name="Normal 9 2 2 4 4 3 3" xfId="27187" xr:uid="{29BFC49F-A7A8-453F-84E9-EC70555DE349}"/>
    <cellStyle name="Normal 9 2 2 4 4 4" xfId="10336" xr:uid="{5140EEE2-6E96-49F2-95A9-5098D487F7DA}"/>
    <cellStyle name="Normal 9 2 2 4 4 4 2" xfId="22976" xr:uid="{A2C72AA6-277F-4D6C-B9B9-C5F410CB454F}"/>
    <cellStyle name="Normal 9 2 2 4 4 5" xfId="18765" xr:uid="{12B0CD2D-8AAB-49B4-8C0B-CD71E82EEE8D}"/>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9CAD01B5-17AD-4FA6-B418-0450BF23BD69}"/>
    <cellStyle name="Normal 9 2 2 4 5 2 2 3" xfId="29745" xr:uid="{42444EB8-A43D-4CDA-928C-359C20844885}"/>
    <cellStyle name="Normal 9 2 2 4 5 2 3" xfId="12894" xr:uid="{927AFA2E-F863-42BB-B15A-1D7A5533975C}"/>
    <cellStyle name="Normal 9 2 2 4 5 2 3 2" xfId="25534" xr:uid="{E0DDDD00-7EA4-4885-A127-8B2FBA2969A3}"/>
    <cellStyle name="Normal 9 2 2 4 5 2 4" xfId="21323" xr:uid="{3037348B-7F6D-4A0D-B5CE-7ABD0C74E41E}"/>
    <cellStyle name="Normal 9 2 2 4 5 3" xfId="6538" xr:uid="{00000000-0005-0000-0000-0000F51E0000}"/>
    <cellStyle name="Normal 9 2 2 4 5 3 2" xfId="14967" xr:uid="{7F2BD038-65BD-4D86-B5FF-A726216631D6}"/>
    <cellStyle name="Normal 9 2 2 4 5 3 3" xfId="27600" xr:uid="{DCBA92BD-A23B-443E-AE9D-158646F9DCE1}"/>
    <cellStyle name="Normal 9 2 2 4 5 4" xfId="10749" xr:uid="{9C1B0498-E7D2-4803-9DE7-A36891761443}"/>
    <cellStyle name="Normal 9 2 2 4 5 4 2" xfId="23389" xr:uid="{6661094D-3CED-45CF-ABDA-A2EDEA60E216}"/>
    <cellStyle name="Normal 9 2 2 4 5 5" xfId="19178" xr:uid="{7AF537DD-7F6C-43C3-A2DD-4690E57E0D0E}"/>
    <cellStyle name="Normal 9 2 2 4 6" xfId="2666" xr:uid="{00000000-0005-0000-0000-0000F61E0000}"/>
    <cellStyle name="Normal 9 2 2 4 6 2" xfId="6951" xr:uid="{00000000-0005-0000-0000-0000F71E0000}"/>
    <cellStyle name="Normal 9 2 2 4 6 2 2" xfId="15380" xr:uid="{412ACCB7-80B0-49A6-864C-B669AF414F30}"/>
    <cellStyle name="Normal 9 2 2 4 6 2 3" xfId="28013" xr:uid="{3309C951-932F-4B77-B191-EECF75E2BC3A}"/>
    <cellStyle name="Normal 9 2 2 4 6 3" xfId="11162" xr:uid="{A080B11C-35A8-49A5-8E0F-D155C312B6C0}"/>
    <cellStyle name="Normal 9 2 2 4 6 3 2" xfId="23802" xr:uid="{9368832C-EA36-4D50-AB4A-FEFBA6280F37}"/>
    <cellStyle name="Normal 9 2 2 4 6 4" xfId="19591" xr:uid="{DF7153C9-123B-474B-BB74-2406532B7500}"/>
    <cellStyle name="Normal 9 2 2 4 7" xfId="4886" xr:uid="{00000000-0005-0000-0000-0000F81E0000}"/>
    <cellStyle name="Normal 9 2 2 4 7 2" xfId="13315" xr:uid="{ED568B31-580B-4B73-9B81-87E7EAC4B5AB}"/>
    <cellStyle name="Normal 9 2 2 4 7 3" xfId="25948" xr:uid="{B53D6C7A-4EA4-43E3-AEF1-BFE164750DCA}"/>
    <cellStyle name="Normal 9 2 2 4 8" xfId="9097" xr:uid="{5EB9E312-CB67-489A-84CB-905A87CC69FC}"/>
    <cellStyle name="Normal 9 2 2 4 8 2" xfId="21737" xr:uid="{02F79AB9-F87F-4391-A109-F3D0C8893297}"/>
    <cellStyle name="Normal 9 2 2 4 9" xfId="17526" xr:uid="{C9C1989E-BDFE-4EBE-B1D3-7F031B95FFA4}"/>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F0AF3A15-E747-4E4C-A000-7338CC3FED75}"/>
    <cellStyle name="Normal 9 2 2 5 2 2 3" xfId="28499" xr:uid="{4717365D-ACA5-4340-AFC8-59E215A62443}"/>
    <cellStyle name="Normal 9 2 2 5 2 3" xfId="11648" xr:uid="{56B01931-DC12-4696-B795-E3DBDCFE59AD}"/>
    <cellStyle name="Normal 9 2 2 5 2 3 2" xfId="24288" xr:uid="{4ED56240-8CD6-41F3-97AF-BE9CA726602F}"/>
    <cellStyle name="Normal 9 2 2 5 2 4" xfId="20077" xr:uid="{3ACB7FDB-A472-44EE-9000-BFBB61643D51}"/>
    <cellStyle name="Normal 9 2 2 5 3" xfId="5292" xr:uid="{00000000-0005-0000-0000-0000FC1E0000}"/>
    <cellStyle name="Normal 9 2 2 5 3 2" xfId="13721" xr:uid="{D377B6AE-88CD-4E84-BAE7-57F6726A0270}"/>
    <cellStyle name="Normal 9 2 2 5 3 3" xfId="26354" xr:uid="{F62764B0-242A-4AA8-9BAA-B469D0BDF81E}"/>
    <cellStyle name="Normal 9 2 2 5 4" xfId="9503" xr:uid="{67944B51-29B9-42A8-ACB0-5D1E59F1B05A}"/>
    <cellStyle name="Normal 9 2 2 5 4 2" xfId="22143" xr:uid="{40B9983A-3358-41E7-9EE8-BA5D6BA247A0}"/>
    <cellStyle name="Normal 9 2 2 5 5" xfId="17932" xr:uid="{4C260C48-A627-4CBD-BEC0-4CD70BAECB8C}"/>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014915D6-310F-444A-B6F4-F629054A3DC0}"/>
    <cellStyle name="Normal 9 2 2 6 2 2 3" xfId="28912" xr:uid="{CCF15D07-1AFB-4E3B-84FB-4BC1376F265E}"/>
    <cellStyle name="Normal 9 2 2 6 2 3" xfId="12061" xr:uid="{965F85C3-BFD4-4A6C-A8A0-6363C9F11A41}"/>
    <cellStyle name="Normal 9 2 2 6 2 3 2" xfId="24701" xr:uid="{7031C70C-C355-4960-9E5C-21D4B8ED6091}"/>
    <cellStyle name="Normal 9 2 2 6 2 4" xfId="20490" xr:uid="{601364E2-B770-4AA7-885E-EDEBC1C1C93E}"/>
    <cellStyle name="Normal 9 2 2 6 3" xfId="5705" xr:uid="{00000000-0005-0000-0000-0000001F0000}"/>
    <cellStyle name="Normal 9 2 2 6 3 2" xfId="14134" xr:uid="{47D49CC1-8A88-4ADD-B1AC-E42FB4487D20}"/>
    <cellStyle name="Normal 9 2 2 6 3 3" xfId="26767" xr:uid="{966B433E-5B27-4AB4-ADF1-C3FBC4C92103}"/>
    <cellStyle name="Normal 9 2 2 6 4" xfId="9916" xr:uid="{DFEB48E9-0D6B-4F90-9344-1112CA7EBE57}"/>
    <cellStyle name="Normal 9 2 2 6 4 2" xfId="22556" xr:uid="{4CDD7932-0D41-4A7F-9023-1C422D3B5827}"/>
    <cellStyle name="Normal 9 2 2 6 5" xfId="18345" xr:uid="{D973C4D1-5E0B-464D-9A97-70A92D0EEB13}"/>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41390318-8543-40A9-AA7A-4AEA34D7256A}"/>
    <cellStyle name="Normal 9 2 2 7 2 2 3" xfId="29325" xr:uid="{887E970E-1AA4-4DBA-B1E5-8062F6AD2FEE}"/>
    <cellStyle name="Normal 9 2 2 7 2 3" xfId="12474" xr:uid="{7CEE5B9A-40FE-4BC3-B98E-6392CD17070C}"/>
    <cellStyle name="Normal 9 2 2 7 2 3 2" xfId="25114" xr:uid="{01C74C26-3CF2-4629-9164-CE926A3EAE21}"/>
    <cellStyle name="Normal 9 2 2 7 2 4" xfId="20903" xr:uid="{8FBD1114-7445-45ED-AF8F-8196BD00C82E}"/>
    <cellStyle name="Normal 9 2 2 7 3" xfId="6118" xr:uid="{00000000-0005-0000-0000-0000041F0000}"/>
    <cellStyle name="Normal 9 2 2 7 3 2" xfId="14547" xr:uid="{9F4BFF5B-E379-4005-81E2-3CF2FF7E63C1}"/>
    <cellStyle name="Normal 9 2 2 7 3 3" xfId="27180" xr:uid="{1157D0C4-8D2F-4E9E-A64D-45C2242C995A}"/>
    <cellStyle name="Normal 9 2 2 7 4" xfId="10329" xr:uid="{F20389ED-C711-484D-9CE4-40B90571298E}"/>
    <cellStyle name="Normal 9 2 2 7 4 2" xfId="22969" xr:uid="{1CE1F61B-3D08-4BFF-AC76-6122B57E76D7}"/>
    <cellStyle name="Normal 9 2 2 7 5" xfId="18758" xr:uid="{67302786-EFB1-4380-B2D9-9C8EF022C477}"/>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01DFDA82-B4E5-4508-8026-80DF60273E79}"/>
    <cellStyle name="Normal 9 2 2 8 2 2 3" xfId="29738" xr:uid="{8A241D04-CD2A-457B-9C94-49C5C52C051D}"/>
    <cellStyle name="Normal 9 2 2 8 2 3" xfId="12887" xr:uid="{5107FB2D-D150-4127-BB3C-B1C63180C2B1}"/>
    <cellStyle name="Normal 9 2 2 8 2 3 2" xfId="25527" xr:uid="{CE15290D-00CC-4BD5-B97E-292184C56776}"/>
    <cellStyle name="Normal 9 2 2 8 2 4" xfId="21316" xr:uid="{44289BBA-8A57-47ED-8850-5680E32E08A2}"/>
    <cellStyle name="Normal 9 2 2 8 3" xfId="6531" xr:uid="{00000000-0005-0000-0000-0000081F0000}"/>
    <cellStyle name="Normal 9 2 2 8 3 2" xfId="14960" xr:uid="{D7934F59-63F5-492F-8550-0BE314295B99}"/>
    <cellStyle name="Normal 9 2 2 8 3 3" xfId="27593" xr:uid="{1A6F4756-BA46-4F7A-B729-D68CE4107C4A}"/>
    <cellStyle name="Normal 9 2 2 8 4" xfId="10742" xr:uid="{A39FE3FF-BFDB-47BE-AC08-004E8CA74319}"/>
    <cellStyle name="Normal 9 2 2 8 4 2" xfId="23382" xr:uid="{56FF9A44-E72D-4AF8-A8A4-44BC6110CF2A}"/>
    <cellStyle name="Normal 9 2 2 8 5" xfId="19171" xr:uid="{5F0BAE0C-C3A2-42BD-88C1-B98C4A12B118}"/>
    <cellStyle name="Normal 9 2 2 9" xfId="2659" xr:uid="{00000000-0005-0000-0000-0000091F0000}"/>
    <cellStyle name="Normal 9 2 2 9 2" xfId="6944" xr:uid="{00000000-0005-0000-0000-00000A1F0000}"/>
    <cellStyle name="Normal 9 2 2 9 2 2" xfId="15373" xr:uid="{0DA04027-D714-44E6-9415-80707C1F6BAB}"/>
    <cellStyle name="Normal 9 2 2 9 2 3" xfId="28006" xr:uid="{18200A7F-081F-4A73-AEDC-FD1D2B1C97E0}"/>
    <cellStyle name="Normal 9 2 2 9 3" xfId="11155" xr:uid="{22693652-A738-4230-933B-F32A5F951D8E}"/>
    <cellStyle name="Normal 9 2 2 9 3 2" xfId="23795" xr:uid="{66761D6B-4998-4A61-A3E0-050EBA7283FA}"/>
    <cellStyle name="Normal 9 2 2 9 4" xfId="19584" xr:uid="{98ADF08B-C9B5-4128-AC78-918B6D67877A}"/>
    <cellStyle name="Normal 9 2 3" xfId="520" xr:uid="{00000000-0005-0000-0000-00000B1F0000}"/>
    <cellStyle name="Normal 9 2 3 10" xfId="9098" xr:uid="{BD22AFC8-8DCA-40C7-BA68-3835C834C861}"/>
    <cellStyle name="Normal 9 2 3 10 2" xfId="21738" xr:uid="{8DC96B6A-E287-453E-AF94-2FFDB132C326}"/>
    <cellStyle name="Normal 9 2 3 11" xfId="17527" xr:uid="{ABBEB888-D826-45AF-9FD6-78C25B19D0D4}"/>
    <cellStyle name="Normal 9 2 3 2" xfId="521" xr:uid="{00000000-0005-0000-0000-00000C1F0000}"/>
    <cellStyle name="Normal 9 2 3 2 10" xfId="17528" xr:uid="{DEB6EC85-EA9D-4934-8CA1-0EB8EC4396F1}"/>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B4D27AE5-D4C4-452C-90DA-980C4C59F906}"/>
    <cellStyle name="Normal 9 2 3 2 2 2 2 2 3" xfId="28509" xr:uid="{7DA70D3C-6901-468B-A8C2-4A4B04341625}"/>
    <cellStyle name="Normal 9 2 3 2 2 2 2 3" xfId="11658" xr:uid="{3E0C01FB-783C-4406-BC39-2CD2D0E5D03A}"/>
    <cellStyle name="Normal 9 2 3 2 2 2 2 3 2" xfId="24298" xr:uid="{9300D9C3-B2D8-4D3E-9CDE-C3FE1DAF22BD}"/>
    <cellStyle name="Normal 9 2 3 2 2 2 2 4" xfId="20087" xr:uid="{F04172EB-9E10-4EFE-83D6-44AEB9EEE4C4}"/>
    <cellStyle name="Normal 9 2 3 2 2 2 3" xfId="5302" xr:uid="{00000000-0005-0000-0000-0000111F0000}"/>
    <cellStyle name="Normal 9 2 3 2 2 2 3 2" xfId="13731" xr:uid="{E885DBC5-0A49-4C32-9F04-5B80F4499590}"/>
    <cellStyle name="Normal 9 2 3 2 2 2 3 3" xfId="26364" xr:uid="{B4299F6D-0778-471E-A667-F3F2A1390EA8}"/>
    <cellStyle name="Normal 9 2 3 2 2 2 4" xfId="9513" xr:uid="{CB7967E2-AA9C-4DB6-9A60-45B0DDC25E00}"/>
    <cellStyle name="Normal 9 2 3 2 2 2 4 2" xfId="22153" xr:uid="{FF57C5E5-E709-465D-B914-28A43777234A}"/>
    <cellStyle name="Normal 9 2 3 2 2 2 5" xfId="17942" xr:uid="{27AAEFFE-0911-4B3D-B049-F4935F33C94E}"/>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916A8410-27FB-4A54-8202-28880378034C}"/>
    <cellStyle name="Normal 9 2 3 2 2 3 2 2 3" xfId="28922" xr:uid="{388B988E-63A3-4C2F-B195-227723C7BDA8}"/>
    <cellStyle name="Normal 9 2 3 2 2 3 2 3" xfId="12071" xr:uid="{7DF9CEF4-C58F-4B07-9FCC-8E46151D91D7}"/>
    <cellStyle name="Normal 9 2 3 2 2 3 2 3 2" xfId="24711" xr:uid="{4ED01FAB-99BC-41AD-9ACF-F429FD03BFE0}"/>
    <cellStyle name="Normal 9 2 3 2 2 3 2 4" xfId="20500" xr:uid="{C3B8D3DD-BB95-44A2-93DC-9263C880B4F9}"/>
    <cellStyle name="Normal 9 2 3 2 2 3 3" xfId="5715" xr:uid="{00000000-0005-0000-0000-0000151F0000}"/>
    <cellStyle name="Normal 9 2 3 2 2 3 3 2" xfId="14144" xr:uid="{820A997D-92EF-404D-91AF-BF5707256AAE}"/>
    <cellStyle name="Normal 9 2 3 2 2 3 3 3" xfId="26777" xr:uid="{1DE0AE4C-C712-457A-9B9F-B39D0C93D26E}"/>
    <cellStyle name="Normal 9 2 3 2 2 3 4" xfId="9926" xr:uid="{C8DC859B-0296-4135-85C6-5C45E1960050}"/>
    <cellStyle name="Normal 9 2 3 2 2 3 4 2" xfId="22566" xr:uid="{CEBD2E42-8545-4B33-B075-3F32870536A1}"/>
    <cellStyle name="Normal 9 2 3 2 2 3 5" xfId="18355" xr:uid="{F6149909-B1F7-441F-AB87-CA35A71983D3}"/>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8D1F1497-778E-4D7B-AE7A-3B5757F6CBFA}"/>
    <cellStyle name="Normal 9 2 3 2 2 4 2 2 3" xfId="29335" xr:uid="{76463009-87A7-4463-9D2A-F60545DD8486}"/>
    <cellStyle name="Normal 9 2 3 2 2 4 2 3" xfId="12484" xr:uid="{30469FE0-3520-4CDE-BD28-827E61D58DD8}"/>
    <cellStyle name="Normal 9 2 3 2 2 4 2 3 2" xfId="25124" xr:uid="{334DACD5-1CA3-4E73-AC22-1EDC8C29B21B}"/>
    <cellStyle name="Normal 9 2 3 2 2 4 2 4" xfId="20913" xr:uid="{4D29FD3A-FD2B-4B8E-91D1-577111ACDC5C}"/>
    <cellStyle name="Normal 9 2 3 2 2 4 3" xfId="6128" xr:uid="{00000000-0005-0000-0000-0000191F0000}"/>
    <cellStyle name="Normal 9 2 3 2 2 4 3 2" xfId="14557" xr:uid="{FD7FB75C-C24B-4E4E-A836-0A61AA74703D}"/>
    <cellStyle name="Normal 9 2 3 2 2 4 3 3" xfId="27190" xr:uid="{FBE5F714-0BD1-4A30-BD98-4584D2BA7AC2}"/>
    <cellStyle name="Normal 9 2 3 2 2 4 4" xfId="10339" xr:uid="{CD8B243D-1599-4091-B2FD-4F6E5FF71E50}"/>
    <cellStyle name="Normal 9 2 3 2 2 4 4 2" xfId="22979" xr:uid="{F3CB3830-C438-4619-ADC9-D682FF1B3652}"/>
    <cellStyle name="Normal 9 2 3 2 2 4 5" xfId="18768" xr:uid="{03FAF8A3-7DE4-490A-A019-6D7A7E87CF6B}"/>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435962C7-7156-4C03-AC91-33E47A64F782}"/>
    <cellStyle name="Normal 9 2 3 2 2 5 2 2 3" xfId="29748" xr:uid="{CCC22DF9-7400-42DE-AD94-A3FE5D2B76A7}"/>
    <cellStyle name="Normal 9 2 3 2 2 5 2 3" xfId="12897" xr:uid="{251FC5A4-377A-4483-AEE7-0B19835DBF1D}"/>
    <cellStyle name="Normal 9 2 3 2 2 5 2 3 2" xfId="25537" xr:uid="{EEE219B7-233D-4906-9B26-D73BA579EAF5}"/>
    <cellStyle name="Normal 9 2 3 2 2 5 2 4" xfId="21326" xr:uid="{0C425DAD-11BE-47D4-BFC2-6A93DBCB7F8B}"/>
    <cellStyle name="Normal 9 2 3 2 2 5 3" xfId="6541" xr:uid="{00000000-0005-0000-0000-00001D1F0000}"/>
    <cellStyle name="Normal 9 2 3 2 2 5 3 2" xfId="14970" xr:uid="{3A1AA720-F424-4A3D-8727-BFF745D85F6F}"/>
    <cellStyle name="Normal 9 2 3 2 2 5 3 3" xfId="27603" xr:uid="{04535AE6-1D98-401A-A4A1-812CDAC22F1D}"/>
    <cellStyle name="Normal 9 2 3 2 2 5 4" xfId="10752" xr:uid="{08139795-3F3B-4E05-834F-F262C7821B13}"/>
    <cellStyle name="Normal 9 2 3 2 2 5 4 2" xfId="23392" xr:uid="{BE7C0FDE-D464-461D-BCAA-DEE68DEC3494}"/>
    <cellStyle name="Normal 9 2 3 2 2 5 5" xfId="19181" xr:uid="{7EB96DF6-32F6-45CE-B7F5-EB352602ED0A}"/>
    <cellStyle name="Normal 9 2 3 2 2 6" xfId="2669" xr:uid="{00000000-0005-0000-0000-00001E1F0000}"/>
    <cellStyle name="Normal 9 2 3 2 2 6 2" xfId="6954" xr:uid="{00000000-0005-0000-0000-00001F1F0000}"/>
    <cellStyle name="Normal 9 2 3 2 2 6 2 2" xfId="15383" xr:uid="{FFF420B5-58A0-4E05-824E-B2FDECC8A33F}"/>
    <cellStyle name="Normal 9 2 3 2 2 6 2 3" xfId="28016" xr:uid="{8DD6C533-DF44-43BF-BF3A-ACA4B4B57A89}"/>
    <cellStyle name="Normal 9 2 3 2 2 6 3" xfId="11165" xr:uid="{B27BBAD8-51C5-4035-89A2-2D1190EA4591}"/>
    <cellStyle name="Normal 9 2 3 2 2 6 3 2" xfId="23805" xr:uid="{39A19640-3976-47A5-BE76-69D2003A6D00}"/>
    <cellStyle name="Normal 9 2 3 2 2 6 4" xfId="19594" xr:uid="{663A03C1-B615-4BC4-BDDE-6B89D605666A}"/>
    <cellStyle name="Normal 9 2 3 2 2 7" xfId="4889" xr:uid="{00000000-0005-0000-0000-0000201F0000}"/>
    <cellStyle name="Normal 9 2 3 2 2 7 2" xfId="13318" xr:uid="{F4D66A4B-644E-47CE-9465-444BEFA297BE}"/>
    <cellStyle name="Normal 9 2 3 2 2 7 3" xfId="25951" xr:uid="{CE0D3BBA-EC1A-4048-A237-94F6AF811FC5}"/>
    <cellStyle name="Normal 9 2 3 2 2 8" xfId="9100" xr:uid="{DB314A49-6113-47BE-9690-9E749490A581}"/>
    <cellStyle name="Normal 9 2 3 2 2 8 2" xfId="21740" xr:uid="{B1F80B17-1219-48AB-A47D-9C98B791D30F}"/>
    <cellStyle name="Normal 9 2 3 2 2 9" xfId="17529" xr:uid="{1788353D-F679-400A-A616-800A0202026F}"/>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AF7DB4E2-9AC2-4715-97EB-595E59B3D356}"/>
    <cellStyle name="Normal 9 2 3 2 3 2 2 3" xfId="28508" xr:uid="{8C7A4871-154B-4BCA-974D-B282C264F734}"/>
    <cellStyle name="Normal 9 2 3 2 3 2 3" xfId="11657" xr:uid="{3F184F7A-44EC-4A9B-BAF9-F8AB939E63ED}"/>
    <cellStyle name="Normal 9 2 3 2 3 2 3 2" xfId="24297" xr:uid="{492AD10C-FC08-4AF3-912B-4A7F51258FE4}"/>
    <cellStyle name="Normal 9 2 3 2 3 2 4" xfId="20086" xr:uid="{2343B42D-2938-4105-8F35-C98DC6FA2923}"/>
    <cellStyle name="Normal 9 2 3 2 3 3" xfId="5301" xr:uid="{00000000-0005-0000-0000-0000241F0000}"/>
    <cellStyle name="Normal 9 2 3 2 3 3 2" xfId="13730" xr:uid="{0119EDAF-5BED-4E30-B567-E191E0C5984A}"/>
    <cellStyle name="Normal 9 2 3 2 3 3 3" xfId="26363" xr:uid="{7E2F11BE-99DA-4C07-A03C-89AC14C9BBD0}"/>
    <cellStyle name="Normal 9 2 3 2 3 4" xfId="9512" xr:uid="{E7BBDC2E-2AB3-485A-8D0B-92AA2356CC56}"/>
    <cellStyle name="Normal 9 2 3 2 3 4 2" xfId="22152" xr:uid="{5DDD3603-6330-4B3B-80E6-70677BC249D7}"/>
    <cellStyle name="Normal 9 2 3 2 3 5" xfId="17941" xr:uid="{799FE0CA-6086-4340-BABA-E1F0CF1885C7}"/>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D6FF5876-3C40-41D2-A884-DC5ECC946D34}"/>
    <cellStyle name="Normal 9 2 3 2 4 2 2 3" xfId="28921" xr:uid="{71C01FDB-5BEF-432E-B1AC-E931245E70F8}"/>
    <cellStyle name="Normal 9 2 3 2 4 2 3" xfId="12070" xr:uid="{4DD06AB5-D14C-409D-93E2-27049CAA3AD7}"/>
    <cellStyle name="Normal 9 2 3 2 4 2 3 2" xfId="24710" xr:uid="{8DE1A9E8-0F1A-4A0A-9CFD-B90BBE78B273}"/>
    <cellStyle name="Normal 9 2 3 2 4 2 4" xfId="20499" xr:uid="{FA4DEB66-85B0-4CC8-96AA-3BFDEE0443D5}"/>
    <cellStyle name="Normal 9 2 3 2 4 3" xfId="5714" xr:uid="{00000000-0005-0000-0000-0000281F0000}"/>
    <cellStyle name="Normal 9 2 3 2 4 3 2" xfId="14143" xr:uid="{66E124DE-7A7F-4CCF-91BB-F53FC1BB800F}"/>
    <cellStyle name="Normal 9 2 3 2 4 3 3" xfId="26776" xr:uid="{C382B239-7D14-420E-AAF3-F9ABF0BC3647}"/>
    <cellStyle name="Normal 9 2 3 2 4 4" xfId="9925" xr:uid="{EE5E7CDC-4187-4A10-838F-48EFC686D16D}"/>
    <cellStyle name="Normal 9 2 3 2 4 4 2" xfId="22565" xr:uid="{DFA8E38D-C447-4792-94E0-4C5F358DCF25}"/>
    <cellStyle name="Normal 9 2 3 2 4 5" xfId="18354" xr:uid="{22778FD1-F21A-4E70-B70A-13F880A84AAB}"/>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85B6C7DB-975B-40DB-ABBA-A422C2F4A409}"/>
    <cellStyle name="Normal 9 2 3 2 5 2 2 3" xfId="29334" xr:uid="{58C4987D-C016-4654-8AF7-C2A7C374E7EF}"/>
    <cellStyle name="Normal 9 2 3 2 5 2 3" xfId="12483" xr:uid="{082375FD-9DF5-4E0C-AEF1-CD01DF720D4A}"/>
    <cellStyle name="Normal 9 2 3 2 5 2 3 2" xfId="25123" xr:uid="{77621CE0-54B6-49C7-8C2C-67DF8C7D3160}"/>
    <cellStyle name="Normal 9 2 3 2 5 2 4" xfId="20912" xr:uid="{1271CFF2-D034-46EA-A386-0A6478640D55}"/>
    <cellStyle name="Normal 9 2 3 2 5 3" xfId="6127" xr:uid="{00000000-0005-0000-0000-00002C1F0000}"/>
    <cellStyle name="Normal 9 2 3 2 5 3 2" xfId="14556" xr:uid="{B3180749-2FBA-4765-9319-3BCFFA0C28DA}"/>
    <cellStyle name="Normal 9 2 3 2 5 3 3" xfId="27189" xr:uid="{A7576F31-9D74-4A8E-9FD6-25ACDBED9F85}"/>
    <cellStyle name="Normal 9 2 3 2 5 4" xfId="10338" xr:uid="{CD35C2E0-E670-4683-B39A-69AA9A50746D}"/>
    <cellStyle name="Normal 9 2 3 2 5 4 2" xfId="22978" xr:uid="{CDA4A725-3C76-4269-91D3-BB65EB8CBEDA}"/>
    <cellStyle name="Normal 9 2 3 2 5 5" xfId="18767" xr:uid="{1F4D56BD-28CF-4CB3-8D6B-0628D94C5EE9}"/>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6FFD240A-83D6-4272-8BD8-69E20A1F448E}"/>
    <cellStyle name="Normal 9 2 3 2 6 2 2 3" xfId="29747" xr:uid="{7230BE1E-D2A9-4DCE-ABF8-3D3422C850B4}"/>
    <cellStyle name="Normal 9 2 3 2 6 2 3" xfId="12896" xr:uid="{F8296215-39ED-4623-9811-F60F019ABD31}"/>
    <cellStyle name="Normal 9 2 3 2 6 2 3 2" xfId="25536" xr:uid="{FE414342-9FD3-4659-ADB3-C9B572B3E3D6}"/>
    <cellStyle name="Normal 9 2 3 2 6 2 4" xfId="21325" xr:uid="{D3FF8B3D-187A-4633-90A8-A421A511ECBB}"/>
    <cellStyle name="Normal 9 2 3 2 6 3" xfId="6540" xr:uid="{00000000-0005-0000-0000-0000301F0000}"/>
    <cellStyle name="Normal 9 2 3 2 6 3 2" xfId="14969" xr:uid="{4F7F536C-98E2-45E2-A8B2-726CCB74CAC9}"/>
    <cellStyle name="Normal 9 2 3 2 6 3 3" xfId="27602" xr:uid="{093884A2-F4DD-4C66-BA40-3620E04E7D30}"/>
    <cellStyle name="Normal 9 2 3 2 6 4" xfId="10751" xr:uid="{1FBCA2E3-45E7-4697-8420-7A7F3A1216D8}"/>
    <cellStyle name="Normal 9 2 3 2 6 4 2" xfId="23391" xr:uid="{535DA73B-8DA6-4257-92B6-8BDFD66262B0}"/>
    <cellStyle name="Normal 9 2 3 2 6 5" xfId="19180" xr:uid="{1BA9858C-08BF-43DB-95E0-43DF971E52E0}"/>
    <cellStyle name="Normal 9 2 3 2 7" xfId="2668" xr:uid="{00000000-0005-0000-0000-0000311F0000}"/>
    <cellStyle name="Normal 9 2 3 2 7 2" xfId="6953" xr:uid="{00000000-0005-0000-0000-0000321F0000}"/>
    <cellStyle name="Normal 9 2 3 2 7 2 2" xfId="15382" xr:uid="{260B16E5-1228-4DD1-8EE9-561675E09D43}"/>
    <cellStyle name="Normal 9 2 3 2 7 2 3" xfId="28015" xr:uid="{862A0840-E8DE-4B33-8103-B8D55E16BCC2}"/>
    <cellStyle name="Normal 9 2 3 2 7 3" xfId="11164" xr:uid="{92AA761F-7B04-45DC-9341-5EE0C01A1B76}"/>
    <cellStyle name="Normal 9 2 3 2 7 3 2" xfId="23804" xr:uid="{C58193A7-89BE-42AC-98C7-545DFFE07BEB}"/>
    <cellStyle name="Normal 9 2 3 2 7 4" xfId="19593" xr:uid="{DEB18C78-A91C-42D0-81B1-2129F29A6556}"/>
    <cellStyle name="Normal 9 2 3 2 8" xfId="4888" xr:uid="{00000000-0005-0000-0000-0000331F0000}"/>
    <cellStyle name="Normal 9 2 3 2 8 2" xfId="13317" xr:uid="{1247C3DC-3410-4C33-B93D-5BA7F312B9A5}"/>
    <cellStyle name="Normal 9 2 3 2 8 3" xfId="25950" xr:uid="{05736A3E-F412-40EC-9C07-EC0924817F40}"/>
    <cellStyle name="Normal 9 2 3 2 9" xfId="9099" xr:uid="{A1158CDA-F279-4DF2-9325-F1EE6FF1F4FF}"/>
    <cellStyle name="Normal 9 2 3 2 9 2" xfId="21739" xr:uid="{AB50F29E-4EA2-423C-A390-E7B72E31E1CE}"/>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6D534105-E608-4104-828F-6EB30772E2F0}"/>
    <cellStyle name="Normal 9 2 3 3 2 2 2 3" xfId="28510" xr:uid="{6C7D5630-834E-438A-AEE4-12465384F86B}"/>
    <cellStyle name="Normal 9 2 3 3 2 2 3" xfId="11659" xr:uid="{B6DD130A-9ECF-4C10-8614-F01EFC1A9B79}"/>
    <cellStyle name="Normal 9 2 3 3 2 2 3 2" xfId="24299" xr:uid="{7A24F178-A446-4947-81FC-7764F9E6D00D}"/>
    <cellStyle name="Normal 9 2 3 3 2 2 4" xfId="20088" xr:uid="{70426404-ABC8-43A4-BA8B-2FBE1CEB6475}"/>
    <cellStyle name="Normal 9 2 3 3 2 3" xfId="5303" xr:uid="{00000000-0005-0000-0000-0000381F0000}"/>
    <cellStyle name="Normal 9 2 3 3 2 3 2" xfId="13732" xr:uid="{B82C554A-DAA7-46DE-8CF9-8674955BDD56}"/>
    <cellStyle name="Normal 9 2 3 3 2 3 3" xfId="26365" xr:uid="{1A29544C-B32D-4E00-A11D-01CE67C54C97}"/>
    <cellStyle name="Normal 9 2 3 3 2 4" xfId="9514" xr:uid="{63FAACC0-2E18-4D8C-B4A3-3ADF70B12A9D}"/>
    <cellStyle name="Normal 9 2 3 3 2 4 2" xfId="22154" xr:uid="{0CDF2195-2BB4-4995-96E6-8E5582D32202}"/>
    <cellStyle name="Normal 9 2 3 3 2 5" xfId="17943" xr:uid="{CEDED115-E6D9-477C-88AD-EF43E17BF5C8}"/>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B36FA8C2-A4A9-4CE8-97C0-91F26305701F}"/>
    <cellStyle name="Normal 9 2 3 3 3 2 2 3" xfId="28923" xr:uid="{3D68D5E7-63C2-46DB-8124-E2CBAAAAFB9F}"/>
    <cellStyle name="Normal 9 2 3 3 3 2 3" xfId="12072" xr:uid="{B8E35F1D-7C95-4F5E-BA5B-EA3438DFD81F}"/>
    <cellStyle name="Normal 9 2 3 3 3 2 3 2" xfId="24712" xr:uid="{89F09C7D-7977-4145-AA80-4ECE9A9A452B}"/>
    <cellStyle name="Normal 9 2 3 3 3 2 4" xfId="20501" xr:uid="{4F5DE6FF-26A5-43DF-ABFA-AD00D88AE135}"/>
    <cellStyle name="Normal 9 2 3 3 3 3" xfId="5716" xr:uid="{00000000-0005-0000-0000-00003C1F0000}"/>
    <cellStyle name="Normal 9 2 3 3 3 3 2" xfId="14145" xr:uid="{076126E3-9446-41B0-BF93-C99D3EF79BAF}"/>
    <cellStyle name="Normal 9 2 3 3 3 3 3" xfId="26778" xr:uid="{0B5A70BB-D12F-451B-A9A9-35CC9CACD858}"/>
    <cellStyle name="Normal 9 2 3 3 3 4" xfId="9927" xr:uid="{0CACE492-F3A4-4E26-A7F0-1C1FE33C9A5C}"/>
    <cellStyle name="Normal 9 2 3 3 3 4 2" xfId="22567" xr:uid="{9F83DF2B-043D-44EF-81E0-C9419CFDC10E}"/>
    <cellStyle name="Normal 9 2 3 3 3 5" xfId="18356" xr:uid="{559340D3-2805-481E-8494-4702E4CE4D3B}"/>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D3D9577A-C7D4-4927-9313-C95D7A40D2EB}"/>
    <cellStyle name="Normal 9 2 3 3 4 2 2 3" xfId="29336" xr:uid="{DC631A28-9927-4C53-9454-8860B2141994}"/>
    <cellStyle name="Normal 9 2 3 3 4 2 3" xfId="12485" xr:uid="{26AAFDBA-E851-4D67-AA19-0EB7B5D69BF0}"/>
    <cellStyle name="Normal 9 2 3 3 4 2 3 2" xfId="25125" xr:uid="{EF066149-B582-41C8-AA0B-F08EDC6F52AB}"/>
    <cellStyle name="Normal 9 2 3 3 4 2 4" xfId="20914" xr:uid="{1290AFA4-E1EE-4B1D-A975-4AC8B7F8BFDA}"/>
    <cellStyle name="Normal 9 2 3 3 4 3" xfId="6129" xr:uid="{00000000-0005-0000-0000-0000401F0000}"/>
    <cellStyle name="Normal 9 2 3 3 4 3 2" xfId="14558" xr:uid="{FB2B3666-8CE0-45B0-8679-67FE9C605E76}"/>
    <cellStyle name="Normal 9 2 3 3 4 3 3" xfId="27191" xr:uid="{ACDD47FF-A894-42EE-B36C-6F6142890D36}"/>
    <cellStyle name="Normal 9 2 3 3 4 4" xfId="10340" xr:uid="{E738567D-5E94-470C-BD06-80264F155980}"/>
    <cellStyle name="Normal 9 2 3 3 4 4 2" xfId="22980" xr:uid="{BFEFDEE8-77F4-4840-8B32-D273ABA26EA7}"/>
    <cellStyle name="Normal 9 2 3 3 4 5" xfId="18769" xr:uid="{6A4159A1-753E-4093-97A6-6A9CB5B07666}"/>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A0AD1C19-7F8B-421A-9DF1-66B90A5BDA33}"/>
    <cellStyle name="Normal 9 2 3 3 5 2 2 3" xfId="29749" xr:uid="{AE2738BB-6E73-41FD-A5EE-BD04DD861922}"/>
    <cellStyle name="Normal 9 2 3 3 5 2 3" xfId="12898" xr:uid="{80F85CB4-71CD-4B46-89D1-CEA537738CA0}"/>
    <cellStyle name="Normal 9 2 3 3 5 2 3 2" xfId="25538" xr:uid="{A55A1D0A-A3D2-405D-9591-35CE2B08FEAE}"/>
    <cellStyle name="Normal 9 2 3 3 5 2 4" xfId="21327" xr:uid="{41B39DFC-16B6-4A6F-A552-959A05550D3B}"/>
    <cellStyle name="Normal 9 2 3 3 5 3" xfId="6542" xr:uid="{00000000-0005-0000-0000-0000441F0000}"/>
    <cellStyle name="Normal 9 2 3 3 5 3 2" xfId="14971" xr:uid="{C937D787-06DF-4A59-864D-DB7E3668C273}"/>
    <cellStyle name="Normal 9 2 3 3 5 3 3" xfId="27604" xr:uid="{5E6410D0-E36E-4D27-87F8-1EA035B814EC}"/>
    <cellStyle name="Normal 9 2 3 3 5 4" xfId="10753" xr:uid="{E8AC74EF-0C05-40C0-AC9D-70EDFD1DB893}"/>
    <cellStyle name="Normal 9 2 3 3 5 4 2" xfId="23393" xr:uid="{58CCDA22-66B5-4709-8A5E-B935C9FDB16F}"/>
    <cellStyle name="Normal 9 2 3 3 5 5" xfId="19182" xr:uid="{4C1AA8F6-F7DE-4795-9691-E7BCB3C8FA50}"/>
    <cellStyle name="Normal 9 2 3 3 6" xfId="2670" xr:uid="{00000000-0005-0000-0000-0000451F0000}"/>
    <cellStyle name="Normal 9 2 3 3 6 2" xfId="6955" xr:uid="{00000000-0005-0000-0000-0000461F0000}"/>
    <cellStyle name="Normal 9 2 3 3 6 2 2" xfId="15384" xr:uid="{81566E40-5A4A-401B-858A-739CB24836B6}"/>
    <cellStyle name="Normal 9 2 3 3 6 2 3" xfId="28017" xr:uid="{A5430CC6-1A8D-48F0-BDAD-E4FE26A16F07}"/>
    <cellStyle name="Normal 9 2 3 3 6 3" xfId="11166" xr:uid="{39AC034F-CDE1-48C8-AC66-D10F87F540A7}"/>
    <cellStyle name="Normal 9 2 3 3 6 3 2" xfId="23806" xr:uid="{441DB5E5-C607-4BAA-8B87-2E3376E51DE7}"/>
    <cellStyle name="Normal 9 2 3 3 6 4" xfId="19595" xr:uid="{F0D00706-3EF6-4DF5-8528-4CA8A066AE64}"/>
    <cellStyle name="Normal 9 2 3 3 7" xfId="4890" xr:uid="{00000000-0005-0000-0000-0000471F0000}"/>
    <cellStyle name="Normal 9 2 3 3 7 2" xfId="13319" xr:uid="{349AAFCC-A89D-4353-9D4C-FEA07065E690}"/>
    <cellStyle name="Normal 9 2 3 3 7 3" xfId="25952" xr:uid="{C4021AB1-620E-482F-918B-67A09F83B1F3}"/>
    <cellStyle name="Normal 9 2 3 3 8" xfId="9101" xr:uid="{6B521B35-164C-48ED-AE53-F9E2ADC57EF2}"/>
    <cellStyle name="Normal 9 2 3 3 8 2" xfId="21741" xr:uid="{BD6BFFD9-08F4-4DF6-9096-CEC0B4E4BDD4}"/>
    <cellStyle name="Normal 9 2 3 3 9" xfId="17530" xr:uid="{D6C1D758-3D02-4FF0-8894-AA3CF66F36D5}"/>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BAB9D81E-17F5-407F-A3A8-8497D3917F95}"/>
    <cellStyle name="Normal 9 2 3 4 2 2 3" xfId="28507" xr:uid="{11E87D9F-6D3E-411D-8852-2A1F71C75FA0}"/>
    <cellStyle name="Normal 9 2 3 4 2 3" xfId="11656" xr:uid="{7D6A0467-F9A3-46DC-8196-F4AC492827C8}"/>
    <cellStyle name="Normal 9 2 3 4 2 3 2" xfId="24296" xr:uid="{3B5C13D8-121E-4920-B4C0-D81205C6968F}"/>
    <cellStyle name="Normal 9 2 3 4 2 4" xfId="20085" xr:uid="{B70E552D-6164-422C-8895-523B34A0D6CA}"/>
    <cellStyle name="Normal 9 2 3 4 3" xfId="5300" xr:uid="{00000000-0005-0000-0000-00004B1F0000}"/>
    <cellStyle name="Normal 9 2 3 4 3 2" xfId="13729" xr:uid="{74EA61B5-DD9B-4B79-AA91-E5F1DD3DD325}"/>
    <cellStyle name="Normal 9 2 3 4 3 3" xfId="26362" xr:uid="{C3E5DC8A-CAAF-4240-ABD4-E5C60BDEFA77}"/>
    <cellStyle name="Normal 9 2 3 4 4" xfId="9511" xr:uid="{E05F5867-9BEE-4ED9-9151-85D3A074E047}"/>
    <cellStyle name="Normal 9 2 3 4 4 2" xfId="22151" xr:uid="{71B02738-BEE3-42F8-909E-077801CD8804}"/>
    <cellStyle name="Normal 9 2 3 4 5" xfId="17940" xr:uid="{D0C9D302-D518-405C-82E9-FDE79310A653}"/>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A9E685DC-F082-483B-B448-3ED6548D7629}"/>
    <cellStyle name="Normal 9 2 3 5 2 2 3" xfId="28920" xr:uid="{407DAD46-A1A3-4996-802A-DB6EF3D3D22E}"/>
    <cellStyle name="Normal 9 2 3 5 2 3" xfId="12069" xr:uid="{8E4B3096-EBB8-4817-8EF5-DBB610EA7AAC}"/>
    <cellStyle name="Normal 9 2 3 5 2 3 2" xfId="24709" xr:uid="{EEC156D5-D0A3-4F2F-80E7-CC0DDF43EE6E}"/>
    <cellStyle name="Normal 9 2 3 5 2 4" xfId="20498" xr:uid="{B45D98F6-5A80-465A-B075-5E09D5C323A1}"/>
    <cellStyle name="Normal 9 2 3 5 3" xfId="5713" xr:uid="{00000000-0005-0000-0000-00004F1F0000}"/>
    <cellStyle name="Normal 9 2 3 5 3 2" xfId="14142" xr:uid="{82B3F54B-DB8F-47DD-8C38-CF416AE124EC}"/>
    <cellStyle name="Normal 9 2 3 5 3 3" xfId="26775" xr:uid="{659A2BBE-0C6A-4B8D-9709-D187AF142489}"/>
    <cellStyle name="Normal 9 2 3 5 4" xfId="9924" xr:uid="{CBE8DD52-65AC-4179-A0E1-DF1E78537E13}"/>
    <cellStyle name="Normal 9 2 3 5 4 2" xfId="22564" xr:uid="{045DAB20-8095-4517-99ED-4412C2AAB858}"/>
    <cellStyle name="Normal 9 2 3 5 5" xfId="18353" xr:uid="{7C15666F-FE30-49A1-97A6-41E983002BEF}"/>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D0BC52BF-46DD-4093-A0AB-F27D376B98C9}"/>
    <cellStyle name="Normal 9 2 3 6 2 2 3" xfId="29333" xr:uid="{DBE7CD8A-FB34-4DCE-8237-B63049B59BDA}"/>
    <cellStyle name="Normal 9 2 3 6 2 3" xfId="12482" xr:uid="{E594D4E6-6566-405E-A52C-5BA3DC014CA1}"/>
    <cellStyle name="Normal 9 2 3 6 2 3 2" xfId="25122" xr:uid="{0210810E-F62B-4A73-9715-6EF661673EA8}"/>
    <cellStyle name="Normal 9 2 3 6 2 4" xfId="20911" xr:uid="{EA661AA4-5EF1-4989-84E4-027C46EFA4E5}"/>
    <cellStyle name="Normal 9 2 3 6 3" xfId="6126" xr:uid="{00000000-0005-0000-0000-0000531F0000}"/>
    <cellStyle name="Normal 9 2 3 6 3 2" xfId="14555" xr:uid="{50452DF2-033A-4E3B-A4BC-2110F52FA752}"/>
    <cellStyle name="Normal 9 2 3 6 3 3" xfId="27188" xr:uid="{FDAC6A8B-CFDD-4444-902C-37FFF92DCFE7}"/>
    <cellStyle name="Normal 9 2 3 6 4" xfId="10337" xr:uid="{EAF8EC16-C721-494E-B72A-79DD0E92D7BC}"/>
    <cellStyle name="Normal 9 2 3 6 4 2" xfId="22977" xr:uid="{5B82C4B0-4D09-4B35-B6CC-F1403304F182}"/>
    <cellStyle name="Normal 9 2 3 6 5" xfId="18766" xr:uid="{6B03D5D3-2C97-437B-BD20-26B53F827BD5}"/>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589DCB93-8F7D-47D6-B701-223EF009AE82}"/>
    <cellStyle name="Normal 9 2 3 7 2 2 3" xfId="29746" xr:uid="{5C21A709-FC00-43AC-9CC9-11F205F34CC1}"/>
    <cellStyle name="Normal 9 2 3 7 2 3" xfId="12895" xr:uid="{1BBFAAE1-C88E-4A97-A115-61AFF05D7397}"/>
    <cellStyle name="Normal 9 2 3 7 2 3 2" xfId="25535" xr:uid="{D1F300A1-E4FC-4FED-AFE4-79C25F577393}"/>
    <cellStyle name="Normal 9 2 3 7 2 4" xfId="21324" xr:uid="{13268362-BC50-4CA5-BCED-6A4A420259F9}"/>
    <cellStyle name="Normal 9 2 3 7 3" xfId="6539" xr:uid="{00000000-0005-0000-0000-0000571F0000}"/>
    <cellStyle name="Normal 9 2 3 7 3 2" xfId="14968" xr:uid="{BA8F9651-C6DC-40B1-B7F6-3D03146E7EAB}"/>
    <cellStyle name="Normal 9 2 3 7 3 3" xfId="27601" xr:uid="{B8DD8A54-423C-4EDE-A55E-F45BAB3C8F9D}"/>
    <cellStyle name="Normal 9 2 3 7 4" xfId="10750" xr:uid="{D4F6BC0E-DD53-444C-9353-CEA3EE38725A}"/>
    <cellStyle name="Normal 9 2 3 7 4 2" xfId="23390" xr:uid="{902AD7F5-3585-461F-97CC-3A5119039B7E}"/>
    <cellStyle name="Normal 9 2 3 7 5" xfId="19179" xr:uid="{6350DC7A-6CE0-45D2-AE21-8C511B95C3CA}"/>
    <cellStyle name="Normal 9 2 3 8" xfId="2667" xr:uid="{00000000-0005-0000-0000-0000581F0000}"/>
    <cellStyle name="Normal 9 2 3 8 2" xfId="6952" xr:uid="{00000000-0005-0000-0000-0000591F0000}"/>
    <cellStyle name="Normal 9 2 3 8 2 2" xfId="15381" xr:uid="{8539260C-694C-4A1B-8A1C-E7C14213D229}"/>
    <cellStyle name="Normal 9 2 3 8 2 3" xfId="28014" xr:uid="{27C1AB9E-327D-4EAA-B203-8D45A1CDA66B}"/>
    <cellStyle name="Normal 9 2 3 8 3" xfId="11163" xr:uid="{D85AD4DF-17E9-4365-A3C9-9397AE0701CD}"/>
    <cellStyle name="Normal 9 2 3 8 3 2" xfId="23803" xr:uid="{201D7925-4CC3-4852-9D9D-296A1598C340}"/>
    <cellStyle name="Normal 9 2 3 8 4" xfId="19592" xr:uid="{E0EBDB5A-BE9B-4A67-B43F-7C4272F7A96B}"/>
    <cellStyle name="Normal 9 2 3 9" xfId="4887" xr:uid="{00000000-0005-0000-0000-00005A1F0000}"/>
    <cellStyle name="Normal 9 2 3 9 2" xfId="13316" xr:uid="{7790D379-1752-4762-9DBE-90213CF5C832}"/>
    <cellStyle name="Normal 9 2 3 9 3" xfId="25949" xr:uid="{87A8DA3B-F3A9-4155-ACBE-F1622953DD52}"/>
    <cellStyle name="Normal 9 2 4" xfId="524" xr:uid="{00000000-0005-0000-0000-00005B1F0000}"/>
    <cellStyle name="Normal 9 2 4 10" xfId="17531" xr:uid="{970835DE-E0D6-4FA3-82E9-1615828F423D}"/>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A6ECEA54-0E3E-4D70-82A7-2DC21F110363}"/>
    <cellStyle name="Normal 9 2 4 2 2 2 2 3" xfId="28512" xr:uid="{1A33C348-525A-4708-959A-FAEA0127505C}"/>
    <cellStyle name="Normal 9 2 4 2 2 2 3" xfId="11661" xr:uid="{385B52F8-E686-46DB-8F01-F83EA9D39880}"/>
    <cellStyle name="Normal 9 2 4 2 2 2 3 2" xfId="24301" xr:uid="{83527E99-DE7C-467F-BD18-8EF35D371D4B}"/>
    <cellStyle name="Normal 9 2 4 2 2 2 4" xfId="20090" xr:uid="{2E5705E8-6A82-4B99-AA0C-80C162561AB3}"/>
    <cellStyle name="Normal 9 2 4 2 2 3" xfId="5305" xr:uid="{00000000-0005-0000-0000-0000601F0000}"/>
    <cellStyle name="Normal 9 2 4 2 2 3 2" xfId="13734" xr:uid="{F811652F-BDC7-41B2-B9FE-47C5E8A6F181}"/>
    <cellStyle name="Normal 9 2 4 2 2 3 3" xfId="26367" xr:uid="{1C85A861-A53A-4222-9302-42145BA990ED}"/>
    <cellStyle name="Normal 9 2 4 2 2 4" xfId="9516" xr:uid="{494D5C29-5F84-44B9-B01C-E7DE466DD55E}"/>
    <cellStyle name="Normal 9 2 4 2 2 4 2" xfId="22156" xr:uid="{8497B59D-4DE5-48F7-9F7E-D27498FB14E2}"/>
    <cellStyle name="Normal 9 2 4 2 2 5" xfId="17945" xr:uid="{D1C01ACF-8491-47D5-84EC-C5825450E1AC}"/>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CE70690A-8D32-4DF3-A866-1A272647D554}"/>
    <cellStyle name="Normal 9 2 4 2 3 2 2 3" xfId="28925" xr:uid="{3864A879-42BB-4F80-8C8C-40830AF4ED1A}"/>
    <cellStyle name="Normal 9 2 4 2 3 2 3" xfId="12074" xr:uid="{55A9C7C1-6A7B-4B96-A5FC-F9FC390B8A0C}"/>
    <cellStyle name="Normal 9 2 4 2 3 2 3 2" xfId="24714" xr:uid="{FF11BD9C-5090-4DF1-B089-5D618491B62E}"/>
    <cellStyle name="Normal 9 2 4 2 3 2 4" xfId="20503" xr:uid="{E8D2D46B-C71C-4A6E-94DA-70AA67848AFA}"/>
    <cellStyle name="Normal 9 2 4 2 3 3" xfId="5718" xr:uid="{00000000-0005-0000-0000-0000641F0000}"/>
    <cellStyle name="Normal 9 2 4 2 3 3 2" xfId="14147" xr:uid="{48C3AD20-93C2-4D17-BD2B-62F1C7792774}"/>
    <cellStyle name="Normal 9 2 4 2 3 3 3" xfId="26780" xr:uid="{840DB643-972B-4009-A43B-7B64F9C237D4}"/>
    <cellStyle name="Normal 9 2 4 2 3 4" xfId="9929" xr:uid="{CB6483E1-5E12-4048-BE1A-2688605EA0EA}"/>
    <cellStyle name="Normal 9 2 4 2 3 4 2" xfId="22569" xr:uid="{F5504F76-1901-4920-9D36-5B26BD118B16}"/>
    <cellStyle name="Normal 9 2 4 2 3 5" xfId="18358" xr:uid="{8BC01F02-0266-474E-9AC9-6BBE3D2D30A0}"/>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534EA8A0-AA58-4C9D-8D3B-E05C8585132B}"/>
    <cellStyle name="Normal 9 2 4 2 4 2 2 3" xfId="29338" xr:uid="{2813AB3A-60AA-4B86-B841-6EA8CFB32ECB}"/>
    <cellStyle name="Normal 9 2 4 2 4 2 3" xfId="12487" xr:uid="{C082D7D4-0EA3-4C73-AEDC-40A8484D2479}"/>
    <cellStyle name="Normal 9 2 4 2 4 2 3 2" xfId="25127" xr:uid="{955AFB28-671D-4639-A1EE-5FC1C30826FB}"/>
    <cellStyle name="Normal 9 2 4 2 4 2 4" xfId="20916" xr:uid="{F657EC05-8887-4143-81F3-F73D2E07DCEF}"/>
    <cellStyle name="Normal 9 2 4 2 4 3" xfId="6131" xr:uid="{00000000-0005-0000-0000-0000681F0000}"/>
    <cellStyle name="Normal 9 2 4 2 4 3 2" xfId="14560" xr:uid="{485036FA-AE16-4CA2-A277-CFFA00E617C6}"/>
    <cellStyle name="Normal 9 2 4 2 4 3 3" xfId="27193" xr:uid="{C788A82B-ED9A-40F6-ABCA-0BCFAB3E60E3}"/>
    <cellStyle name="Normal 9 2 4 2 4 4" xfId="10342" xr:uid="{6E236426-4D34-463C-8CC7-F5B7B312DD61}"/>
    <cellStyle name="Normal 9 2 4 2 4 4 2" xfId="22982" xr:uid="{D3600F83-D456-41AA-B1A7-B34A88E667DE}"/>
    <cellStyle name="Normal 9 2 4 2 4 5" xfId="18771" xr:uid="{52A2CC9B-4D13-414A-AACF-2928EFE6F6E4}"/>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A5335D35-267B-4C54-BF4C-994CA8D1C981}"/>
    <cellStyle name="Normal 9 2 4 2 5 2 2 3" xfId="29751" xr:uid="{B4930536-6851-433B-A96A-B07495EBAB60}"/>
    <cellStyle name="Normal 9 2 4 2 5 2 3" xfId="12900" xr:uid="{076D35FF-8F52-42C4-965E-84F50FF8E3A8}"/>
    <cellStyle name="Normal 9 2 4 2 5 2 3 2" xfId="25540" xr:uid="{15C69959-FD89-4C5E-A221-435D4D7CE803}"/>
    <cellStyle name="Normal 9 2 4 2 5 2 4" xfId="21329" xr:uid="{9019132A-8F73-4765-9CF7-516AF7E5BD01}"/>
    <cellStyle name="Normal 9 2 4 2 5 3" xfId="6544" xr:uid="{00000000-0005-0000-0000-00006C1F0000}"/>
    <cellStyle name="Normal 9 2 4 2 5 3 2" xfId="14973" xr:uid="{EE485B43-F67B-40CB-A189-802A14E72B90}"/>
    <cellStyle name="Normal 9 2 4 2 5 3 3" xfId="27606" xr:uid="{DEA5C594-4253-4A71-81BA-2C6079031DCC}"/>
    <cellStyle name="Normal 9 2 4 2 5 4" xfId="10755" xr:uid="{E3E032BD-4C60-48BA-83B6-ACE621906C8B}"/>
    <cellStyle name="Normal 9 2 4 2 5 4 2" xfId="23395" xr:uid="{FFC21755-577B-4524-8186-EFEA6DAFD2F3}"/>
    <cellStyle name="Normal 9 2 4 2 5 5" xfId="19184" xr:uid="{25E9F7DC-3ADF-4404-BB1B-6209BBEAF1F9}"/>
    <cellStyle name="Normal 9 2 4 2 6" xfId="2672" xr:uid="{00000000-0005-0000-0000-00006D1F0000}"/>
    <cellStyle name="Normal 9 2 4 2 6 2" xfId="6957" xr:uid="{00000000-0005-0000-0000-00006E1F0000}"/>
    <cellStyle name="Normal 9 2 4 2 6 2 2" xfId="15386" xr:uid="{956F0220-21B9-401E-BF63-E3C9392A5A2B}"/>
    <cellStyle name="Normal 9 2 4 2 6 2 3" xfId="28019" xr:uid="{1B865F79-BB8D-4190-903D-15D6165E7A63}"/>
    <cellStyle name="Normal 9 2 4 2 6 3" xfId="11168" xr:uid="{E571DFA8-6A56-418A-8E53-F4E4AA4A7ECB}"/>
    <cellStyle name="Normal 9 2 4 2 6 3 2" xfId="23808" xr:uid="{156F81C5-F894-45FE-8959-346DFEC4EFBB}"/>
    <cellStyle name="Normal 9 2 4 2 6 4" xfId="19597" xr:uid="{2EEFF330-0B26-4BEA-8ACB-FF0D672F6377}"/>
    <cellStyle name="Normal 9 2 4 2 7" xfId="4892" xr:uid="{00000000-0005-0000-0000-00006F1F0000}"/>
    <cellStyle name="Normal 9 2 4 2 7 2" xfId="13321" xr:uid="{C65E0EE1-D35E-40D8-80C0-70648A36819E}"/>
    <cellStyle name="Normal 9 2 4 2 7 3" xfId="25954" xr:uid="{837F0C1B-1153-480B-BD82-D2F0BFE56C9B}"/>
    <cellStyle name="Normal 9 2 4 2 8" xfId="9103" xr:uid="{48ADF603-F94C-40A2-B5E1-1CD18AA7F1F5}"/>
    <cellStyle name="Normal 9 2 4 2 8 2" xfId="21743" xr:uid="{B5425CE7-AD81-4F08-A84F-437FF0E9CD13}"/>
    <cellStyle name="Normal 9 2 4 2 9" xfId="17532" xr:uid="{0CD45DC9-B4E6-4A5B-96FE-D7BACDAA375B}"/>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262714F7-7833-4A38-A584-19D79AAF714E}"/>
    <cellStyle name="Normal 9 2 4 3 2 2 3" xfId="28511" xr:uid="{601F30B2-14A5-4150-8E88-42B1BFECE3A0}"/>
    <cellStyle name="Normal 9 2 4 3 2 3" xfId="11660" xr:uid="{12CDB44E-0340-4032-A393-974A62C8DC82}"/>
    <cellStyle name="Normal 9 2 4 3 2 3 2" xfId="24300" xr:uid="{0C8DFA18-7F82-47D4-9F3D-80278BD6FF46}"/>
    <cellStyle name="Normal 9 2 4 3 2 4" xfId="20089" xr:uid="{D17FAD9D-E3CF-491B-88A5-7BB73C1EF60B}"/>
    <cellStyle name="Normal 9 2 4 3 3" xfId="5304" xr:uid="{00000000-0005-0000-0000-0000731F0000}"/>
    <cellStyle name="Normal 9 2 4 3 3 2" xfId="13733" xr:uid="{B57834BA-0913-4690-B8A5-EDCEDC3E17D6}"/>
    <cellStyle name="Normal 9 2 4 3 3 3" xfId="26366" xr:uid="{90CEF42D-2CBD-46CF-80B7-CA5B1A5F7B16}"/>
    <cellStyle name="Normal 9 2 4 3 4" xfId="9515" xr:uid="{6ED9F049-5338-4593-8FE2-F54C7351435D}"/>
    <cellStyle name="Normal 9 2 4 3 4 2" xfId="22155" xr:uid="{EA80944D-5BB7-481F-BD24-B6191C02C5BC}"/>
    <cellStyle name="Normal 9 2 4 3 5" xfId="17944" xr:uid="{59A72891-8026-40B7-9B66-C8CE173498FF}"/>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0631E4B0-673E-4E27-98A1-84E721FAE193}"/>
    <cellStyle name="Normal 9 2 4 4 2 2 3" xfId="28924" xr:uid="{6A092484-9DCA-47C8-890B-E1A001CFA1DB}"/>
    <cellStyle name="Normal 9 2 4 4 2 3" xfId="12073" xr:uid="{2B159168-FEB0-4FF0-8090-BE4A037C9F3B}"/>
    <cellStyle name="Normal 9 2 4 4 2 3 2" xfId="24713" xr:uid="{BEB3D45F-60A0-45FF-94E5-573F630E542B}"/>
    <cellStyle name="Normal 9 2 4 4 2 4" xfId="20502" xr:uid="{D09B0DCD-48F2-424C-BD47-2C8546DDD884}"/>
    <cellStyle name="Normal 9 2 4 4 3" xfId="5717" xr:uid="{00000000-0005-0000-0000-0000771F0000}"/>
    <cellStyle name="Normal 9 2 4 4 3 2" xfId="14146" xr:uid="{2F21955B-92AC-4B63-BF21-8686918C1750}"/>
    <cellStyle name="Normal 9 2 4 4 3 3" xfId="26779" xr:uid="{8CCCEA36-B8BB-46B4-AA99-573EE79BE0FA}"/>
    <cellStyle name="Normal 9 2 4 4 4" xfId="9928" xr:uid="{B9EEDE83-25AC-4280-83ED-114F7E2984EA}"/>
    <cellStyle name="Normal 9 2 4 4 4 2" xfId="22568" xr:uid="{98CBAD23-22A2-44D7-8CA8-DD7B0E952F69}"/>
    <cellStyle name="Normal 9 2 4 4 5" xfId="18357" xr:uid="{13859DFF-760F-4A30-BBA9-C33736A869F6}"/>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E53EA5A7-0247-4DC6-991A-0BAA8367AF7F}"/>
    <cellStyle name="Normal 9 2 4 5 2 2 3" xfId="29337" xr:uid="{3F8C8B5D-635E-40FB-87B1-86DD28037720}"/>
    <cellStyle name="Normal 9 2 4 5 2 3" xfId="12486" xr:uid="{94E71825-2684-47AF-AF05-58857D6AB222}"/>
    <cellStyle name="Normal 9 2 4 5 2 3 2" xfId="25126" xr:uid="{2515E3BE-744F-448B-8904-702E0CE0A7C6}"/>
    <cellStyle name="Normal 9 2 4 5 2 4" xfId="20915" xr:uid="{6FE458DD-4AF7-46DD-B152-02919B9B2D3E}"/>
    <cellStyle name="Normal 9 2 4 5 3" xfId="6130" xr:uid="{00000000-0005-0000-0000-00007B1F0000}"/>
    <cellStyle name="Normal 9 2 4 5 3 2" xfId="14559" xr:uid="{02DF6253-A578-4B77-813C-346F729C8315}"/>
    <cellStyle name="Normal 9 2 4 5 3 3" xfId="27192" xr:uid="{F5014FCA-DEFE-476F-A981-76A754B1BDAB}"/>
    <cellStyle name="Normal 9 2 4 5 4" xfId="10341" xr:uid="{7ACF3C17-9A61-462C-8C53-2EE6C80AD972}"/>
    <cellStyle name="Normal 9 2 4 5 4 2" xfId="22981" xr:uid="{4EC4329B-362F-4585-B279-D15398CD33B5}"/>
    <cellStyle name="Normal 9 2 4 5 5" xfId="18770" xr:uid="{6A61EF07-B827-4BDD-A8D3-FE71ABB346C4}"/>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E1849B96-9405-43B7-B778-674A320BE7E3}"/>
    <cellStyle name="Normal 9 2 4 6 2 2 3" xfId="29750" xr:uid="{A60986AA-BDD9-4F40-B3FE-6591F3F16E94}"/>
    <cellStyle name="Normal 9 2 4 6 2 3" xfId="12899" xr:uid="{27D92F1A-4DC7-4F7B-BD93-D60993FBD725}"/>
    <cellStyle name="Normal 9 2 4 6 2 3 2" xfId="25539" xr:uid="{D61D08AA-22EC-4EA3-88C2-880CFB7DEBBC}"/>
    <cellStyle name="Normal 9 2 4 6 2 4" xfId="21328" xr:uid="{CDD544BD-065F-4F19-A814-630EC45F2E24}"/>
    <cellStyle name="Normal 9 2 4 6 3" xfId="6543" xr:uid="{00000000-0005-0000-0000-00007F1F0000}"/>
    <cellStyle name="Normal 9 2 4 6 3 2" xfId="14972" xr:uid="{391F3D44-48E1-46DC-A375-A2B0E3C27E15}"/>
    <cellStyle name="Normal 9 2 4 6 3 3" xfId="27605" xr:uid="{C026BF5D-4023-4479-B074-98C076C91237}"/>
    <cellStyle name="Normal 9 2 4 6 4" xfId="10754" xr:uid="{FB8A7364-A9B2-43FB-AC88-B54B7B014DD8}"/>
    <cellStyle name="Normal 9 2 4 6 4 2" xfId="23394" xr:uid="{60C6DFB8-6D7F-40B1-8017-C7FB8F4B91E6}"/>
    <cellStyle name="Normal 9 2 4 6 5" xfId="19183" xr:uid="{31C33182-7CB2-47F5-ACAC-E3C554329D9A}"/>
    <cellStyle name="Normal 9 2 4 7" xfId="2671" xr:uid="{00000000-0005-0000-0000-0000801F0000}"/>
    <cellStyle name="Normal 9 2 4 7 2" xfId="6956" xr:uid="{00000000-0005-0000-0000-0000811F0000}"/>
    <cellStyle name="Normal 9 2 4 7 2 2" xfId="15385" xr:uid="{AC60CDB9-F4DD-4D4E-9525-2127C39424D5}"/>
    <cellStyle name="Normal 9 2 4 7 2 3" xfId="28018" xr:uid="{0B83D1E9-7F35-4FF0-A7B1-D437D6B79EE0}"/>
    <cellStyle name="Normal 9 2 4 7 3" xfId="11167" xr:uid="{637B6008-48F2-451A-B59D-7733E8C20DEA}"/>
    <cellStyle name="Normal 9 2 4 7 3 2" xfId="23807" xr:uid="{D6C63665-684F-4766-AEDD-7624EF954520}"/>
    <cellStyle name="Normal 9 2 4 7 4" xfId="19596" xr:uid="{24909E28-4FCA-4BCD-956F-48974A0AB92F}"/>
    <cellStyle name="Normal 9 2 4 8" xfId="4891" xr:uid="{00000000-0005-0000-0000-0000821F0000}"/>
    <cellStyle name="Normal 9 2 4 8 2" xfId="13320" xr:uid="{35591384-4806-4478-AD3D-BD6BE2DF8B0B}"/>
    <cellStyle name="Normal 9 2 4 8 3" xfId="25953" xr:uid="{72F2E593-8675-4336-BB68-943F5A458F7B}"/>
    <cellStyle name="Normal 9 2 4 9" xfId="9102" xr:uid="{12685517-4DFB-489B-81BA-2B13C5F5ED08}"/>
    <cellStyle name="Normal 9 2 4 9 2" xfId="21742" xr:uid="{260BCC88-780B-4C6C-9FB2-13A8F230FF0B}"/>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E6E8CEBE-6EE1-4231-A8FB-D52B1BE25451}"/>
    <cellStyle name="Normal 9 2 5 2 2 2 3" xfId="28513" xr:uid="{4E53AF64-5F2E-4745-9951-0756732E0B5C}"/>
    <cellStyle name="Normal 9 2 5 2 2 3" xfId="11662" xr:uid="{A2659110-7D53-4ED6-93E0-AC209D78324C}"/>
    <cellStyle name="Normal 9 2 5 2 2 3 2" xfId="24302" xr:uid="{548B621A-C663-4DF1-9009-623F2439C914}"/>
    <cellStyle name="Normal 9 2 5 2 2 4" xfId="20091" xr:uid="{9A11D23A-9F7C-406C-845E-49278586A895}"/>
    <cellStyle name="Normal 9 2 5 2 3" xfId="5306" xr:uid="{00000000-0005-0000-0000-0000871F0000}"/>
    <cellStyle name="Normal 9 2 5 2 3 2" xfId="13735" xr:uid="{4E29412C-7406-49DD-A56D-763121DF1958}"/>
    <cellStyle name="Normal 9 2 5 2 3 3" xfId="26368" xr:uid="{0DD63A6E-B3E9-4FDE-9E58-DD6FE819C563}"/>
    <cellStyle name="Normal 9 2 5 2 4" xfId="9517" xr:uid="{6E4376EC-3D9D-4FEB-B31E-90A4F407D88B}"/>
    <cellStyle name="Normal 9 2 5 2 4 2" xfId="22157" xr:uid="{84759C5D-EE58-4E4C-9DE3-9DB7F2618645}"/>
    <cellStyle name="Normal 9 2 5 2 5" xfId="17946" xr:uid="{CBE91C1C-7E07-4297-B03E-13574256C63B}"/>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52DF20BF-F042-4E2C-B011-79C398AEE77C}"/>
    <cellStyle name="Normal 9 2 5 3 2 2 3" xfId="28926" xr:uid="{43A0D320-80C9-47E3-9620-4152410A10A2}"/>
    <cellStyle name="Normal 9 2 5 3 2 3" xfId="12075" xr:uid="{76F6FFE8-2966-4BF2-93C7-3C7FD7F46A4D}"/>
    <cellStyle name="Normal 9 2 5 3 2 3 2" xfId="24715" xr:uid="{D43C6B7A-A837-4FAF-A3C2-81CB7F5A4DC7}"/>
    <cellStyle name="Normal 9 2 5 3 2 4" xfId="20504" xr:uid="{934A74C2-D23F-4C10-B4ED-0A29254D6755}"/>
    <cellStyle name="Normal 9 2 5 3 3" xfId="5719" xr:uid="{00000000-0005-0000-0000-00008B1F0000}"/>
    <cellStyle name="Normal 9 2 5 3 3 2" xfId="14148" xr:uid="{87B0529B-2686-4A62-BD4E-08C1633D5C19}"/>
    <cellStyle name="Normal 9 2 5 3 3 3" xfId="26781" xr:uid="{65F4A319-A043-4185-B933-09DF92F7DD56}"/>
    <cellStyle name="Normal 9 2 5 3 4" xfId="9930" xr:uid="{618F6327-D54F-4332-A397-954F79F7466C}"/>
    <cellStyle name="Normal 9 2 5 3 4 2" xfId="22570" xr:uid="{7E58DEC1-0CBF-458B-92CE-C1716E77BA88}"/>
    <cellStyle name="Normal 9 2 5 3 5" xfId="18359" xr:uid="{DB2B2B3A-E0E9-4AA1-BBC5-24FD4F96698A}"/>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498D2E16-48CB-46B3-883B-636258CF69D1}"/>
    <cellStyle name="Normal 9 2 5 4 2 2 3" xfId="29339" xr:uid="{076EAC1F-EB64-4512-BE26-F6F09AD2EA12}"/>
    <cellStyle name="Normal 9 2 5 4 2 3" xfId="12488" xr:uid="{101E11BB-F014-4ABF-8429-5AB8DDC44F18}"/>
    <cellStyle name="Normal 9 2 5 4 2 3 2" xfId="25128" xr:uid="{30A438A5-07CA-4F10-894A-82A5D379D324}"/>
    <cellStyle name="Normal 9 2 5 4 2 4" xfId="20917" xr:uid="{0F32E940-3B34-4F72-ACB3-3AD8614A6EBF}"/>
    <cellStyle name="Normal 9 2 5 4 3" xfId="6132" xr:uid="{00000000-0005-0000-0000-00008F1F0000}"/>
    <cellStyle name="Normal 9 2 5 4 3 2" xfId="14561" xr:uid="{1A9E0F9D-E298-4BD0-B9BA-194593DFBEE2}"/>
    <cellStyle name="Normal 9 2 5 4 3 3" xfId="27194" xr:uid="{4CCCCD68-7E70-428E-AEFF-4E1C53A49CFB}"/>
    <cellStyle name="Normal 9 2 5 4 4" xfId="10343" xr:uid="{75CA3BED-7F02-4D1E-8C04-1549EC31402D}"/>
    <cellStyle name="Normal 9 2 5 4 4 2" xfId="22983" xr:uid="{669785AC-A2AF-48B7-B0D8-AC80787F86F8}"/>
    <cellStyle name="Normal 9 2 5 4 5" xfId="18772" xr:uid="{D9964ACA-D23C-45D0-88DD-EE1C15EFAA7F}"/>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EDA596AD-1EB7-4462-9BFF-A906C2CE6D91}"/>
    <cellStyle name="Normal 9 2 5 5 2 2 3" xfId="29752" xr:uid="{C5A40A8A-2C6F-4C41-9EAF-779CE3D138FD}"/>
    <cellStyle name="Normal 9 2 5 5 2 3" xfId="12901" xr:uid="{4A48B584-F08A-49FD-B1D6-C730A92BF2A9}"/>
    <cellStyle name="Normal 9 2 5 5 2 3 2" xfId="25541" xr:uid="{AC35E413-6B2A-4811-8ED3-1C96DCB908CF}"/>
    <cellStyle name="Normal 9 2 5 5 2 4" xfId="21330" xr:uid="{259DFD56-1594-4C06-9E98-42B5A5264C9C}"/>
    <cellStyle name="Normal 9 2 5 5 3" xfId="6545" xr:uid="{00000000-0005-0000-0000-0000931F0000}"/>
    <cellStyle name="Normal 9 2 5 5 3 2" xfId="14974" xr:uid="{2AE261BF-0B79-4411-8688-CD575679DE8D}"/>
    <cellStyle name="Normal 9 2 5 5 3 3" xfId="27607" xr:uid="{8E8BA140-305A-4B92-B902-DBCC2DE979C8}"/>
    <cellStyle name="Normal 9 2 5 5 4" xfId="10756" xr:uid="{1F7C5214-4C2F-44C0-9736-75B9859D3174}"/>
    <cellStyle name="Normal 9 2 5 5 4 2" xfId="23396" xr:uid="{0B7AB98A-9A64-424E-862D-DA26A673A39C}"/>
    <cellStyle name="Normal 9 2 5 5 5" xfId="19185" xr:uid="{90E6FF18-7321-47F8-93CA-343EA1EC8E2C}"/>
    <cellStyle name="Normal 9 2 5 6" xfId="2673" xr:uid="{00000000-0005-0000-0000-0000941F0000}"/>
    <cellStyle name="Normal 9 2 5 6 2" xfId="6958" xr:uid="{00000000-0005-0000-0000-0000951F0000}"/>
    <cellStyle name="Normal 9 2 5 6 2 2" xfId="15387" xr:uid="{65EA0F1E-10A0-47ED-8731-88548BE273CF}"/>
    <cellStyle name="Normal 9 2 5 6 2 3" xfId="28020" xr:uid="{074B4A04-30A1-4F0F-9B5C-E81058D7FFEA}"/>
    <cellStyle name="Normal 9 2 5 6 3" xfId="11169" xr:uid="{87DB5EBD-AB77-447D-9969-37C56F94E298}"/>
    <cellStyle name="Normal 9 2 5 6 3 2" xfId="23809" xr:uid="{072B46A0-12A3-4480-8144-C7A7B2597F79}"/>
    <cellStyle name="Normal 9 2 5 6 4" xfId="19598" xr:uid="{EBFAA6D6-DDAF-47EE-92B7-68B37545A899}"/>
    <cellStyle name="Normal 9 2 5 7" xfId="4893" xr:uid="{00000000-0005-0000-0000-0000961F0000}"/>
    <cellStyle name="Normal 9 2 5 7 2" xfId="13322" xr:uid="{DA90C28F-316E-4552-890A-31BF51064D5E}"/>
    <cellStyle name="Normal 9 2 5 7 3" xfId="25955" xr:uid="{D277C756-A8BE-4E41-A181-114089598117}"/>
    <cellStyle name="Normal 9 2 5 8" xfId="9104" xr:uid="{F76CD993-FC12-4092-BC90-E2017744503F}"/>
    <cellStyle name="Normal 9 2 5 8 2" xfId="21744" xr:uid="{44013960-DE6B-4D14-B280-9A64CDF10FC1}"/>
    <cellStyle name="Normal 9 2 5 9" xfId="17533" xr:uid="{B2F54ABD-E32E-4172-BA55-DCDA3891487B}"/>
    <cellStyle name="Normal 9 2 6" xfId="979" xr:uid="{00000000-0005-0000-0000-0000971F0000}"/>
    <cellStyle name="Normal 9 2 6 2" xfId="3212" xr:uid="{00000000-0005-0000-0000-0000981F0000}"/>
    <cellStyle name="Normal 9 2 6 2 2" xfId="7436" xr:uid="{00000000-0005-0000-0000-0000991F0000}"/>
    <cellStyle name="Normal 9 2 6 2 2 2" xfId="15865" xr:uid="{1D373FA0-9922-4BAA-809C-76C77D5046CE}"/>
    <cellStyle name="Normal 9 2 6 2 2 3" xfId="28498" xr:uid="{8EB11978-B34F-47A5-A745-35A1DF77CFDA}"/>
    <cellStyle name="Normal 9 2 6 2 3" xfId="11647" xr:uid="{A5945D69-CF31-4A4E-B862-2C24C702B0B1}"/>
    <cellStyle name="Normal 9 2 6 2 3 2" xfId="24287" xr:uid="{6D558971-C768-4751-8CD2-F8CDE8B15424}"/>
    <cellStyle name="Normal 9 2 6 2 4" xfId="20076" xr:uid="{0601DB29-2E74-4B69-9446-23EADDE9E67D}"/>
    <cellStyle name="Normal 9 2 6 3" xfId="5291" xr:uid="{00000000-0005-0000-0000-00009A1F0000}"/>
    <cellStyle name="Normal 9 2 6 3 2" xfId="13720" xr:uid="{85469022-FFF8-47EA-A261-2199DF6C7A4F}"/>
    <cellStyle name="Normal 9 2 6 3 3" xfId="26353" xr:uid="{7C60340E-F74C-40B5-9247-BD44D68B1F1D}"/>
    <cellStyle name="Normal 9 2 6 4" xfId="9502" xr:uid="{7432A383-45BA-4078-85B3-212F5156A6E4}"/>
    <cellStyle name="Normal 9 2 6 4 2" xfId="22142" xr:uid="{3488FAF1-790D-44F8-9FAA-EEAC0F2B8C50}"/>
    <cellStyle name="Normal 9 2 6 5" xfId="17931" xr:uid="{F14B9D87-67A5-490C-954E-EA7C39EA804E}"/>
    <cellStyle name="Normal 9 2 7" xfId="1395" xr:uid="{00000000-0005-0000-0000-00009B1F0000}"/>
    <cellStyle name="Normal 9 2 7 2" xfId="3625" xr:uid="{00000000-0005-0000-0000-00009C1F0000}"/>
    <cellStyle name="Normal 9 2 7 2 2" xfId="7849" xr:uid="{00000000-0005-0000-0000-00009D1F0000}"/>
    <cellStyle name="Normal 9 2 7 2 2 2" xfId="16278" xr:uid="{B0589A03-DF55-452B-B834-E7F80CC3130F}"/>
    <cellStyle name="Normal 9 2 7 2 2 3" xfId="28911" xr:uid="{4DDD25F5-F80B-4E21-966D-6B4E17B020D4}"/>
    <cellStyle name="Normal 9 2 7 2 3" xfId="12060" xr:uid="{474B51EB-C1A7-4A8B-A139-1D57FB7BE5C3}"/>
    <cellStyle name="Normal 9 2 7 2 3 2" xfId="24700" xr:uid="{4235E335-8F85-4799-967B-8FD5C7A0310C}"/>
    <cellStyle name="Normal 9 2 7 2 4" xfId="20489" xr:uid="{A612C0B3-2B40-4008-BD31-0283011A0F77}"/>
    <cellStyle name="Normal 9 2 7 3" xfId="5704" xr:uid="{00000000-0005-0000-0000-00009E1F0000}"/>
    <cellStyle name="Normal 9 2 7 3 2" xfId="14133" xr:uid="{C27B4748-35B0-4AFA-9F46-CED6D268A11C}"/>
    <cellStyle name="Normal 9 2 7 3 3" xfId="26766" xr:uid="{75833956-EFBE-45A6-8D5A-ED1B99475994}"/>
    <cellStyle name="Normal 9 2 7 4" xfId="9915" xr:uid="{CF2EFED4-7171-4612-AA7D-DDA0F3BCBA18}"/>
    <cellStyle name="Normal 9 2 7 4 2" xfId="22555" xr:uid="{FEFF8205-496A-4C01-9AD3-6FFB02AEBF5E}"/>
    <cellStyle name="Normal 9 2 7 5" xfId="18344" xr:uid="{09292BFA-5604-4C56-91D9-D6F412EE9B4E}"/>
    <cellStyle name="Normal 9 2 8" xfId="1808" xr:uid="{00000000-0005-0000-0000-00009F1F0000}"/>
    <cellStyle name="Normal 9 2 8 2" xfId="4038" xr:uid="{00000000-0005-0000-0000-0000A01F0000}"/>
    <cellStyle name="Normal 9 2 8 2 2" xfId="8262" xr:uid="{00000000-0005-0000-0000-0000A11F0000}"/>
    <cellStyle name="Normal 9 2 8 2 2 2" xfId="16691" xr:uid="{A53E9111-5DED-4701-A375-B0BDA032F3C5}"/>
    <cellStyle name="Normal 9 2 8 2 2 3" xfId="29324" xr:uid="{D49D9D03-1DEA-44F1-810A-2A9633A60153}"/>
    <cellStyle name="Normal 9 2 8 2 3" xfId="12473" xr:uid="{D5007576-AA00-42F0-B6C1-BB8D785BDA20}"/>
    <cellStyle name="Normal 9 2 8 2 3 2" xfId="25113" xr:uid="{EFC632A6-F463-49EB-9D03-EB43E28B32D5}"/>
    <cellStyle name="Normal 9 2 8 2 4" xfId="20902" xr:uid="{87D52442-DD89-4F13-9FDF-368E2B028A1D}"/>
    <cellStyle name="Normal 9 2 8 3" xfId="6117" xr:uid="{00000000-0005-0000-0000-0000A21F0000}"/>
    <cellStyle name="Normal 9 2 8 3 2" xfId="14546" xr:uid="{9DABCDD5-34C5-4314-AD0A-B49DC4E1F27A}"/>
    <cellStyle name="Normal 9 2 8 3 3" xfId="27179" xr:uid="{EF4BFD58-11DD-4FD1-BB50-97F71AF187C8}"/>
    <cellStyle name="Normal 9 2 8 4" xfId="10328" xr:uid="{29CBC1AD-632D-4871-97B7-5BFDE7F674C9}"/>
    <cellStyle name="Normal 9 2 8 4 2" xfId="22968" xr:uid="{D5F45246-35BE-46DA-8A49-10D3E942FB55}"/>
    <cellStyle name="Normal 9 2 8 5" xfId="18757" xr:uid="{973E4CC3-386A-4F21-B2A4-DE12B4ED39A7}"/>
    <cellStyle name="Normal 9 2 9" xfId="2222" xr:uid="{00000000-0005-0000-0000-0000A31F0000}"/>
    <cellStyle name="Normal 9 2 9 2" xfId="4451" xr:uid="{00000000-0005-0000-0000-0000A41F0000}"/>
    <cellStyle name="Normal 9 2 9 2 2" xfId="8675" xr:uid="{00000000-0005-0000-0000-0000A51F0000}"/>
    <cellStyle name="Normal 9 2 9 2 2 2" xfId="17104" xr:uid="{A8C6D5E7-BC32-4698-BBD1-F11A44877EA7}"/>
    <cellStyle name="Normal 9 2 9 2 2 3" xfId="29737" xr:uid="{00071E2C-0469-4C44-94E7-A120F2A4C705}"/>
    <cellStyle name="Normal 9 2 9 2 3" xfId="12886" xr:uid="{3931D96C-B132-48ED-88DA-503C1341FFAA}"/>
    <cellStyle name="Normal 9 2 9 2 3 2" xfId="25526" xr:uid="{2310D736-D29C-4815-932F-5673E6BFCCDE}"/>
    <cellStyle name="Normal 9 2 9 2 4" xfId="21315" xr:uid="{9395F42D-4EC8-4476-91BB-0C6D654EDCFB}"/>
    <cellStyle name="Normal 9 2 9 3" xfId="6530" xr:uid="{00000000-0005-0000-0000-0000A61F0000}"/>
    <cellStyle name="Normal 9 2 9 3 2" xfId="14959" xr:uid="{0A78B3CD-DD56-40AF-AAB0-918D54C9EC17}"/>
    <cellStyle name="Normal 9 2 9 3 3" xfId="27592" xr:uid="{0F92A6CE-9692-425B-B949-8628204A622B}"/>
    <cellStyle name="Normal 9 2 9 4" xfId="10741" xr:uid="{A1DCB9AF-5D8E-4D3A-A4E5-D1A32E9B58F2}"/>
    <cellStyle name="Normal 9 2 9 4 2" xfId="23381" xr:uid="{012B59E1-A2B1-4950-B7FD-BBF776FABCEF}"/>
    <cellStyle name="Normal 9 2 9 5" xfId="19170" xr:uid="{F3FCEFF8-D3DA-4DA5-A7DB-94AE8EA6CE58}"/>
    <cellStyle name="Normal 9 3" xfId="527" xr:uid="{00000000-0005-0000-0000-0000A71F0000}"/>
    <cellStyle name="Normal 9 3 10" xfId="4894" xr:uid="{00000000-0005-0000-0000-0000A81F0000}"/>
    <cellStyle name="Normal 9 3 10 2" xfId="13323" xr:uid="{4D4D44BB-74AE-4B51-89BA-BC05D067018B}"/>
    <cellStyle name="Normal 9 3 10 3" xfId="25956" xr:uid="{14EE271E-D420-42DC-A084-E1F5A558C55B}"/>
    <cellStyle name="Normal 9 3 11" xfId="9105" xr:uid="{83419361-0F83-4596-8A6F-198093C11B3E}"/>
    <cellStyle name="Normal 9 3 11 2" xfId="21745" xr:uid="{A11125F9-FBAC-4CDF-99FB-3E3D6DD5D7DA}"/>
    <cellStyle name="Normal 9 3 12" xfId="17534" xr:uid="{54AF6E58-B045-4CD0-A457-A66C65D95442}"/>
    <cellStyle name="Normal 9 3 2" xfId="528" xr:uid="{00000000-0005-0000-0000-0000A91F0000}"/>
    <cellStyle name="Normal 9 3 2 10" xfId="9106" xr:uid="{EF597099-1F20-4668-8F1B-AB27A3622204}"/>
    <cellStyle name="Normal 9 3 2 10 2" xfId="21746" xr:uid="{DCB8CFD4-6074-4D91-88C9-8CE6CE9930C2}"/>
    <cellStyle name="Normal 9 3 2 11" xfId="17535" xr:uid="{4A496B1F-D03C-493A-AF9F-C022ECF5C204}"/>
    <cellStyle name="Normal 9 3 2 2" xfId="529" xr:uid="{00000000-0005-0000-0000-0000AA1F0000}"/>
    <cellStyle name="Normal 9 3 2 2 10" xfId="17536" xr:uid="{9839801B-1F9D-48E9-94A7-A012E44AEC55}"/>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96E8D466-CE3D-41FE-8615-84AAF74727CC}"/>
    <cellStyle name="Normal 9 3 2 2 2 2 2 2 3" xfId="28517" xr:uid="{634CE1DD-7480-4F05-9516-82D02B9D38EE}"/>
    <cellStyle name="Normal 9 3 2 2 2 2 2 3" xfId="11666" xr:uid="{1BE862BF-318D-42EE-82B7-2A4A10C82487}"/>
    <cellStyle name="Normal 9 3 2 2 2 2 2 3 2" xfId="24306" xr:uid="{BE2DE9F6-7059-4742-A45A-9F4C1A087149}"/>
    <cellStyle name="Normal 9 3 2 2 2 2 2 4" xfId="20095" xr:uid="{562BE8FB-E2F7-4CCF-B4B9-F7D8D168208E}"/>
    <cellStyle name="Normal 9 3 2 2 2 2 3" xfId="5310" xr:uid="{00000000-0005-0000-0000-0000AF1F0000}"/>
    <cellStyle name="Normal 9 3 2 2 2 2 3 2" xfId="13739" xr:uid="{FA15D5AB-B205-4947-A7C9-A343D41AD9F4}"/>
    <cellStyle name="Normal 9 3 2 2 2 2 3 3" xfId="26372" xr:uid="{CCEAAA4F-2B70-4820-A841-38F131A6B03E}"/>
    <cellStyle name="Normal 9 3 2 2 2 2 4" xfId="9521" xr:uid="{98B5757E-8DC7-44AD-9F59-6116B98612F3}"/>
    <cellStyle name="Normal 9 3 2 2 2 2 4 2" xfId="22161" xr:uid="{BBA31691-090A-45A1-BED1-7D1BA40EE236}"/>
    <cellStyle name="Normal 9 3 2 2 2 2 5" xfId="17950" xr:uid="{D6F2FEEF-6146-4FA6-B6CC-633D19716A9B}"/>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38CC662C-8673-4F32-B954-ACE1B91FA0F6}"/>
    <cellStyle name="Normal 9 3 2 2 2 3 2 2 3" xfId="28930" xr:uid="{4B8B167D-F701-4764-8E75-B69F68D36F07}"/>
    <cellStyle name="Normal 9 3 2 2 2 3 2 3" xfId="12079" xr:uid="{E9E6676B-2CAC-4444-A4D5-309C38FD9C53}"/>
    <cellStyle name="Normal 9 3 2 2 2 3 2 3 2" xfId="24719" xr:uid="{3EE18342-C4F6-4456-B6EB-5AA0E4342C5A}"/>
    <cellStyle name="Normal 9 3 2 2 2 3 2 4" xfId="20508" xr:uid="{73E1AEBA-B1FC-4375-BB41-F0920BE70A65}"/>
    <cellStyle name="Normal 9 3 2 2 2 3 3" xfId="5723" xr:uid="{00000000-0005-0000-0000-0000B31F0000}"/>
    <cellStyle name="Normal 9 3 2 2 2 3 3 2" xfId="14152" xr:uid="{C346FED4-F3DD-498D-A15F-9A54E1A3332D}"/>
    <cellStyle name="Normal 9 3 2 2 2 3 3 3" xfId="26785" xr:uid="{A1CD94D6-8420-40FF-8719-5650C6F8B249}"/>
    <cellStyle name="Normal 9 3 2 2 2 3 4" xfId="9934" xr:uid="{C7515B72-2424-400F-BE92-57AD4F9EC2BA}"/>
    <cellStyle name="Normal 9 3 2 2 2 3 4 2" xfId="22574" xr:uid="{04A1A22B-AC57-4F52-9ED1-4617B1ED0A10}"/>
    <cellStyle name="Normal 9 3 2 2 2 3 5" xfId="18363" xr:uid="{4DB4EC6D-659C-4368-8E55-1F44ED6F6748}"/>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D691D90C-492F-47AE-A677-E0D3D811CC7D}"/>
    <cellStyle name="Normal 9 3 2 2 2 4 2 2 3" xfId="29343" xr:uid="{44BFA634-1B93-4841-90BD-5ED74BA9133E}"/>
    <cellStyle name="Normal 9 3 2 2 2 4 2 3" xfId="12492" xr:uid="{67684BF3-6BD0-4A53-9888-655DC8607254}"/>
    <cellStyle name="Normal 9 3 2 2 2 4 2 3 2" xfId="25132" xr:uid="{22606AA0-821E-4408-8208-AAC13F29F536}"/>
    <cellStyle name="Normal 9 3 2 2 2 4 2 4" xfId="20921" xr:uid="{76450F9E-570B-420C-B37F-87A598F1CA2A}"/>
    <cellStyle name="Normal 9 3 2 2 2 4 3" xfId="6136" xr:uid="{00000000-0005-0000-0000-0000B71F0000}"/>
    <cellStyle name="Normal 9 3 2 2 2 4 3 2" xfId="14565" xr:uid="{188FFD3A-4E3F-4C33-B132-F2DDFA331D6A}"/>
    <cellStyle name="Normal 9 3 2 2 2 4 3 3" xfId="27198" xr:uid="{625DC9F2-D8FE-457D-88A9-99980D49CC7C}"/>
    <cellStyle name="Normal 9 3 2 2 2 4 4" xfId="10347" xr:uid="{037F0A4E-D3A5-4FC2-8C9B-F55394715FB8}"/>
    <cellStyle name="Normal 9 3 2 2 2 4 4 2" xfId="22987" xr:uid="{7E3EB417-8DAA-4FAB-AB2F-569CA9986C51}"/>
    <cellStyle name="Normal 9 3 2 2 2 4 5" xfId="18776" xr:uid="{31AEE9AC-FAAA-426B-9296-36176A87CDCA}"/>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41F8D5D8-5E17-4864-8857-32082FB2813D}"/>
    <cellStyle name="Normal 9 3 2 2 2 5 2 2 3" xfId="29756" xr:uid="{D2F579CE-BA07-416E-9461-2E21B0CDDC15}"/>
    <cellStyle name="Normal 9 3 2 2 2 5 2 3" xfId="12905" xr:uid="{3F0FEA57-36C6-4396-999F-9F57864A3E4C}"/>
    <cellStyle name="Normal 9 3 2 2 2 5 2 3 2" xfId="25545" xr:uid="{8015696E-D072-445F-AE58-8393668EC7D2}"/>
    <cellStyle name="Normal 9 3 2 2 2 5 2 4" xfId="21334" xr:uid="{38F33DEA-C7A7-404C-9807-CAE7FC3EA077}"/>
    <cellStyle name="Normal 9 3 2 2 2 5 3" xfId="6549" xr:uid="{00000000-0005-0000-0000-0000BB1F0000}"/>
    <cellStyle name="Normal 9 3 2 2 2 5 3 2" xfId="14978" xr:uid="{9E9CE304-DB9C-4833-9477-475BA1267345}"/>
    <cellStyle name="Normal 9 3 2 2 2 5 3 3" xfId="27611" xr:uid="{5FB61D3C-8377-42F6-9568-3DC0CA12C30B}"/>
    <cellStyle name="Normal 9 3 2 2 2 5 4" xfId="10760" xr:uid="{2E9D6863-1C27-4291-B7BE-F11EE5B9EE81}"/>
    <cellStyle name="Normal 9 3 2 2 2 5 4 2" xfId="23400" xr:uid="{EE7CBB86-88F6-45DB-A7F3-ED8A6DAC08CF}"/>
    <cellStyle name="Normal 9 3 2 2 2 5 5" xfId="19189" xr:uid="{DB5CC4A6-505D-4440-B615-33D564FB242C}"/>
    <cellStyle name="Normal 9 3 2 2 2 6" xfId="2677" xr:uid="{00000000-0005-0000-0000-0000BC1F0000}"/>
    <cellStyle name="Normal 9 3 2 2 2 6 2" xfId="6962" xr:uid="{00000000-0005-0000-0000-0000BD1F0000}"/>
    <cellStyle name="Normal 9 3 2 2 2 6 2 2" xfId="15391" xr:uid="{E2C06E69-6BA8-471F-A940-14E6AD2A22A0}"/>
    <cellStyle name="Normal 9 3 2 2 2 6 2 3" xfId="28024" xr:uid="{85F0A53D-A391-4097-B35E-0B766E65B8F4}"/>
    <cellStyle name="Normal 9 3 2 2 2 6 3" xfId="11173" xr:uid="{24CCA2E2-5FB4-44A2-92D3-C7C07FDDD270}"/>
    <cellStyle name="Normal 9 3 2 2 2 6 3 2" xfId="23813" xr:uid="{748C192D-FB95-4A25-8729-0D8FC00484EC}"/>
    <cellStyle name="Normal 9 3 2 2 2 6 4" xfId="19602" xr:uid="{4051E4C5-7EAF-4C7F-BB30-754FD260E7A1}"/>
    <cellStyle name="Normal 9 3 2 2 2 7" xfId="4897" xr:uid="{00000000-0005-0000-0000-0000BE1F0000}"/>
    <cellStyle name="Normal 9 3 2 2 2 7 2" xfId="13326" xr:uid="{979B9B6D-8B51-48F9-ABFE-2D80CEADB8D9}"/>
    <cellStyle name="Normal 9 3 2 2 2 7 3" xfId="25959" xr:uid="{B76E48D8-0164-46FF-905A-BDC8CF5D3B14}"/>
    <cellStyle name="Normal 9 3 2 2 2 8" xfId="9108" xr:uid="{59CDC9DE-C082-4B41-A9CE-EA766221C55F}"/>
    <cellStyle name="Normal 9 3 2 2 2 8 2" xfId="21748" xr:uid="{50B3AFE1-8AD3-4FB0-A1B1-ED722D23527F}"/>
    <cellStyle name="Normal 9 3 2 2 2 9" xfId="17537" xr:uid="{48F00C7F-8E3F-4F54-A930-C7023C4D560F}"/>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9CBEEF3A-0FE0-4E7C-AF6C-CF080B38C76F}"/>
    <cellStyle name="Normal 9 3 2 2 3 2 2 3" xfId="28516" xr:uid="{CE7600BD-B0BE-4822-B937-E4F9FD4231B2}"/>
    <cellStyle name="Normal 9 3 2 2 3 2 3" xfId="11665" xr:uid="{3FBD3627-06F5-404B-B093-E7BAE91084DB}"/>
    <cellStyle name="Normal 9 3 2 2 3 2 3 2" xfId="24305" xr:uid="{7BFE7E38-BFC0-455A-91F0-487C2D19CAF8}"/>
    <cellStyle name="Normal 9 3 2 2 3 2 4" xfId="20094" xr:uid="{53BE370D-36CE-4B59-A258-BDC64077BFFA}"/>
    <cellStyle name="Normal 9 3 2 2 3 3" xfId="5309" xr:uid="{00000000-0005-0000-0000-0000C21F0000}"/>
    <cellStyle name="Normal 9 3 2 2 3 3 2" xfId="13738" xr:uid="{15E96001-9DB3-4CB4-8CB9-679F53683E68}"/>
    <cellStyle name="Normal 9 3 2 2 3 3 3" xfId="26371" xr:uid="{F4559A6C-3847-4D0F-9E69-90EA098D98F4}"/>
    <cellStyle name="Normal 9 3 2 2 3 4" xfId="9520" xr:uid="{ACF15502-97A4-47BE-B40E-FB948CF2F91A}"/>
    <cellStyle name="Normal 9 3 2 2 3 4 2" xfId="22160" xr:uid="{0303FC79-70DC-4288-8B49-B79208549F57}"/>
    <cellStyle name="Normal 9 3 2 2 3 5" xfId="17949" xr:uid="{9F69C934-2099-46CC-A009-ED8CF88957F6}"/>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0049F9FB-02FC-4870-A885-CE32856A292F}"/>
    <cellStyle name="Normal 9 3 2 2 4 2 2 3" xfId="28929" xr:uid="{563CE0C1-5CBD-455E-ADAC-FFEB42D9692E}"/>
    <cellStyle name="Normal 9 3 2 2 4 2 3" xfId="12078" xr:uid="{85C3DD28-21F2-4CE9-856D-EE0DBFE54EC5}"/>
    <cellStyle name="Normal 9 3 2 2 4 2 3 2" xfId="24718" xr:uid="{A5669A95-43A7-438B-A26A-982298FB1C66}"/>
    <cellStyle name="Normal 9 3 2 2 4 2 4" xfId="20507" xr:uid="{A7AA150E-DC36-463D-87A3-9C598451D7EA}"/>
    <cellStyle name="Normal 9 3 2 2 4 3" xfId="5722" xr:uid="{00000000-0005-0000-0000-0000C61F0000}"/>
    <cellStyle name="Normal 9 3 2 2 4 3 2" xfId="14151" xr:uid="{3C143E22-9DF0-4DCB-8B7E-8DB283DB4AF2}"/>
    <cellStyle name="Normal 9 3 2 2 4 3 3" xfId="26784" xr:uid="{D02C2F2E-855B-47E2-8F60-AF42062B59F7}"/>
    <cellStyle name="Normal 9 3 2 2 4 4" xfId="9933" xr:uid="{08EEDE10-D7EE-49A2-A030-2F5839801686}"/>
    <cellStyle name="Normal 9 3 2 2 4 4 2" xfId="22573" xr:uid="{D0E8108E-7226-4B90-AF5D-61FEC7DAB8EA}"/>
    <cellStyle name="Normal 9 3 2 2 4 5" xfId="18362" xr:uid="{1B8954CC-2D3C-4D10-B580-CE9099B71E84}"/>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797357E3-E8BC-4EAA-94EC-86EA86E148D2}"/>
    <cellStyle name="Normal 9 3 2 2 5 2 2 3" xfId="29342" xr:uid="{C202B353-188C-455E-9B80-CA1C9FC079E3}"/>
    <cellStyle name="Normal 9 3 2 2 5 2 3" xfId="12491" xr:uid="{4D521DE1-64F0-420F-8741-91B00306D02A}"/>
    <cellStyle name="Normal 9 3 2 2 5 2 3 2" xfId="25131" xr:uid="{AFD8217A-ABD8-443D-8489-62563C90F8B4}"/>
    <cellStyle name="Normal 9 3 2 2 5 2 4" xfId="20920" xr:uid="{22F1B549-6E89-4D3B-982A-62E92A5388BD}"/>
    <cellStyle name="Normal 9 3 2 2 5 3" xfId="6135" xr:uid="{00000000-0005-0000-0000-0000CA1F0000}"/>
    <cellStyle name="Normal 9 3 2 2 5 3 2" xfId="14564" xr:uid="{77C2DEFE-FAAF-438D-A22E-AD7BB28DF442}"/>
    <cellStyle name="Normal 9 3 2 2 5 3 3" xfId="27197" xr:uid="{6D77CF7E-C64F-4A03-AB5E-03E8A57F4977}"/>
    <cellStyle name="Normal 9 3 2 2 5 4" xfId="10346" xr:uid="{873ACBD4-D569-4909-BB37-0043A976F931}"/>
    <cellStyle name="Normal 9 3 2 2 5 4 2" xfId="22986" xr:uid="{2A2A6806-2679-494A-84A6-0D24B8CF4874}"/>
    <cellStyle name="Normal 9 3 2 2 5 5" xfId="18775" xr:uid="{92BC5FED-AABE-4F41-9A6A-F68CC3AF491A}"/>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6DAA143A-FF73-42ED-BF8A-574127728221}"/>
    <cellStyle name="Normal 9 3 2 2 6 2 2 3" xfId="29755" xr:uid="{719736FB-7079-47C3-BF96-4804A77EF51C}"/>
    <cellStyle name="Normal 9 3 2 2 6 2 3" xfId="12904" xr:uid="{5A3194D8-3782-47C1-9E65-D03C3A41499C}"/>
    <cellStyle name="Normal 9 3 2 2 6 2 3 2" xfId="25544" xr:uid="{34D332B8-0241-49D8-822E-886781FDFCFC}"/>
    <cellStyle name="Normal 9 3 2 2 6 2 4" xfId="21333" xr:uid="{557FFF9C-5940-400D-8DF6-41231CBE71FA}"/>
    <cellStyle name="Normal 9 3 2 2 6 3" xfId="6548" xr:uid="{00000000-0005-0000-0000-0000CE1F0000}"/>
    <cellStyle name="Normal 9 3 2 2 6 3 2" xfId="14977" xr:uid="{BB3DC159-BF8A-4007-B820-059042327CC6}"/>
    <cellStyle name="Normal 9 3 2 2 6 3 3" xfId="27610" xr:uid="{591097D0-613C-4308-82FC-22DF04650910}"/>
    <cellStyle name="Normal 9 3 2 2 6 4" xfId="10759" xr:uid="{8416A8A2-E0E0-475F-8C6F-5837608FA1D0}"/>
    <cellStyle name="Normal 9 3 2 2 6 4 2" xfId="23399" xr:uid="{6A89A2B3-8406-4556-B933-D12B9812C20B}"/>
    <cellStyle name="Normal 9 3 2 2 6 5" xfId="19188" xr:uid="{7015012E-6A60-4527-B936-116B29A4942E}"/>
    <cellStyle name="Normal 9 3 2 2 7" xfId="2676" xr:uid="{00000000-0005-0000-0000-0000CF1F0000}"/>
    <cellStyle name="Normal 9 3 2 2 7 2" xfId="6961" xr:uid="{00000000-0005-0000-0000-0000D01F0000}"/>
    <cellStyle name="Normal 9 3 2 2 7 2 2" xfId="15390" xr:uid="{898837BE-FF4D-4410-AF8D-90E343FB683A}"/>
    <cellStyle name="Normal 9 3 2 2 7 2 3" xfId="28023" xr:uid="{BB82363E-B742-4C0A-8884-CA33CC9B0923}"/>
    <cellStyle name="Normal 9 3 2 2 7 3" xfId="11172" xr:uid="{A0878502-9815-4A76-9B68-F61A2A7E8F5E}"/>
    <cellStyle name="Normal 9 3 2 2 7 3 2" xfId="23812" xr:uid="{8567EADF-2C8D-4265-8FB2-D62337A64122}"/>
    <cellStyle name="Normal 9 3 2 2 7 4" xfId="19601" xr:uid="{836702A7-A22E-439D-8DCB-F5C3121F8724}"/>
    <cellStyle name="Normal 9 3 2 2 8" xfId="4896" xr:uid="{00000000-0005-0000-0000-0000D11F0000}"/>
    <cellStyle name="Normal 9 3 2 2 8 2" xfId="13325" xr:uid="{331F5082-8C3F-469D-A390-9B3AE78D310D}"/>
    <cellStyle name="Normal 9 3 2 2 8 3" xfId="25958" xr:uid="{FFB529DB-A9C8-47C4-BCC8-15A4CC23A9DD}"/>
    <cellStyle name="Normal 9 3 2 2 9" xfId="9107" xr:uid="{FA088DE0-4D54-4CB9-9CEB-761B3FB4E006}"/>
    <cellStyle name="Normal 9 3 2 2 9 2" xfId="21747" xr:uid="{2F1B635C-C65E-406D-A443-834DD0F1EFA5}"/>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73CCE4DC-C413-4FE2-B891-2975568EBDAA}"/>
    <cellStyle name="Normal 9 3 2 3 2 2 2 3" xfId="28518" xr:uid="{91C98E1E-1C53-4FD6-B504-DE9D280532E1}"/>
    <cellStyle name="Normal 9 3 2 3 2 2 3" xfId="11667" xr:uid="{5BE9E1E2-6393-4B61-A42F-BFB06BA7FA20}"/>
    <cellStyle name="Normal 9 3 2 3 2 2 3 2" xfId="24307" xr:uid="{22FA0CA2-121A-4478-ACB5-E160ED6E24EE}"/>
    <cellStyle name="Normal 9 3 2 3 2 2 4" xfId="20096" xr:uid="{449561C0-1497-45D5-AACF-F822153C06CE}"/>
    <cellStyle name="Normal 9 3 2 3 2 3" xfId="5311" xr:uid="{00000000-0005-0000-0000-0000D61F0000}"/>
    <cellStyle name="Normal 9 3 2 3 2 3 2" xfId="13740" xr:uid="{B2C0AA28-A457-4DB3-9FDE-F0C63C0861EF}"/>
    <cellStyle name="Normal 9 3 2 3 2 3 3" xfId="26373" xr:uid="{E6067D87-8E2C-4EE7-9DDA-5342BA52A425}"/>
    <cellStyle name="Normal 9 3 2 3 2 4" xfId="9522" xr:uid="{E56E1824-E75E-4B82-8695-E3DC2A4DB95A}"/>
    <cellStyle name="Normal 9 3 2 3 2 4 2" xfId="22162" xr:uid="{F310CF95-6FCA-47A2-AB3F-1DFFE44B616F}"/>
    <cellStyle name="Normal 9 3 2 3 2 5" xfId="17951" xr:uid="{4F4BC56B-DB89-4EA0-8F2D-2DFF1B6D4748}"/>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23BEEAC1-EB4C-4637-AD57-96D142F51EC4}"/>
    <cellStyle name="Normal 9 3 2 3 3 2 2 3" xfId="28931" xr:uid="{1CA81C38-2351-4105-90BC-EEE400F1F948}"/>
    <cellStyle name="Normal 9 3 2 3 3 2 3" xfId="12080" xr:uid="{6EFB86B5-376A-4C87-92CB-2994A7AB8D27}"/>
    <cellStyle name="Normal 9 3 2 3 3 2 3 2" xfId="24720" xr:uid="{BADB2CE6-D977-4AAA-BB1B-222CBB8DBE50}"/>
    <cellStyle name="Normal 9 3 2 3 3 2 4" xfId="20509" xr:uid="{A655F6F6-9D3D-4F00-BB39-048EB695D5D7}"/>
    <cellStyle name="Normal 9 3 2 3 3 3" xfId="5724" xr:uid="{00000000-0005-0000-0000-0000DA1F0000}"/>
    <cellStyle name="Normal 9 3 2 3 3 3 2" xfId="14153" xr:uid="{F097BD70-7AC4-4D7D-8118-A02DE372D52C}"/>
    <cellStyle name="Normal 9 3 2 3 3 3 3" xfId="26786" xr:uid="{EA2A3573-ED62-44D4-AE86-88A41C6F52A1}"/>
    <cellStyle name="Normal 9 3 2 3 3 4" xfId="9935" xr:uid="{8BE56685-5956-4AA3-83C8-BA462B905D67}"/>
    <cellStyle name="Normal 9 3 2 3 3 4 2" xfId="22575" xr:uid="{63CEDFF7-3EDC-46C8-BC5D-8110CEC0F5B8}"/>
    <cellStyle name="Normal 9 3 2 3 3 5" xfId="18364" xr:uid="{BA9DAF66-467B-4B94-9A25-34178EEC28A0}"/>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1E87EC86-9569-4242-909B-455636754879}"/>
    <cellStyle name="Normal 9 3 2 3 4 2 2 3" xfId="29344" xr:uid="{11167B3D-1998-4866-86CE-974A57A84D40}"/>
    <cellStyle name="Normal 9 3 2 3 4 2 3" xfId="12493" xr:uid="{2E364777-A28A-4F67-B714-6757FFD214AE}"/>
    <cellStyle name="Normal 9 3 2 3 4 2 3 2" xfId="25133" xr:uid="{DA2B0D3E-F426-40D9-AFE1-C79BEB81CDE5}"/>
    <cellStyle name="Normal 9 3 2 3 4 2 4" xfId="20922" xr:uid="{841E4547-ADDF-4CE9-B670-56943F11FF4F}"/>
    <cellStyle name="Normal 9 3 2 3 4 3" xfId="6137" xr:uid="{00000000-0005-0000-0000-0000DE1F0000}"/>
    <cellStyle name="Normal 9 3 2 3 4 3 2" xfId="14566" xr:uid="{F8DB392E-6155-41FE-9D6D-FEC12EE1EF4C}"/>
    <cellStyle name="Normal 9 3 2 3 4 3 3" xfId="27199" xr:uid="{84D4933D-902D-419A-8CFD-96BFF69DDBEE}"/>
    <cellStyle name="Normal 9 3 2 3 4 4" xfId="10348" xr:uid="{A540C4E0-97DB-4DC4-8DDD-BF3BAA60AB7F}"/>
    <cellStyle name="Normal 9 3 2 3 4 4 2" xfId="22988" xr:uid="{EC429199-9E63-4619-8295-502357805C63}"/>
    <cellStyle name="Normal 9 3 2 3 4 5" xfId="18777" xr:uid="{9F257FB4-8CE6-4F1B-9F60-FE7CDF9ABDA8}"/>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216BFE77-66E5-4A80-BDDC-577ED18BDFD8}"/>
    <cellStyle name="Normal 9 3 2 3 5 2 2 3" xfId="29757" xr:uid="{3F68647A-43D7-419E-BF3E-25B7101DB92F}"/>
    <cellStyle name="Normal 9 3 2 3 5 2 3" xfId="12906" xr:uid="{0238C146-801C-4241-977F-0A3643F651C8}"/>
    <cellStyle name="Normal 9 3 2 3 5 2 3 2" xfId="25546" xr:uid="{8C070D3C-FF22-43B7-8E6A-D76C69850100}"/>
    <cellStyle name="Normal 9 3 2 3 5 2 4" xfId="21335" xr:uid="{31EDEED5-B240-437D-8C5E-FD0E2201BF4A}"/>
    <cellStyle name="Normal 9 3 2 3 5 3" xfId="6550" xr:uid="{00000000-0005-0000-0000-0000E21F0000}"/>
    <cellStyle name="Normal 9 3 2 3 5 3 2" xfId="14979" xr:uid="{39C2FB86-01E8-40F7-9858-2EF972702AAD}"/>
    <cellStyle name="Normal 9 3 2 3 5 3 3" xfId="27612" xr:uid="{E9BE007D-7E03-4196-B3DE-FE1018EBFED2}"/>
    <cellStyle name="Normal 9 3 2 3 5 4" xfId="10761" xr:uid="{D3613893-1286-4325-91C1-BFD173231096}"/>
    <cellStyle name="Normal 9 3 2 3 5 4 2" xfId="23401" xr:uid="{A2ED7035-BCAE-4EE7-902F-7030AABDE758}"/>
    <cellStyle name="Normal 9 3 2 3 5 5" xfId="19190" xr:uid="{73CBD886-49F1-41E6-B1E7-69F127096292}"/>
    <cellStyle name="Normal 9 3 2 3 6" xfId="2678" xr:uid="{00000000-0005-0000-0000-0000E31F0000}"/>
    <cellStyle name="Normal 9 3 2 3 6 2" xfId="6963" xr:uid="{00000000-0005-0000-0000-0000E41F0000}"/>
    <cellStyle name="Normal 9 3 2 3 6 2 2" xfId="15392" xr:uid="{68FF330A-F7E7-4EB3-B773-1E7E1FC82DAA}"/>
    <cellStyle name="Normal 9 3 2 3 6 2 3" xfId="28025" xr:uid="{97E8BC75-B10D-43E3-B31D-2E4A85AD6D9D}"/>
    <cellStyle name="Normal 9 3 2 3 6 3" xfId="11174" xr:uid="{2A66887A-9F14-40EC-9909-EFE9ABAC7328}"/>
    <cellStyle name="Normal 9 3 2 3 6 3 2" xfId="23814" xr:uid="{2B352707-15BE-4C0D-A5E4-37613EA90BED}"/>
    <cellStyle name="Normal 9 3 2 3 6 4" xfId="19603" xr:uid="{E1084B33-5B25-4055-A4E5-968C5FCEE82D}"/>
    <cellStyle name="Normal 9 3 2 3 7" xfId="4898" xr:uid="{00000000-0005-0000-0000-0000E51F0000}"/>
    <cellStyle name="Normal 9 3 2 3 7 2" xfId="13327" xr:uid="{C9F55FAD-67C1-4A98-B333-19136E2F4D8C}"/>
    <cellStyle name="Normal 9 3 2 3 7 3" xfId="25960" xr:uid="{165BBB50-8ACE-4861-84B3-BB0CAA21695A}"/>
    <cellStyle name="Normal 9 3 2 3 8" xfId="9109" xr:uid="{71F1F962-DA07-4B55-8614-EA11648C9674}"/>
    <cellStyle name="Normal 9 3 2 3 8 2" xfId="21749" xr:uid="{06F629BB-57F4-4FC5-9DAE-EDDAE1B77BD4}"/>
    <cellStyle name="Normal 9 3 2 3 9" xfId="17538" xr:uid="{C9A73EA8-C81D-4D45-B91D-B6DF809E7D9A}"/>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1589AFCC-F01A-402F-A0DA-DCE031E0B4E8}"/>
    <cellStyle name="Normal 9 3 2 4 2 2 3" xfId="28515" xr:uid="{F33ACBF7-E82C-45FE-BEBC-619ADCD2130F}"/>
    <cellStyle name="Normal 9 3 2 4 2 3" xfId="11664" xr:uid="{7B758DEA-3DAA-4537-96D7-9A68B7F09849}"/>
    <cellStyle name="Normal 9 3 2 4 2 3 2" xfId="24304" xr:uid="{D8ADCDF1-0EF6-470C-8D3D-00AB73717D3D}"/>
    <cellStyle name="Normal 9 3 2 4 2 4" xfId="20093" xr:uid="{96308D8E-6481-4830-8C08-E02CDE697AC2}"/>
    <cellStyle name="Normal 9 3 2 4 3" xfId="5308" xr:uid="{00000000-0005-0000-0000-0000E91F0000}"/>
    <cellStyle name="Normal 9 3 2 4 3 2" xfId="13737" xr:uid="{5C5DEA06-FA14-4D03-AF29-C43CF4272960}"/>
    <cellStyle name="Normal 9 3 2 4 3 3" xfId="26370" xr:uid="{52C1072D-4AC9-48F0-8EF0-DF22B7A5179F}"/>
    <cellStyle name="Normal 9 3 2 4 4" xfId="9519" xr:uid="{CAA939F6-05AD-4449-93DC-492C2A6F1449}"/>
    <cellStyle name="Normal 9 3 2 4 4 2" xfId="22159" xr:uid="{7B2A6389-9571-4062-AEB0-92A178496CA0}"/>
    <cellStyle name="Normal 9 3 2 4 5" xfId="17948" xr:uid="{FCF02F25-035D-4396-8AEF-1F2D0C4F1851}"/>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15584424-E60D-476D-903D-C980AE6F5ADC}"/>
    <cellStyle name="Normal 9 3 2 5 2 2 3" xfId="28928" xr:uid="{0D761A81-506E-4FD2-AABE-74E405D12C98}"/>
    <cellStyle name="Normal 9 3 2 5 2 3" xfId="12077" xr:uid="{9A24801C-E293-4D84-A8DB-0723195D7B2B}"/>
    <cellStyle name="Normal 9 3 2 5 2 3 2" xfId="24717" xr:uid="{6231CA8B-BBF4-43B8-95E8-CB0236BBA77F}"/>
    <cellStyle name="Normal 9 3 2 5 2 4" xfId="20506" xr:uid="{39C2C0EB-347F-48A9-88D1-A01DF776FD78}"/>
    <cellStyle name="Normal 9 3 2 5 3" xfId="5721" xr:uid="{00000000-0005-0000-0000-0000ED1F0000}"/>
    <cellStyle name="Normal 9 3 2 5 3 2" xfId="14150" xr:uid="{C39DC929-091A-4799-AFEA-92003F0984DB}"/>
    <cellStyle name="Normal 9 3 2 5 3 3" xfId="26783" xr:uid="{B617619A-0CE9-43B1-9E1A-8B94810EA0E8}"/>
    <cellStyle name="Normal 9 3 2 5 4" xfId="9932" xr:uid="{F30B2FAE-65E4-4852-97AA-FF2240750C56}"/>
    <cellStyle name="Normal 9 3 2 5 4 2" xfId="22572" xr:uid="{BD92D46C-DB0F-4AB8-A4D2-DA44FF2EB14B}"/>
    <cellStyle name="Normal 9 3 2 5 5" xfId="18361" xr:uid="{E3B72074-36FE-44F9-AD95-E20C7B82B909}"/>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A92558E6-94B7-4469-A4C9-EC938B5EDFD2}"/>
    <cellStyle name="Normal 9 3 2 6 2 2 3" xfId="29341" xr:uid="{C51029A9-E80D-4003-8184-EB51DAA3F3BF}"/>
    <cellStyle name="Normal 9 3 2 6 2 3" xfId="12490" xr:uid="{C0A0EBDA-3621-428C-B459-EB7E51EDC1D1}"/>
    <cellStyle name="Normal 9 3 2 6 2 3 2" xfId="25130" xr:uid="{F61A4637-0707-4E43-BF50-F4D7F695F9DF}"/>
    <cellStyle name="Normal 9 3 2 6 2 4" xfId="20919" xr:uid="{AEF6A61B-DE99-4477-8420-4EB518AEF724}"/>
    <cellStyle name="Normal 9 3 2 6 3" xfId="6134" xr:uid="{00000000-0005-0000-0000-0000F11F0000}"/>
    <cellStyle name="Normal 9 3 2 6 3 2" xfId="14563" xr:uid="{E9879DD6-C979-4503-80FF-3074787AE805}"/>
    <cellStyle name="Normal 9 3 2 6 3 3" xfId="27196" xr:uid="{67B5854E-390D-45FE-A4FE-992693985826}"/>
    <cellStyle name="Normal 9 3 2 6 4" xfId="10345" xr:uid="{3D1E61D6-8941-4DAD-8FE1-67AF55672E16}"/>
    <cellStyle name="Normal 9 3 2 6 4 2" xfId="22985" xr:uid="{B7A8E90B-6CF0-4746-9574-CFAB36BA1890}"/>
    <cellStyle name="Normal 9 3 2 6 5" xfId="18774" xr:uid="{DF5BE80C-4E1F-4DCB-8086-9B0D6B397933}"/>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9C7F2D3F-4A0C-4956-A304-54EB6463A87F}"/>
    <cellStyle name="Normal 9 3 2 7 2 2 3" xfId="29754" xr:uid="{3EB0C2B8-0166-4ADB-9C1E-08BA7B8E3EE6}"/>
    <cellStyle name="Normal 9 3 2 7 2 3" xfId="12903" xr:uid="{4F5626A3-C114-40A7-8599-95A8A6C74609}"/>
    <cellStyle name="Normal 9 3 2 7 2 3 2" xfId="25543" xr:uid="{B1F021F0-4824-43B9-ADC3-69E58EB2BC2A}"/>
    <cellStyle name="Normal 9 3 2 7 2 4" xfId="21332" xr:uid="{49343AAB-19D5-4A63-B6EB-D5FC5915D0E8}"/>
    <cellStyle name="Normal 9 3 2 7 3" xfId="6547" xr:uid="{00000000-0005-0000-0000-0000F51F0000}"/>
    <cellStyle name="Normal 9 3 2 7 3 2" xfId="14976" xr:uid="{44C382CD-34BD-4317-BBDD-9F3BCF759E31}"/>
    <cellStyle name="Normal 9 3 2 7 3 3" xfId="27609" xr:uid="{B137B9FB-1C8C-4121-B988-609CC8040C06}"/>
    <cellStyle name="Normal 9 3 2 7 4" xfId="10758" xr:uid="{FD8271D3-1AE3-4F31-BC94-E982BAE748F4}"/>
    <cellStyle name="Normal 9 3 2 7 4 2" xfId="23398" xr:uid="{835E1E3B-EA28-457E-A931-BA556249BA4F}"/>
    <cellStyle name="Normal 9 3 2 7 5" xfId="19187" xr:uid="{3A49EF99-905D-48E1-86C7-1349B4CE0388}"/>
    <cellStyle name="Normal 9 3 2 8" xfId="2675" xr:uid="{00000000-0005-0000-0000-0000F61F0000}"/>
    <cellStyle name="Normal 9 3 2 8 2" xfId="6960" xr:uid="{00000000-0005-0000-0000-0000F71F0000}"/>
    <cellStyle name="Normal 9 3 2 8 2 2" xfId="15389" xr:uid="{FB454DD2-245E-4373-A492-0D4000B3838E}"/>
    <cellStyle name="Normal 9 3 2 8 2 3" xfId="28022" xr:uid="{B5094FFE-4107-47D3-B4DF-35CBB14124D1}"/>
    <cellStyle name="Normal 9 3 2 8 3" xfId="11171" xr:uid="{4C281B44-348B-4D35-8886-B25E0675E6A6}"/>
    <cellStyle name="Normal 9 3 2 8 3 2" xfId="23811" xr:uid="{598BE871-71BF-45E0-B300-F25E7287A82C}"/>
    <cellStyle name="Normal 9 3 2 8 4" xfId="19600" xr:uid="{03B5329E-0195-4D0A-8007-D2D2A7820A5C}"/>
    <cellStyle name="Normal 9 3 2 9" xfId="4895" xr:uid="{00000000-0005-0000-0000-0000F81F0000}"/>
    <cellStyle name="Normal 9 3 2 9 2" xfId="13324" xr:uid="{A3C7F205-5751-4464-AA03-AD8028801013}"/>
    <cellStyle name="Normal 9 3 2 9 3" xfId="25957" xr:uid="{216580E4-E295-4E92-8575-3F09C5876C87}"/>
    <cellStyle name="Normal 9 3 3" xfId="532" xr:uid="{00000000-0005-0000-0000-0000F91F0000}"/>
    <cellStyle name="Normal 9 3 3 10" xfId="17539" xr:uid="{B58418CE-89F6-4B7D-A87D-7796F1986F0D}"/>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5A694431-2849-4546-8805-26DCE95F7FAA}"/>
    <cellStyle name="Normal 9 3 3 2 2 2 2 3" xfId="28520" xr:uid="{21599E65-B967-46AD-8128-DCDEEF8EC63A}"/>
    <cellStyle name="Normal 9 3 3 2 2 2 3" xfId="11669" xr:uid="{AAFD59FF-FC52-4FAB-808B-565B5C10D82B}"/>
    <cellStyle name="Normal 9 3 3 2 2 2 3 2" xfId="24309" xr:uid="{040641C5-85D7-4896-9D9A-B766A82AC7AD}"/>
    <cellStyle name="Normal 9 3 3 2 2 2 4" xfId="20098" xr:uid="{56A9876A-3FE0-401E-942D-D7BE6483A15B}"/>
    <cellStyle name="Normal 9 3 3 2 2 3" xfId="5313" xr:uid="{00000000-0005-0000-0000-0000FE1F0000}"/>
    <cellStyle name="Normal 9 3 3 2 2 3 2" xfId="13742" xr:uid="{C69FC9B6-6D65-48BA-8F4E-89A0FBF41688}"/>
    <cellStyle name="Normal 9 3 3 2 2 3 3" xfId="26375" xr:uid="{DB5236BE-A84A-449F-9332-13129E8A1575}"/>
    <cellStyle name="Normal 9 3 3 2 2 4" xfId="9524" xr:uid="{E73BEA0C-FB25-4355-B058-1718ABCB5465}"/>
    <cellStyle name="Normal 9 3 3 2 2 4 2" xfId="22164" xr:uid="{67D6C629-7266-44B9-A5EB-C7D42EB95017}"/>
    <cellStyle name="Normal 9 3 3 2 2 5" xfId="17953" xr:uid="{0D0477B6-B604-4111-9C36-11D453C161D1}"/>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24BFB4D7-AC7B-4E41-A003-1F8F7A814BFE}"/>
    <cellStyle name="Normal 9 3 3 2 3 2 2 3" xfId="28933" xr:uid="{7FF4340B-5175-4CF1-B05C-513042C24A5C}"/>
    <cellStyle name="Normal 9 3 3 2 3 2 3" xfId="12082" xr:uid="{CAA93BB4-0797-45D6-8974-597E6707ECE4}"/>
    <cellStyle name="Normal 9 3 3 2 3 2 3 2" xfId="24722" xr:uid="{554B27B5-F011-4779-B14A-DAE9866890E7}"/>
    <cellStyle name="Normal 9 3 3 2 3 2 4" xfId="20511" xr:uid="{CA024216-BE9C-4F6B-AF8B-95040B93A1B0}"/>
    <cellStyle name="Normal 9 3 3 2 3 3" xfId="5726" xr:uid="{00000000-0005-0000-0000-000002200000}"/>
    <cellStyle name="Normal 9 3 3 2 3 3 2" xfId="14155" xr:uid="{9EFD4530-0216-4E9A-B157-74595468FB69}"/>
    <cellStyle name="Normal 9 3 3 2 3 3 3" xfId="26788" xr:uid="{C0F9924D-E30E-45C1-9018-4DC368D8C185}"/>
    <cellStyle name="Normal 9 3 3 2 3 4" xfId="9937" xr:uid="{81823737-87C0-4550-96B0-049C0F33A5E2}"/>
    <cellStyle name="Normal 9 3 3 2 3 4 2" xfId="22577" xr:uid="{A6C19A77-69DC-4E69-92A2-E910A1879C9E}"/>
    <cellStyle name="Normal 9 3 3 2 3 5" xfId="18366" xr:uid="{054DBCC2-19FB-4851-A1FC-49957603196D}"/>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5AE67B0F-E1D0-4F0A-81CA-FC6319D13D68}"/>
    <cellStyle name="Normal 9 3 3 2 4 2 2 3" xfId="29346" xr:uid="{B99C8203-6BB3-4719-AAA0-AC6DCB01AF50}"/>
    <cellStyle name="Normal 9 3 3 2 4 2 3" xfId="12495" xr:uid="{C5B52A17-9450-40A5-9C1D-0DA93ABABB9D}"/>
    <cellStyle name="Normal 9 3 3 2 4 2 3 2" xfId="25135" xr:uid="{C91AD5A1-899D-44E3-AB4D-13A485809FA0}"/>
    <cellStyle name="Normal 9 3 3 2 4 2 4" xfId="20924" xr:uid="{7A8FD1DE-84FC-4F0A-8ADE-FFA2F8F88EFC}"/>
    <cellStyle name="Normal 9 3 3 2 4 3" xfId="6139" xr:uid="{00000000-0005-0000-0000-000006200000}"/>
    <cellStyle name="Normal 9 3 3 2 4 3 2" xfId="14568" xr:uid="{2C095722-BE9C-477B-AA3D-33C5C646B6EA}"/>
    <cellStyle name="Normal 9 3 3 2 4 3 3" xfId="27201" xr:uid="{88DDBDA9-9962-4B5C-BD0B-3E38D8568941}"/>
    <cellStyle name="Normal 9 3 3 2 4 4" xfId="10350" xr:uid="{76FA1B23-86F6-4A5C-975C-7D6B3F93A1F9}"/>
    <cellStyle name="Normal 9 3 3 2 4 4 2" xfId="22990" xr:uid="{D23491CC-ED36-48F6-8D05-EAB43E5A50A0}"/>
    <cellStyle name="Normal 9 3 3 2 4 5" xfId="18779" xr:uid="{A6E8632A-893B-4907-ADB1-27870338C3BD}"/>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ABDCB028-5CBC-4B9F-A7D3-A99E83D646C7}"/>
    <cellStyle name="Normal 9 3 3 2 5 2 2 3" xfId="29759" xr:uid="{463711F7-203A-48A4-9E60-661F2C75A26E}"/>
    <cellStyle name="Normal 9 3 3 2 5 2 3" xfId="12908" xr:uid="{5B3EEC26-D2DA-4E91-9000-45EC23C4DC17}"/>
    <cellStyle name="Normal 9 3 3 2 5 2 3 2" xfId="25548" xr:uid="{FEC2B867-4CF6-4626-82C0-29FFEF41A18D}"/>
    <cellStyle name="Normal 9 3 3 2 5 2 4" xfId="21337" xr:uid="{7BA81B75-A538-419C-96B6-614ED3AAB00A}"/>
    <cellStyle name="Normal 9 3 3 2 5 3" xfId="6552" xr:uid="{00000000-0005-0000-0000-00000A200000}"/>
    <cellStyle name="Normal 9 3 3 2 5 3 2" xfId="14981" xr:uid="{1233889F-303F-454F-AA35-13575028CAE1}"/>
    <cellStyle name="Normal 9 3 3 2 5 3 3" xfId="27614" xr:uid="{6166AEC7-F6B3-4C4A-80CF-FEDF0ABEC255}"/>
    <cellStyle name="Normal 9 3 3 2 5 4" xfId="10763" xr:uid="{E3590366-3283-42E0-BABF-115F759FB924}"/>
    <cellStyle name="Normal 9 3 3 2 5 4 2" xfId="23403" xr:uid="{B9334287-72BD-4C29-874B-31FD4DBB96F6}"/>
    <cellStyle name="Normal 9 3 3 2 5 5" xfId="19192" xr:uid="{D4F598AE-1FFF-4ACB-B978-9C6F5DBDFBFA}"/>
    <cellStyle name="Normal 9 3 3 2 6" xfId="2680" xr:uid="{00000000-0005-0000-0000-00000B200000}"/>
    <cellStyle name="Normal 9 3 3 2 6 2" xfId="6965" xr:uid="{00000000-0005-0000-0000-00000C200000}"/>
    <cellStyle name="Normal 9 3 3 2 6 2 2" xfId="15394" xr:uid="{812807EC-23BB-4AEC-8072-DEFF29C4D86C}"/>
    <cellStyle name="Normal 9 3 3 2 6 2 3" xfId="28027" xr:uid="{31F69C5A-1E32-4413-BD09-83CB4501673E}"/>
    <cellStyle name="Normal 9 3 3 2 6 3" xfId="11176" xr:uid="{30414044-D767-44EC-8103-AD5BC8404237}"/>
    <cellStyle name="Normal 9 3 3 2 6 3 2" xfId="23816" xr:uid="{FAE9E08A-7C1C-4586-BFEB-17B8CE5703FA}"/>
    <cellStyle name="Normal 9 3 3 2 6 4" xfId="19605" xr:uid="{5B1804F6-0921-4297-8346-DE81693BBBE7}"/>
    <cellStyle name="Normal 9 3 3 2 7" xfId="4900" xr:uid="{00000000-0005-0000-0000-00000D200000}"/>
    <cellStyle name="Normal 9 3 3 2 7 2" xfId="13329" xr:uid="{ACB46F83-6489-47CA-8FFC-AB77830EDE80}"/>
    <cellStyle name="Normal 9 3 3 2 7 3" xfId="25962" xr:uid="{F6958C50-C950-4B61-8D5E-87033895F5D6}"/>
    <cellStyle name="Normal 9 3 3 2 8" xfId="9111" xr:uid="{2856843F-F74A-40AA-9661-946171B033F6}"/>
    <cellStyle name="Normal 9 3 3 2 8 2" xfId="21751" xr:uid="{FEC98CB4-1A0A-4406-B057-DC1196A44667}"/>
    <cellStyle name="Normal 9 3 3 2 9" xfId="17540" xr:uid="{85FAF903-217D-40AE-B369-0299375D475D}"/>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7740B050-2956-4F23-92D9-89AC1F72D0C8}"/>
    <cellStyle name="Normal 9 3 3 3 2 2 3" xfId="28519" xr:uid="{368A0EF2-2C16-46D9-9997-B4C7AE8C17B8}"/>
    <cellStyle name="Normal 9 3 3 3 2 3" xfId="11668" xr:uid="{55DF6E98-E5F2-4FAC-8B4F-A392987CF2B9}"/>
    <cellStyle name="Normal 9 3 3 3 2 3 2" xfId="24308" xr:uid="{94471191-04A4-4B31-9FAD-A744B05AD695}"/>
    <cellStyle name="Normal 9 3 3 3 2 4" xfId="20097" xr:uid="{A72F771B-58E4-437E-9FB4-4664DE851286}"/>
    <cellStyle name="Normal 9 3 3 3 3" xfId="5312" xr:uid="{00000000-0005-0000-0000-000011200000}"/>
    <cellStyle name="Normal 9 3 3 3 3 2" xfId="13741" xr:uid="{1109711C-7B9E-40F4-A9DF-F90DB5C73845}"/>
    <cellStyle name="Normal 9 3 3 3 3 3" xfId="26374" xr:uid="{B3B0A388-DFDA-4498-93F1-F555728C2669}"/>
    <cellStyle name="Normal 9 3 3 3 4" xfId="9523" xr:uid="{228FBE04-B86A-4D61-959D-68A3AA70F726}"/>
    <cellStyle name="Normal 9 3 3 3 4 2" xfId="22163" xr:uid="{70BBA12E-5AC6-4253-A239-4AEBB3E4A849}"/>
    <cellStyle name="Normal 9 3 3 3 5" xfId="17952" xr:uid="{C732A986-D023-445D-8E35-63A45351EEAF}"/>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F6899ECF-A0BA-4166-8F51-D43E0B1BEC5D}"/>
    <cellStyle name="Normal 9 3 3 4 2 2 3" xfId="28932" xr:uid="{62CF62E5-8825-4690-8D74-063734C6F177}"/>
    <cellStyle name="Normal 9 3 3 4 2 3" xfId="12081" xr:uid="{3A784CFF-293F-4EBB-A10F-F59640D5D596}"/>
    <cellStyle name="Normal 9 3 3 4 2 3 2" xfId="24721" xr:uid="{E154703C-B2AB-4E9A-A22A-3B4E2239A333}"/>
    <cellStyle name="Normal 9 3 3 4 2 4" xfId="20510" xr:uid="{00EFA87C-5912-4BAB-8E15-76A0CCFD894D}"/>
    <cellStyle name="Normal 9 3 3 4 3" xfId="5725" xr:uid="{00000000-0005-0000-0000-000015200000}"/>
    <cellStyle name="Normal 9 3 3 4 3 2" xfId="14154" xr:uid="{8C075192-E0A0-4B7E-83B3-E0F91A51FDF3}"/>
    <cellStyle name="Normal 9 3 3 4 3 3" xfId="26787" xr:uid="{4BDC83E9-02B1-42D9-ADCD-D04960E3529A}"/>
    <cellStyle name="Normal 9 3 3 4 4" xfId="9936" xr:uid="{3EADFDC5-62BE-425A-ABC8-A09BDABC8CFE}"/>
    <cellStyle name="Normal 9 3 3 4 4 2" xfId="22576" xr:uid="{E855AC1C-9397-40C3-83B9-FDB5C2F23BA9}"/>
    <cellStyle name="Normal 9 3 3 4 5" xfId="18365" xr:uid="{A5EB1916-92DD-4025-A5FB-1A53B9D77187}"/>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2C5511AC-2BE3-4FEA-BE5F-C6C18F47DFB4}"/>
    <cellStyle name="Normal 9 3 3 5 2 2 3" xfId="29345" xr:uid="{5BD01B5A-1D0B-4331-B999-BF6D0F784804}"/>
    <cellStyle name="Normal 9 3 3 5 2 3" xfId="12494" xr:uid="{7F17DFA9-F18D-4D0F-8758-75636927B361}"/>
    <cellStyle name="Normal 9 3 3 5 2 3 2" xfId="25134" xr:uid="{526AF824-E551-4521-B699-4CC00DDEAF5C}"/>
    <cellStyle name="Normal 9 3 3 5 2 4" xfId="20923" xr:uid="{E497FBCB-D043-4FE0-AC57-F6CE82DA203C}"/>
    <cellStyle name="Normal 9 3 3 5 3" xfId="6138" xr:uid="{00000000-0005-0000-0000-000019200000}"/>
    <cellStyle name="Normal 9 3 3 5 3 2" xfId="14567" xr:uid="{91264691-0794-469B-A11B-73FBF0AF4E80}"/>
    <cellStyle name="Normal 9 3 3 5 3 3" xfId="27200" xr:uid="{7F2B9AE9-17D4-4808-90B2-3F96F57E2290}"/>
    <cellStyle name="Normal 9 3 3 5 4" xfId="10349" xr:uid="{48F4B928-F1EC-479C-87B1-74FFA468047F}"/>
    <cellStyle name="Normal 9 3 3 5 4 2" xfId="22989" xr:uid="{9C1E5129-85D8-4C17-A385-D2F950AF44E1}"/>
    <cellStyle name="Normal 9 3 3 5 5" xfId="18778" xr:uid="{D748C66E-6C63-4514-9F7E-AE4932C77E92}"/>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EC464E04-006B-4FC2-8E48-34FF2A4EAD4C}"/>
    <cellStyle name="Normal 9 3 3 6 2 2 3" xfId="29758" xr:uid="{4C2796C6-5243-40D1-8C45-E0EE8B7DC436}"/>
    <cellStyle name="Normal 9 3 3 6 2 3" xfId="12907" xr:uid="{7CE8CE88-79C8-4636-8693-619EE710C1D7}"/>
    <cellStyle name="Normal 9 3 3 6 2 3 2" xfId="25547" xr:uid="{C0CD5CDB-3783-4D6B-B33E-70954EDB88E1}"/>
    <cellStyle name="Normal 9 3 3 6 2 4" xfId="21336" xr:uid="{53D9235D-DE50-4367-928D-48A4A4750B40}"/>
    <cellStyle name="Normal 9 3 3 6 3" xfId="6551" xr:uid="{00000000-0005-0000-0000-00001D200000}"/>
    <cellStyle name="Normal 9 3 3 6 3 2" xfId="14980" xr:uid="{A61FBFE9-111E-4DD2-AAF3-659AF85EF3D3}"/>
    <cellStyle name="Normal 9 3 3 6 3 3" xfId="27613" xr:uid="{E785CC52-7317-4005-BEA6-31D4E8A86503}"/>
    <cellStyle name="Normal 9 3 3 6 4" xfId="10762" xr:uid="{27A0B990-C9B6-4306-82F5-AF380B2E01CA}"/>
    <cellStyle name="Normal 9 3 3 6 4 2" xfId="23402" xr:uid="{3C59CB53-F2D1-4342-BD93-5D3D553483BD}"/>
    <cellStyle name="Normal 9 3 3 6 5" xfId="19191" xr:uid="{475515ED-9ABA-4B5F-B418-8EDD0809B57F}"/>
    <cellStyle name="Normal 9 3 3 7" xfId="2679" xr:uid="{00000000-0005-0000-0000-00001E200000}"/>
    <cellStyle name="Normal 9 3 3 7 2" xfId="6964" xr:uid="{00000000-0005-0000-0000-00001F200000}"/>
    <cellStyle name="Normal 9 3 3 7 2 2" xfId="15393" xr:uid="{C7279D04-1FD3-47B8-A514-C9E746FE1E3F}"/>
    <cellStyle name="Normal 9 3 3 7 2 3" xfId="28026" xr:uid="{DD7C3ED0-D4C4-46AA-8937-18D60D9B92E7}"/>
    <cellStyle name="Normal 9 3 3 7 3" xfId="11175" xr:uid="{40539D8E-2427-4D03-8D62-229A384629D8}"/>
    <cellStyle name="Normal 9 3 3 7 3 2" xfId="23815" xr:uid="{2E5C9178-49F0-42C1-8287-972E3575CEE1}"/>
    <cellStyle name="Normal 9 3 3 7 4" xfId="19604" xr:uid="{0F995E86-C3EF-4B5F-9650-61CD937046BB}"/>
    <cellStyle name="Normal 9 3 3 8" xfId="4899" xr:uid="{00000000-0005-0000-0000-000020200000}"/>
    <cellStyle name="Normal 9 3 3 8 2" xfId="13328" xr:uid="{AA1BF05F-EDEC-47E3-A1A5-0BB2550F6A55}"/>
    <cellStyle name="Normal 9 3 3 8 3" xfId="25961" xr:uid="{5051EFAE-4A04-4E1A-B0D1-E154E5367927}"/>
    <cellStyle name="Normal 9 3 3 9" xfId="9110" xr:uid="{95874228-F56B-4520-9B8A-7A9DEE53E46F}"/>
    <cellStyle name="Normal 9 3 3 9 2" xfId="21750" xr:uid="{6C3F2E9B-2B05-46D8-8D66-CB89B261409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FB326A86-EC4D-4FD5-97A4-3214860446D0}"/>
    <cellStyle name="Normal 9 3 4 2 2 2 3" xfId="28521" xr:uid="{32D22559-EA33-4BBD-A632-B286DC5FC199}"/>
    <cellStyle name="Normal 9 3 4 2 2 3" xfId="11670" xr:uid="{A23C38C6-1728-4D33-9E02-E9883CD149B5}"/>
    <cellStyle name="Normal 9 3 4 2 2 3 2" xfId="24310" xr:uid="{87E3B4D3-38E6-4C21-AF3C-BD8DCE269D3B}"/>
    <cellStyle name="Normal 9 3 4 2 2 4" xfId="20099" xr:uid="{5D888B81-3342-4BD0-A31F-F4CF8E43C5EB}"/>
    <cellStyle name="Normal 9 3 4 2 3" xfId="5314" xr:uid="{00000000-0005-0000-0000-000025200000}"/>
    <cellStyle name="Normal 9 3 4 2 3 2" xfId="13743" xr:uid="{819AAEFA-2B06-4A3C-8E25-1BBE6D142F23}"/>
    <cellStyle name="Normal 9 3 4 2 3 3" xfId="26376" xr:uid="{71A1B78C-348E-4447-B051-77AAFD0DA880}"/>
    <cellStyle name="Normal 9 3 4 2 4" xfId="9525" xr:uid="{546850B8-DCB0-4F45-991B-4F5CAD97F5B8}"/>
    <cellStyle name="Normal 9 3 4 2 4 2" xfId="22165" xr:uid="{E8A3508F-4C0B-4558-AC42-D3FDD9B921BF}"/>
    <cellStyle name="Normal 9 3 4 2 5" xfId="17954" xr:uid="{F0A07357-A8C8-4780-B4DB-06DDE41151D5}"/>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F6892B9D-0E57-4783-B94F-502FFB9B8A3E}"/>
    <cellStyle name="Normal 9 3 4 3 2 2 3" xfId="28934" xr:uid="{0CA3B287-28BF-420C-A640-57C3773BCC3E}"/>
    <cellStyle name="Normal 9 3 4 3 2 3" xfId="12083" xr:uid="{4713DAFE-6231-45BA-B3F7-C87C75A79434}"/>
    <cellStyle name="Normal 9 3 4 3 2 3 2" xfId="24723" xr:uid="{51FF4A1A-20B0-48A1-84CF-2D8686B91E5B}"/>
    <cellStyle name="Normal 9 3 4 3 2 4" xfId="20512" xr:uid="{A5183CC9-9943-419A-984B-61A9018EC529}"/>
    <cellStyle name="Normal 9 3 4 3 3" xfId="5727" xr:uid="{00000000-0005-0000-0000-000029200000}"/>
    <cellStyle name="Normal 9 3 4 3 3 2" xfId="14156" xr:uid="{CCA9D58A-7540-46D3-A097-462BAB9C7F6E}"/>
    <cellStyle name="Normal 9 3 4 3 3 3" xfId="26789" xr:uid="{4638FBBF-F4B3-4FF0-BD9D-864FAEEDBAC5}"/>
    <cellStyle name="Normal 9 3 4 3 4" xfId="9938" xr:uid="{CCCCC5FC-BFF6-4E47-AACB-2518A65CE28D}"/>
    <cellStyle name="Normal 9 3 4 3 4 2" xfId="22578" xr:uid="{54801B65-91CD-466F-B990-EC7C1835F6E7}"/>
    <cellStyle name="Normal 9 3 4 3 5" xfId="18367" xr:uid="{D89471EE-0694-4668-8242-D3D4649AF172}"/>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3A7E6902-CD79-4EF6-8C05-278979BFAE9A}"/>
    <cellStyle name="Normal 9 3 4 4 2 2 3" xfId="29347" xr:uid="{C1F3A2DF-AEF5-496E-B285-18C898D74EEB}"/>
    <cellStyle name="Normal 9 3 4 4 2 3" xfId="12496" xr:uid="{A30B7D44-920D-41D5-A093-93E9041A96C9}"/>
    <cellStyle name="Normal 9 3 4 4 2 3 2" xfId="25136" xr:uid="{5EE0239E-838D-4855-81B9-10EB284EFD91}"/>
    <cellStyle name="Normal 9 3 4 4 2 4" xfId="20925" xr:uid="{CC1FCF93-46E2-4881-AEF9-9436C32C3305}"/>
    <cellStyle name="Normal 9 3 4 4 3" xfId="6140" xr:uid="{00000000-0005-0000-0000-00002D200000}"/>
    <cellStyle name="Normal 9 3 4 4 3 2" xfId="14569" xr:uid="{D702725C-FFEF-467C-B70C-8FA276EDF6B9}"/>
    <cellStyle name="Normal 9 3 4 4 3 3" xfId="27202" xr:uid="{24FEFD70-CFC9-45ED-9CAE-90C75B63C17A}"/>
    <cellStyle name="Normal 9 3 4 4 4" xfId="10351" xr:uid="{52141EFF-9A76-4906-A531-6FCF77E6895F}"/>
    <cellStyle name="Normal 9 3 4 4 4 2" xfId="22991" xr:uid="{B7EFD701-7BEA-4720-9B69-9819500D641A}"/>
    <cellStyle name="Normal 9 3 4 4 5" xfId="18780" xr:uid="{C0D3BDAF-258F-4015-9CE1-8AB2448DE330}"/>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FF27B663-F897-41C0-8906-1099D3EC689A}"/>
    <cellStyle name="Normal 9 3 4 5 2 2 3" xfId="29760" xr:uid="{F7CBAEBA-60D0-40DF-9429-78A35183A441}"/>
    <cellStyle name="Normal 9 3 4 5 2 3" xfId="12909" xr:uid="{1B9C359F-1309-4DCA-B7BD-1B61B9CF5ED2}"/>
    <cellStyle name="Normal 9 3 4 5 2 3 2" xfId="25549" xr:uid="{DD6A2B6A-100F-4E84-BDCD-1EC2E8D1A1F4}"/>
    <cellStyle name="Normal 9 3 4 5 2 4" xfId="21338" xr:uid="{C87D30BF-DC7D-4685-B629-C02794B9EB0C}"/>
    <cellStyle name="Normal 9 3 4 5 3" xfId="6553" xr:uid="{00000000-0005-0000-0000-000031200000}"/>
    <cellStyle name="Normal 9 3 4 5 3 2" xfId="14982" xr:uid="{923A4514-AE3A-424A-BD75-9A1501A4B75C}"/>
    <cellStyle name="Normal 9 3 4 5 3 3" xfId="27615" xr:uid="{FDD7C699-DE22-4747-9B3F-42621DC4FDCA}"/>
    <cellStyle name="Normal 9 3 4 5 4" xfId="10764" xr:uid="{7030CFD9-4C79-46D4-A5F6-98DAEE53C1D7}"/>
    <cellStyle name="Normal 9 3 4 5 4 2" xfId="23404" xr:uid="{8B14596F-3A0E-4E1A-8A97-AD4D2D0C535D}"/>
    <cellStyle name="Normal 9 3 4 5 5" xfId="19193" xr:uid="{5C578325-3F3D-4C02-970E-F02B37E7B743}"/>
    <cellStyle name="Normal 9 3 4 6" xfId="2681" xr:uid="{00000000-0005-0000-0000-000032200000}"/>
    <cellStyle name="Normal 9 3 4 6 2" xfId="6966" xr:uid="{00000000-0005-0000-0000-000033200000}"/>
    <cellStyle name="Normal 9 3 4 6 2 2" xfId="15395" xr:uid="{89547E98-83F7-46AF-8B19-B4086E679314}"/>
    <cellStyle name="Normal 9 3 4 6 2 3" xfId="28028" xr:uid="{9AA968DF-7C00-4450-8941-96014AD25B6C}"/>
    <cellStyle name="Normal 9 3 4 6 3" xfId="11177" xr:uid="{E9DEDDDE-0F90-4552-B535-1CD9CDE2A517}"/>
    <cellStyle name="Normal 9 3 4 6 3 2" xfId="23817" xr:uid="{B5DBEEEF-F659-4910-AEDB-B85D057F94EB}"/>
    <cellStyle name="Normal 9 3 4 6 4" xfId="19606" xr:uid="{F7CF19D1-326C-4B40-BC2B-9C1562366F4A}"/>
    <cellStyle name="Normal 9 3 4 7" xfId="4901" xr:uid="{00000000-0005-0000-0000-000034200000}"/>
    <cellStyle name="Normal 9 3 4 7 2" xfId="13330" xr:uid="{837E4468-3980-4C67-91D8-DF5C994556A0}"/>
    <cellStyle name="Normal 9 3 4 7 3" xfId="25963" xr:uid="{BF6E8AD8-8299-417C-849F-C51EBE4D2C32}"/>
    <cellStyle name="Normal 9 3 4 8" xfId="9112" xr:uid="{192F51E4-7AB2-44CE-A930-2DE60C2F0F13}"/>
    <cellStyle name="Normal 9 3 4 8 2" xfId="21752" xr:uid="{0B80FFCD-5FD2-420F-BBFB-26CBBE206833}"/>
    <cellStyle name="Normal 9 3 4 9" xfId="17541" xr:uid="{4CEF0D33-B25F-4B30-8574-33E8A0217261}"/>
    <cellStyle name="Normal 9 3 5" xfId="995" xr:uid="{00000000-0005-0000-0000-000035200000}"/>
    <cellStyle name="Normal 9 3 5 2" xfId="3228" xr:uid="{00000000-0005-0000-0000-000036200000}"/>
    <cellStyle name="Normal 9 3 5 2 2" xfId="7452" xr:uid="{00000000-0005-0000-0000-000037200000}"/>
    <cellStyle name="Normal 9 3 5 2 2 2" xfId="15881" xr:uid="{E9AB3AA0-FAD0-4BC1-B3C2-EA7F62931503}"/>
    <cellStyle name="Normal 9 3 5 2 2 3" xfId="28514" xr:uid="{4FCD694C-D45C-46DA-8BE4-AF2452C94F1E}"/>
    <cellStyle name="Normal 9 3 5 2 3" xfId="11663" xr:uid="{3A2585BF-D2C3-4600-BFD5-7F8C5DEB6422}"/>
    <cellStyle name="Normal 9 3 5 2 3 2" xfId="24303" xr:uid="{CBD260E2-DE0B-431E-8E6E-06EED9214741}"/>
    <cellStyle name="Normal 9 3 5 2 4" xfId="20092" xr:uid="{F18C41BD-9FE6-4558-B3E5-9432DFD93DB3}"/>
    <cellStyle name="Normal 9 3 5 3" xfId="5307" xr:uid="{00000000-0005-0000-0000-000038200000}"/>
    <cellStyle name="Normal 9 3 5 3 2" xfId="13736" xr:uid="{C60786DA-53A4-432D-A769-4AB8BDDD01A0}"/>
    <cellStyle name="Normal 9 3 5 3 3" xfId="26369" xr:uid="{83E4E502-7B07-4640-A366-5E9470270BB3}"/>
    <cellStyle name="Normal 9 3 5 4" xfId="9518" xr:uid="{4C9196C9-05F1-45C3-B81F-45E24A10FCE1}"/>
    <cellStyle name="Normal 9 3 5 4 2" xfId="22158" xr:uid="{D7A83B6A-BC84-42EE-8CC3-99B18138FBE3}"/>
    <cellStyle name="Normal 9 3 5 5" xfId="17947" xr:uid="{7EF2597D-D830-4E81-B5E6-0BC925215DA1}"/>
    <cellStyle name="Normal 9 3 6" xfId="1411" xr:uid="{00000000-0005-0000-0000-000039200000}"/>
    <cellStyle name="Normal 9 3 6 2" xfId="3641" xr:uid="{00000000-0005-0000-0000-00003A200000}"/>
    <cellStyle name="Normal 9 3 6 2 2" xfId="7865" xr:uid="{00000000-0005-0000-0000-00003B200000}"/>
    <cellStyle name="Normal 9 3 6 2 2 2" xfId="16294" xr:uid="{72F75789-F215-43B8-AA38-E3AE7447507B}"/>
    <cellStyle name="Normal 9 3 6 2 2 3" xfId="28927" xr:uid="{03D0803C-0A67-4A01-8598-9C2A80A15FFF}"/>
    <cellStyle name="Normal 9 3 6 2 3" xfId="12076" xr:uid="{0D55C675-D609-4BC0-8FF0-CEBE99528AD6}"/>
    <cellStyle name="Normal 9 3 6 2 3 2" xfId="24716" xr:uid="{58C20DEC-884B-4F6F-95BB-DC97797DEDD9}"/>
    <cellStyle name="Normal 9 3 6 2 4" xfId="20505" xr:uid="{8D81CB7C-4809-4432-9094-C9710BE0D875}"/>
    <cellStyle name="Normal 9 3 6 3" xfId="5720" xr:uid="{00000000-0005-0000-0000-00003C200000}"/>
    <cellStyle name="Normal 9 3 6 3 2" xfId="14149" xr:uid="{9BD3F278-D36E-4F7D-B9D9-043213721AF1}"/>
    <cellStyle name="Normal 9 3 6 3 3" xfId="26782" xr:uid="{E7DFA3F8-428E-4220-BA3D-682FE6B92C68}"/>
    <cellStyle name="Normal 9 3 6 4" xfId="9931" xr:uid="{D0F32E2F-8311-4D6B-B8C7-7F573836E8B0}"/>
    <cellStyle name="Normal 9 3 6 4 2" xfId="22571" xr:uid="{FF6F7845-DD88-417A-A9B4-3A86482E8900}"/>
    <cellStyle name="Normal 9 3 6 5" xfId="18360" xr:uid="{95CE7B19-B924-425C-B2A3-0865BE960A76}"/>
    <cellStyle name="Normal 9 3 7" xfId="1824" xr:uid="{00000000-0005-0000-0000-00003D200000}"/>
    <cellStyle name="Normal 9 3 7 2" xfId="4054" xr:uid="{00000000-0005-0000-0000-00003E200000}"/>
    <cellStyle name="Normal 9 3 7 2 2" xfId="8278" xr:uid="{00000000-0005-0000-0000-00003F200000}"/>
    <cellStyle name="Normal 9 3 7 2 2 2" xfId="16707" xr:uid="{6A62BAC3-DB44-4EF8-A015-DAAE44ED42C3}"/>
    <cellStyle name="Normal 9 3 7 2 2 3" xfId="29340" xr:uid="{45F12D58-9BF0-4522-9A02-BB6CDF68B95B}"/>
    <cellStyle name="Normal 9 3 7 2 3" xfId="12489" xr:uid="{A9BA8B36-133E-4313-B95F-C5FD8D6B84AC}"/>
    <cellStyle name="Normal 9 3 7 2 3 2" xfId="25129" xr:uid="{D828DAA9-3802-4E43-B25E-3988AFA31D1B}"/>
    <cellStyle name="Normal 9 3 7 2 4" xfId="20918" xr:uid="{52F3C9AA-22DE-4662-A63C-84C9EE359592}"/>
    <cellStyle name="Normal 9 3 7 3" xfId="6133" xr:uid="{00000000-0005-0000-0000-000040200000}"/>
    <cellStyle name="Normal 9 3 7 3 2" xfId="14562" xr:uid="{450CE7CB-C331-4A1C-8CC8-24FBBC9B2455}"/>
    <cellStyle name="Normal 9 3 7 3 3" xfId="27195" xr:uid="{05BFDDBB-8F75-4979-AE35-2BEEFC4A1AA4}"/>
    <cellStyle name="Normal 9 3 7 4" xfId="10344" xr:uid="{86F1C406-E587-4378-85B5-40EF74C93828}"/>
    <cellStyle name="Normal 9 3 7 4 2" xfId="22984" xr:uid="{A65A800E-7B88-400C-ACB3-31391DFB396D}"/>
    <cellStyle name="Normal 9 3 7 5" xfId="18773" xr:uid="{677E64EC-7D75-4A93-8C05-6AB95DFE1BD1}"/>
    <cellStyle name="Normal 9 3 8" xfId="2238" xr:uid="{00000000-0005-0000-0000-000041200000}"/>
    <cellStyle name="Normal 9 3 8 2" xfId="4467" xr:uid="{00000000-0005-0000-0000-000042200000}"/>
    <cellStyle name="Normal 9 3 8 2 2" xfId="8691" xr:uid="{00000000-0005-0000-0000-000043200000}"/>
    <cellStyle name="Normal 9 3 8 2 2 2" xfId="17120" xr:uid="{11DD2F74-57BF-4D93-9D16-9C9F6EA1267B}"/>
    <cellStyle name="Normal 9 3 8 2 2 3" xfId="29753" xr:uid="{F278212C-92DE-4C27-A0AC-BC99244F0795}"/>
    <cellStyle name="Normal 9 3 8 2 3" xfId="12902" xr:uid="{1B4714BD-F385-48B9-9EE9-0E4D654B223D}"/>
    <cellStyle name="Normal 9 3 8 2 3 2" xfId="25542" xr:uid="{F0D7A552-3C75-4835-8D57-1C8898A50AF1}"/>
    <cellStyle name="Normal 9 3 8 2 4" xfId="21331" xr:uid="{67559C71-9E4A-416D-97A3-DFC7DA00B708}"/>
    <cellStyle name="Normal 9 3 8 3" xfId="6546" xr:uid="{00000000-0005-0000-0000-000044200000}"/>
    <cellStyle name="Normal 9 3 8 3 2" xfId="14975" xr:uid="{B2E10526-282A-4663-BB62-523BED9BF4A8}"/>
    <cellStyle name="Normal 9 3 8 3 3" xfId="27608" xr:uid="{559DFFD6-D69E-46F1-A80F-5218FF73A525}"/>
    <cellStyle name="Normal 9 3 8 4" xfId="10757" xr:uid="{AF6FBC48-39EB-4F93-AC8D-D2725A9015F6}"/>
    <cellStyle name="Normal 9 3 8 4 2" xfId="23397" xr:uid="{F45DAEFE-334D-4DA9-AC44-56F5F6995125}"/>
    <cellStyle name="Normal 9 3 8 5" xfId="19186" xr:uid="{777B82D4-54CD-447E-9162-9AF81FC31FC1}"/>
    <cellStyle name="Normal 9 3 9" xfId="2674" xr:uid="{00000000-0005-0000-0000-000045200000}"/>
    <cellStyle name="Normal 9 3 9 2" xfId="6959" xr:uid="{00000000-0005-0000-0000-000046200000}"/>
    <cellStyle name="Normal 9 3 9 2 2" xfId="15388" xr:uid="{E2DB1C81-464E-4A9D-B1EA-4B8379166D97}"/>
    <cellStyle name="Normal 9 3 9 2 3" xfId="28021" xr:uid="{32C4F0D2-E38F-4F1D-B42A-010C14E176C3}"/>
    <cellStyle name="Normal 9 3 9 3" xfId="11170" xr:uid="{AC89C1A9-1C79-4EEE-84A9-10FC58DD88D0}"/>
    <cellStyle name="Normal 9 3 9 3 2" xfId="23810" xr:uid="{B24E895C-E5C7-401E-9551-04908210562F}"/>
    <cellStyle name="Normal 9 3 9 4" xfId="19599" xr:uid="{B0757152-89F3-42B0-9988-A76C9CD2BAF0}"/>
    <cellStyle name="Normal 9 4" xfId="535" xr:uid="{00000000-0005-0000-0000-000047200000}"/>
    <cellStyle name="Normal 9 4 2" xfId="1003" xr:uid="{00000000-0005-0000-0000-000048200000}"/>
    <cellStyle name="Normal 9 5" xfId="536" xr:uid="{00000000-0005-0000-0000-000049200000}"/>
    <cellStyle name="Normal 9 5 10" xfId="17542" xr:uid="{B71B8EF6-87BC-4B27-9DB4-C4042CB9AE81}"/>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16E59F18-F437-44D4-A947-1E43E690376A}"/>
    <cellStyle name="Normal 9 5 2 2 2 2 3" xfId="28523" xr:uid="{9A021AC9-2041-4230-B129-8AC7D2C9229D}"/>
    <cellStyle name="Normal 9 5 2 2 2 3" xfId="11672" xr:uid="{BB7E5641-3E16-4AB9-BBF7-C71FC755250B}"/>
    <cellStyle name="Normal 9 5 2 2 2 3 2" xfId="24312" xr:uid="{9AD8DDC2-F9C2-465D-AB37-7F297B6EFD7A}"/>
    <cellStyle name="Normal 9 5 2 2 2 4" xfId="20101" xr:uid="{E0A01DFE-E96C-4D88-87E3-DA2C02903155}"/>
    <cellStyle name="Normal 9 5 2 2 3" xfId="5316" xr:uid="{00000000-0005-0000-0000-00004E200000}"/>
    <cellStyle name="Normal 9 5 2 2 3 2" xfId="13745" xr:uid="{CCF8CB62-33B0-4279-8E8C-BFFC5A6247F6}"/>
    <cellStyle name="Normal 9 5 2 2 3 3" xfId="26378" xr:uid="{33802438-4646-4356-98F3-52A76D77FDFA}"/>
    <cellStyle name="Normal 9 5 2 2 4" xfId="9527" xr:uid="{A347E9C3-DBB5-4815-8EAD-1CC9F8DED07B}"/>
    <cellStyle name="Normal 9 5 2 2 4 2" xfId="22167" xr:uid="{52CC37C4-B240-463E-A493-DB276B8EE8C8}"/>
    <cellStyle name="Normal 9 5 2 2 5" xfId="17956" xr:uid="{94123DE3-1CE5-44BB-A916-D1F30D02BE82}"/>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43208419-EAFA-48C8-9907-CB4E0FBE6C11}"/>
    <cellStyle name="Normal 9 5 2 3 2 2 3" xfId="28936" xr:uid="{76AC8850-EBD1-406E-A4CA-419288D08BAC}"/>
    <cellStyle name="Normal 9 5 2 3 2 3" xfId="12085" xr:uid="{46DDBD59-B487-475F-80C6-0CB4702AD8F0}"/>
    <cellStyle name="Normal 9 5 2 3 2 3 2" xfId="24725" xr:uid="{BFC18E2C-27B9-43CD-925B-4FE3487417C1}"/>
    <cellStyle name="Normal 9 5 2 3 2 4" xfId="20514" xr:uid="{4E97DAA8-56FF-415C-B5D7-B34B3F714156}"/>
    <cellStyle name="Normal 9 5 2 3 3" xfId="5729" xr:uid="{00000000-0005-0000-0000-000052200000}"/>
    <cellStyle name="Normal 9 5 2 3 3 2" xfId="14158" xr:uid="{3E611530-E885-4A32-80D7-43001AAC7E15}"/>
    <cellStyle name="Normal 9 5 2 3 3 3" xfId="26791" xr:uid="{BF710275-9B4B-444B-9F90-9FE6CFC2F0DF}"/>
    <cellStyle name="Normal 9 5 2 3 4" xfId="9940" xr:uid="{7CC93DD1-5AE5-4A58-A9A1-4ABC89F7392D}"/>
    <cellStyle name="Normal 9 5 2 3 4 2" xfId="22580" xr:uid="{213DBCE3-845B-4ADB-9986-3DAE29FA22AB}"/>
    <cellStyle name="Normal 9 5 2 3 5" xfId="18369" xr:uid="{A0264286-4613-4EAE-90AC-C9F3053C09EE}"/>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E1E31719-505F-4C39-8821-FB784B871D2C}"/>
    <cellStyle name="Normal 9 5 2 4 2 2 3" xfId="29349" xr:uid="{61BC011B-32DF-4F7C-9CB4-4CD16404E561}"/>
    <cellStyle name="Normal 9 5 2 4 2 3" xfId="12498" xr:uid="{48A22BBC-C2E4-4907-8EB7-1451E7487D9E}"/>
    <cellStyle name="Normal 9 5 2 4 2 3 2" xfId="25138" xr:uid="{736A47D8-5D03-48EA-AC47-60AA0AB62D6F}"/>
    <cellStyle name="Normal 9 5 2 4 2 4" xfId="20927" xr:uid="{C7750338-D2A6-4D85-9B54-30B1B9D6D824}"/>
    <cellStyle name="Normal 9 5 2 4 3" xfId="6142" xr:uid="{00000000-0005-0000-0000-000056200000}"/>
    <cellStyle name="Normal 9 5 2 4 3 2" xfId="14571" xr:uid="{6AAE6080-716C-4600-86C9-935C117F0C4E}"/>
    <cellStyle name="Normal 9 5 2 4 3 3" xfId="27204" xr:uid="{EAF11A70-1B1C-42BD-AFCD-519E92687239}"/>
    <cellStyle name="Normal 9 5 2 4 4" xfId="10353" xr:uid="{53DF6D32-4187-40E0-8C9D-AE981DEDE3E1}"/>
    <cellStyle name="Normal 9 5 2 4 4 2" xfId="22993" xr:uid="{D3C58D62-49B2-4E86-AC8F-C4351D853CC4}"/>
    <cellStyle name="Normal 9 5 2 4 5" xfId="18782" xr:uid="{734E01BA-C045-4B5B-A96F-202B36DEB6D3}"/>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3F8EF8AB-FA4C-4B30-BD0F-63BCEDE14083}"/>
    <cellStyle name="Normal 9 5 2 5 2 2 3" xfId="29762" xr:uid="{94DDCEFD-E580-4FF9-92BE-F9EDD9EB71A2}"/>
    <cellStyle name="Normal 9 5 2 5 2 3" xfId="12911" xr:uid="{5FA6D5BE-C6D1-494D-BD52-CFC1561ED698}"/>
    <cellStyle name="Normal 9 5 2 5 2 3 2" xfId="25551" xr:uid="{9EF6E81E-9704-4035-821C-3505DF7CB02C}"/>
    <cellStyle name="Normal 9 5 2 5 2 4" xfId="21340" xr:uid="{B9878C7C-A6EB-4F65-B12C-391C7F0CAFAB}"/>
    <cellStyle name="Normal 9 5 2 5 3" xfId="6555" xr:uid="{00000000-0005-0000-0000-00005A200000}"/>
    <cellStyle name="Normal 9 5 2 5 3 2" xfId="14984" xr:uid="{FDA31258-73DE-4BD5-8138-352FAB200854}"/>
    <cellStyle name="Normal 9 5 2 5 3 3" xfId="27617" xr:uid="{210CA362-786C-491B-BF12-29324162497F}"/>
    <cellStyle name="Normal 9 5 2 5 4" xfId="10766" xr:uid="{66004B4E-B456-49FE-9D21-59A4AC06F74E}"/>
    <cellStyle name="Normal 9 5 2 5 4 2" xfId="23406" xr:uid="{C058FC17-B818-4504-A8A7-DF6ADDF1F345}"/>
    <cellStyle name="Normal 9 5 2 5 5" xfId="19195" xr:uid="{03D79577-F63B-4F62-8600-87D6AD29AD2C}"/>
    <cellStyle name="Normal 9 5 2 6" xfId="2683" xr:uid="{00000000-0005-0000-0000-00005B200000}"/>
    <cellStyle name="Normal 9 5 2 6 2" xfId="6968" xr:uid="{00000000-0005-0000-0000-00005C200000}"/>
    <cellStyle name="Normal 9 5 2 6 2 2" xfId="15397" xr:uid="{5E04B790-934C-43F5-807F-E62991790920}"/>
    <cellStyle name="Normal 9 5 2 6 2 3" xfId="28030" xr:uid="{17176B3D-3569-4AFB-931C-7616BA9B3C80}"/>
    <cellStyle name="Normal 9 5 2 6 3" xfId="11179" xr:uid="{053BCA2B-5E00-431D-9EDE-72C4F400CBCF}"/>
    <cellStyle name="Normal 9 5 2 6 3 2" xfId="23819" xr:uid="{3708BF25-25B5-4330-9DE4-9A219BE3B43E}"/>
    <cellStyle name="Normal 9 5 2 6 4" xfId="19608" xr:uid="{F2BFAEF8-CD6E-4256-99F4-F500EC142100}"/>
    <cellStyle name="Normal 9 5 2 7" xfId="4903" xr:uid="{00000000-0005-0000-0000-00005D200000}"/>
    <cellStyle name="Normal 9 5 2 7 2" xfId="13332" xr:uid="{F4EB5C02-5A4D-48D5-96C6-23EF8777D605}"/>
    <cellStyle name="Normal 9 5 2 7 3" xfId="25965" xr:uid="{BB64E768-F646-429D-B1FE-2E8D93BC399A}"/>
    <cellStyle name="Normal 9 5 2 8" xfId="9114" xr:uid="{D7398A81-2986-4021-B7D5-E1E356B5FDF4}"/>
    <cellStyle name="Normal 9 5 2 8 2" xfId="21754" xr:uid="{635A75B8-DF3E-4E2C-9001-2748E76D6F69}"/>
    <cellStyle name="Normal 9 5 2 9" xfId="17543" xr:uid="{0ABE7A91-B4F7-4417-92FC-1E67FB85F491}"/>
    <cellStyle name="Normal 9 5 3" xfId="1004" xr:uid="{00000000-0005-0000-0000-00005E200000}"/>
    <cellStyle name="Normal 9 5 3 2" xfId="3236" xr:uid="{00000000-0005-0000-0000-00005F200000}"/>
    <cellStyle name="Normal 9 5 3 2 2" xfId="7460" xr:uid="{00000000-0005-0000-0000-000060200000}"/>
    <cellStyle name="Normal 9 5 3 2 2 2" xfId="15889" xr:uid="{DCA2AEBE-7EBC-44C1-BBEB-B3F9FEDF8902}"/>
    <cellStyle name="Normal 9 5 3 2 2 3" xfId="28522" xr:uid="{9ADA148D-6907-4460-889E-70B11DCBD3AE}"/>
    <cellStyle name="Normal 9 5 3 2 3" xfId="11671" xr:uid="{97908E83-C1A2-45BA-819E-59E9302A19C6}"/>
    <cellStyle name="Normal 9 5 3 2 3 2" xfId="24311" xr:uid="{F87DB9B7-4322-48CF-91C1-65169FAB4761}"/>
    <cellStyle name="Normal 9 5 3 2 4" xfId="20100" xr:uid="{3E8AEC75-C830-48AC-87D7-B5B345437926}"/>
    <cellStyle name="Normal 9 5 3 3" xfId="5315" xr:uid="{00000000-0005-0000-0000-000061200000}"/>
    <cellStyle name="Normal 9 5 3 3 2" xfId="13744" xr:uid="{6815C377-D341-45D0-BCAC-0AE3750C02FB}"/>
    <cellStyle name="Normal 9 5 3 3 3" xfId="26377" xr:uid="{07E3C60C-797D-4E0F-BAB0-2BBEFAA044BD}"/>
    <cellStyle name="Normal 9 5 3 4" xfId="9526" xr:uid="{38FBA44D-3FC0-43BE-A83D-5EB1AF7C43EC}"/>
    <cellStyle name="Normal 9 5 3 4 2" xfId="22166" xr:uid="{BA8C59E9-CBEB-4E43-8CB4-277F8E8A188F}"/>
    <cellStyle name="Normal 9 5 3 5" xfId="17955" xr:uid="{C241F96A-1BBF-4670-9CE2-EB55E2CE5070}"/>
    <cellStyle name="Normal 9 5 4" xfId="1419" xr:uid="{00000000-0005-0000-0000-000062200000}"/>
    <cellStyle name="Normal 9 5 4 2" xfId="3649" xr:uid="{00000000-0005-0000-0000-000063200000}"/>
    <cellStyle name="Normal 9 5 4 2 2" xfId="7873" xr:uid="{00000000-0005-0000-0000-000064200000}"/>
    <cellStyle name="Normal 9 5 4 2 2 2" xfId="16302" xr:uid="{04F4DFBF-99B4-4355-9E36-CAE8D3CF8C47}"/>
    <cellStyle name="Normal 9 5 4 2 2 3" xfId="28935" xr:uid="{5896FA5C-110D-4441-94EF-0485CC3A8CE7}"/>
    <cellStyle name="Normal 9 5 4 2 3" xfId="12084" xr:uid="{1BF90288-D5BF-4657-8E79-6F9542CE2C70}"/>
    <cellStyle name="Normal 9 5 4 2 3 2" xfId="24724" xr:uid="{A2DF3E02-3C9D-4014-B74C-CD90E56D00B9}"/>
    <cellStyle name="Normal 9 5 4 2 4" xfId="20513" xr:uid="{019B4E2E-D7CD-4EC7-8500-E5877EDA679F}"/>
    <cellStyle name="Normal 9 5 4 3" xfId="5728" xr:uid="{00000000-0005-0000-0000-000065200000}"/>
    <cellStyle name="Normal 9 5 4 3 2" xfId="14157" xr:uid="{324EC0AE-0150-4CE4-9BF2-D677F1ED59BB}"/>
    <cellStyle name="Normal 9 5 4 3 3" xfId="26790" xr:uid="{F605931F-3ECD-45F1-BB0C-6AA7116B2BE4}"/>
    <cellStyle name="Normal 9 5 4 4" xfId="9939" xr:uid="{E32C6D5B-024E-4F17-B63A-E64D3D89ADDF}"/>
    <cellStyle name="Normal 9 5 4 4 2" xfId="22579" xr:uid="{C3F5BBC4-203F-45BE-898C-1DCC66EB3616}"/>
    <cellStyle name="Normal 9 5 4 5" xfId="18368" xr:uid="{259D4BF3-2E09-4256-B193-F7EC7E4B4587}"/>
    <cellStyle name="Normal 9 5 5" xfId="1832" xr:uid="{00000000-0005-0000-0000-000066200000}"/>
    <cellStyle name="Normal 9 5 5 2" xfId="4062" xr:uid="{00000000-0005-0000-0000-000067200000}"/>
    <cellStyle name="Normal 9 5 5 2 2" xfId="8286" xr:uid="{00000000-0005-0000-0000-000068200000}"/>
    <cellStyle name="Normal 9 5 5 2 2 2" xfId="16715" xr:uid="{1A85162C-1403-4508-9A31-77CB57E2128B}"/>
    <cellStyle name="Normal 9 5 5 2 2 3" xfId="29348" xr:uid="{54EE35DF-C3EE-4184-9CF9-C455433190B9}"/>
    <cellStyle name="Normal 9 5 5 2 3" xfId="12497" xr:uid="{A6E521B7-91A9-4CB7-A2D1-F4B32455F96A}"/>
    <cellStyle name="Normal 9 5 5 2 3 2" xfId="25137" xr:uid="{23A11B36-BDF4-480F-ADBD-5109DE45F454}"/>
    <cellStyle name="Normal 9 5 5 2 4" xfId="20926" xr:uid="{3A614251-DE6A-4A52-A2F8-A97074C12DA9}"/>
    <cellStyle name="Normal 9 5 5 3" xfId="6141" xr:uid="{00000000-0005-0000-0000-000069200000}"/>
    <cellStyle name="Normal 9 5 5 3 2" xfId="14570" xr:uid="{6C1669A7-BF48-4A27-B701-6CE73E43913F}"/>
    <cellStyle name="Normal 9 5 5 3 3" xfId="27203" xr:uid="{685D8708-E0E8-4887-B628-C73216C02C62}"/>
    <cellStyle name="Normal 9 5 5 4" xfId="10352" xr:uid="{46910991-A238-4EFF-BAA1-E40E50D7E710}"/>
    <cellStyle name="Normal 9 5 5 4 2" xfId="22992" xr:uid="{F9971F1B-24E8-493A-B957-310ABD33058C}"/>
    <cellStyle name="Normal 9 5 5 5" xfId="18781" xr:uid="{CB7C8781-C30F-4485-80A6-D82D596D64E6}"/>
    <cellStyle name="Normal 9 5 6" xfId="2246" xr:uid="{00000000-0005-0000-0000-00006A200000}"/>
    <cellStyle name="Normal 9 5 6 2" xfId="4475" xr:uid="{00000000-0005-0000-0000-00006B200000}"/>
    <cellStyle name="Normal 9 5 6 2 2" xfId="8699" xr:uid="{00000000-0005-0000-0000-00006C200000}"/>
    <cellStyle name="Normal 9 5 6 2 2 2" xfId="17128" xr:uid="{9B5B9551-49C6-4F77-9712-BE7475F17C26}"/>
    <cellStyle name="Normal 9 5 6 2 2 3" xfId="29761" xr:uid="{A009120C-E00F-422C-9D3D-A53F97D4398B}"/>
    <cellStyle name="Normal 9 5 6 2 3" xfId="12910" xr:uid="{13F9922D-3E7C-412B-A49A-120DEB8C6BFC}"/>
    <cellStyle name="Normal 9 5 6 2 3 2" xfId="25550" xr:uid="{F97898AF-DB54-4B0F-A501-64CBCE377E9C}"/>
    <cellStyle name="Normal 9 5 6 2 4" xfId="21339" xr:uid="{5EB976E1-35A9-4616-B787-75501C595222}"/>
    <cellStyle name="Normal 9 5 6 3" xfId="6554" xr:uid="{00000000-0005-0000-0000-00006D200000}"/>
    <cellStyle name="Normal 9 5 6 3 2" xfId="14983" xr:uid="{D189CEB7-4F65-4F40-A404-394D732EF563}"/>
    <cellStyle name="Normal 9 5 6 3 3" xfId="27616" xr:uid="{F7E262D6-0100-401C-A0CE-BAADA90F0B66}"/>
    <cellStyle name="Normal 9 5 6 4" xfId="10765" xr:uid="{4210C393-75CE-47EF-826A-736116EBC664}"/>
    <cellStyle name="Normal 9 5 6 4 2" xfId="23405" xr:uid="{22E288F9-32DD-4080-8819-42E23D5BC9EF}"/>
    <cellStyle name="Normal 9 5 6 5" xfId="19194" xr:uid="{D85ACAAC-3BDF-4E4F-9792-8478181333C4}"/>
    <cellStyle name="Normal 9 5 7" xfId="2682" xr:uid="{00000000-0005-0000-0000-00006E200000}"/>
    <cellStyle name="Normal 9 5 7 2" xfId="6967" xr:uid="{00000000-0005-0000-0000-00006F200000}"/>
    <cellStyle name="Normal 9 5 7 2 2" xfId="15396" xr:uid="{9D6B056E-4A71-47D5-A45F-93079DA9F099}"/>
    <cellStyle name="Normal 9 5 7 2 3" xfId="28029" xr:uid="{8FA5DC6E-AC95-4269-BDDD-76F3BE937736}"/>
    <cellStyle name="Normal 9 5 7 3" xfId="11178" xr:uid="{45438D43-0652-4F65-965F-A6D0DCD96DEE}"/>
    <cellStyle name="Normal 9 5 7 3 2" xfId="23818" xr:uid="{E0BDB362-B33B-43E2-95C9-CBFC8489A4D3}"/>
    <cellStyle name="Normal 9 5 7 4" xfId="19607" xr:uid="{D117FEC3-3C94-42B1-BE2B-32729D88CC0B}"/>
    <cellStyle name="Normal 9 5 8" xfId="4902" xr:uid="{00000000-0005-0000-0000-000070200000}"/>
    <cellStyle name="Normal 9 5 8 2" xfId="13331" xr:uid="{213743C2-3E91-44EF-8BDD-8BDAB3476B4F}"/>
    <cellStyle name="Normal 9 5 8 3" xfId="25964" xr:uid="{059A562F-90CC-4ED2-A384-752328EA39F4}"/>
    <cellStyle name="Normal 9 5 9" xfId="9113" xr:uid="{C991E90B-2EB7-4B08-B0B9-09C9A167E4F7}"/>
    <cellStyle name="Normal 9 5 9 2" xfId="21753" xr:uid="{28CEA9B5-9A19-4401-B960-A04C99A2AAFC}"/>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58A39425-AC3D-4188-A2DC-C01B5E125500}"/>
    <cellStyle name="Normal 9 6 2 2 2 3" xfId="28524" xr:uid="{2FCA2A60-9F4E-43D9-92D9-9AD425F3470D}"/>
    <cellStyle name="Normal 9 6 2 2 3" xfId="11673" xr:uid="{15884A70-6150-4D59-9EDB-7086722FB522}"/>
    <cellStyle name="Normal 9 6 2 2 3 2" xfId="24313" xr:uid="{1D7668B3-420B-4F11-A0E9-294F6E260F60}"/>
    <cellStyle name="Normal 9 6 2 2 4" xfId="20102" xr:uid="{70C94D0E-58AC-4657-BBAB-4B03B0E38766}"/>
    <cellStyle name="Normal 9 6 2 3" xfId="5317" xr:uid="{00000000-0005-0000-0000-000075200000}"/>
    <cellStyle name="Normal 9 6 2 3 2" xfId="13746" xr:uid="{E8AC7D4A-E8C3-4A6D-AC2D-3B1EBAC36ED5}"/>
    <cellStyle name="Normal 9 6 2 3 3" xfId="26379" xr:uid="{0DFC2122-C4C8-4AEE-AE8F-70C939A25D85}"/>
    <cellStyle name="Normal 9 6 2 4" xfId="9528" xr:uid="{9B28A332-B94E-4DB6-A183-D37F25A33E3B}"/>
    <cellStyle name="Normal 9 6 2 4 2" xfId="22168" xr:uid="{C48301E1-180D-4CCA-9C02-8C01A0DB7568}"/>
    <cellStyle name="Normal 9 6 2 5" xfId="17957" xr:uid="{87D8F75A-9FF1-4ADE-9906-D3EA7CF2DDAA}"/>
    <cellStyle name="Normal 9 6 3" xfId="1421" xr:uid="{00000000-0005-0000-0000-000076200000}"/>
    <cellStyle name="Normal 9 6 3 2" xfId="3651" xr:uid="{00000000-0005-0000-0000-000077200000}"/>
    <cellStyle name="Normal 9 6 3 2 2" xfId="7875" xr:uid="{00000000-0005-0000-0000-000078200000}"/>
    <cellStyle name="Normal 9 6 3 2 2 2" xfId="16304" xr:uid="{2FA72FC4-10A2-4579-9942-EFED52CA9010}"/>
    <cellStyle name="Normal 9 6 3 2 2 3" xfId="28937" xr:uid="{27D54F5C-8E33-4DCC-B8A9-847B778A6CB0}"/>
    <cellStyle name="Normal 9 6 3 2 3" xfId="12086" xr:uid="{CA013C21-F55A-43B1-91C0-2DB8E77C7B85}"/>
    <cellStyle name="Normal 9 6 3 2 3 2" xfId="24726" xr:uid="{C0EF2610-4184-4885-B9C0-ED66D5961BF2}"/>
    <cellStyle name="Normal 9 6 3 2 4" xfId="20515" xr:uid="{CB3507A0-2467-4032-A181-14D2CD81CD8B}"/>
    <cellStyle name="Normal 9 6 3 3" xfId="5730" xr:uid="{00000000-0005-0000-0000-000079200000}"/>
    <cellStyle name="Normal 9 6 3 3 2" xfId="14159" xr:uid="{B088D947-964D-4BC6-8F11-E5B39A5B99E1}"/>
    <cellStyle name="Normal 9 6 3 3 3" xfId="26792" xr:uid="{09291CC2-2643-43D6-AFEA-410958BAF9EF}"/>
    <cellStyle name="Normal 9 6 3 4" xfId="9941" xr:uid="{1B39AD5A-B195-4DD1-B21B-5E785CE8D4D2}"/>
    <cellStyle name="Normal 9 6 3 4 2" xfId="22581" xr:uid="{54E1B966-770C-4F7F-BE0C-F0BBCBE6F19B}"/>
    <cellStyle name="Normal 9 6 3 5" xfId="18370" xr:uid="{4947D8AB-A3F3-4682-9EA8-E9568200A4D8}"/>
    <cellStyle name="Normal 9 6 4" xfId="1834" xr:uid="{00000000-0005-0000-0000-00007A200000}"/>
    <cellStyle name="Normal 9 6 4 2" xfId="4064" xr:uid="{00000000-0005-0000-0000-00007B200000}"/>
    <cellStyle name="Normal 9 6 4 2 2" xfId="8288" xr:uid="{00000000-0005-0000-0000-00007C200000}"/>
    <cellStyle name="Normal 9 6 4 2 2 2" xfId="16717" xr:uid="{E906543A-C7C8-46DD-9855-B866CE99293D}"/>
    <cellStyle name="Normal 9 6 4 2 2 3" xfId="29350" xr:uid="{65AE7795-3973-4700-8F78-48CCAE0ED86A}"/>
    <cellStyle name="Normal 9 6 4 2 3" xfId="12499" xr:uid="{334646D2-3A9F-4799-BCE2-1629311CFA22}"/>
    <cellStyle name="Normal 9 6 4 2 3 2" xfId="25139" xr:uid="{3F8902A2-E99B-4324-A9C3-A98692DD2EE8}"/>
    <cellStyle name="Normal 9 6 4 2 4" xfId="20928" xr:uid="{E8A24DBB-BB13-4983-A5F3-C36EB696B46D}"/>
    <cellStyle name="Normal 9 6 4 3" xfId="6143" xr:uid="{00000000-0005-0000-0000-00007D200000}"/>
    <cellStyle name="Normal 9 6 4 3 2" xfId="14572" xr:uid="{B07E8C4F-D081-403C-B806-E0EE1A9C5054}"/>
    <cellStyle name="Normal 9 6 4 3 3" xfId="27205" xr:uid="{0C1707C9-49F0-4025-9EDC-296CD3A4C334}"/>
    <cellStyle name="Normal 9 6 4 4" xfId="10354" xr:uid="{ADFB18C4-3DD4-4A65-AC6E-2381273A507D}"/>
    <cellStyle name="Normal 9 6 4 4 2" xfId="22994" xr:uid="{995D6E4E-D664-43F3-A5F7-8EA7A78DC9E4}"/>
    <cellStyle name="Normal 9 6 4 5" xfId="18783" xr:uid="{A1D1828F-4444-4501-8B68-9B6638D5B76E}"/>
    <cellStyle name="Normal 9 6 5" xfId="2248" xr:uid="{00000000-0005-0000-0000-00007E200000}"/>
    <cellStyle name="Normal 9 6 5 2" xfId="4477" xr:uid="{00000000-0005-0000-0000-00007F200000}"/>
    <cellStyle name="Normal 9 6 5 2 2" xfId="8701" xr:uid="{00000000-0005-0000-0000-000080200000}"/>
    <cellStyle name="Normal 9 6 5 2 2 2" xfId="17130" xr:uid="{EDEDEB90-635E-4C5F-A014-2D63AFC1C0DC}"/>
    <cellStyle name="Normal 9 6 5 2 2 3" xfId="29763" xr:uid="{3C0DAE3B-8A42-4FBC-9D7F-74F5547C1728}"/>
    <cellStyle name="Normal 9 6 5 2 3" xfId="12912" xr:uid="{6CF1A036-1D86-4D9E-AB6E-06E942CC3E41}"/>
    <cellStyle name="Normal 9 6 5 2 3 2" xfId="25552" xr:uid="{4D79D80D-2415-4A49-BC70-31CE4E1381B6}"/>
    <cellStyle name="Normal 9 6 5 2 4" xfId="21341" xr:uid="{D3AF20BD-D993-4BB0-9435-3793FB4341D5}"/>
    <cellStyle name="Normal 9 6 5 3" xfId="6556" xr:uid="{00000000-0005-0000-0000-000081200000}"/>
    <cellStyle name="Normal 9 6 5 3 2" xfId="14985" xr:uid="{28DCCB18-2A55-4ED3-A5B1-C81136E634CA}"/>
    <cellStyle name="Normal 9 6 5 3 3" xfId="27618" xr:uid="{A4D46793-D11F-4A48-9F33-29DD607F36D1}"/>
    <cellStyle name="Normal 9 6 5 4" xfId="10767" xr:uid="{7971CA95-A3D1-4EF4-9F99-CCD201885862}"/>
    <cellStyle name="Normal 9 6 5 4 2" xfId="23407" xr:uid="{05DE1A51-19BD-46B6-B022-A22DBFEA41B3}"/>
    <cellStyle name="Normal 9 6 5 5" xfId="19196" xr:uid="{A244E501-CAB6-4645-A5B0-D63B5090427B}"/>
    <cellStyle name="Normal 9 6 6" xfId="2684" xr:uid="{00000000-0005-0000-0000-000082200000}"/>
    <cellStyle name="Normal 9 6 6 2" xfId="6969" xr:uid="{00000000-0005-0000-0000-000083200000}"/>
    <cellStyle name="Normal 9 6 6 2 2" xfId="15398" xr:uid="{DABFF6DB-D60A-4A72-91DE-3DC6C1A7CAB7}"/>
    <cellStyle name="Normal 9 6 6 2 3" xfId="28031" xr:uid="{B095A97A-6CA1-4C18-BC19-7C8225E38D59}"/>
    <cellStyle name="Normal 9 6 6 3" xfId="11180" xr:uid="{DF5F011C-1862-4E57-8425-306B243BB020}"/>
    <cellStyle name="Normal 9 6 6 3 2" xfId="23820" xr:uid="{FE67D927-27AC-4488-85D6-EE8C23E04CF2}"/>
    <cellStyle name="Normal 9 6 6 4" xfId="19609" xr:uid="{3ED65FD3-CB89-4181-BABA-3EAEA896E6EB}"/>
    <cellStyle name="Normal 9 6 7" xfId="4904" xr:uid="{00000000-0005-0000-0000-000084200000}"/>
    <cellStyle name="Normal 9 6 7 2" xfId="13333" xr:uid="{40B21C93-FDBB-45B0-8745-C3F869CC8ADF}"/>
    <cellStyle name="Normal 9 6 7 3" xfId="25966" xr:uid="{16E8D120-DBEB-4087-931F-765192E5F5A8}"/>
    <cellStyle name="Normal 9 6 8" xfId="9115" xr:uid="{9B343C7D-FE94-4AB9-94E5-B964CB2BD700}"/>
    <cellStyle name="Normal 9 6 8 2" xfId="21755" xr:uid="{A3758C47-72B5-4CD5-914D-26F3DA479445}"/>
    <cellStyle name="Normal 9 6 9" xfId="17544" xr:uid="{7464A60F-17B1-4795-AA24-BB04099F898D}"/>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A37BB49B-7A3C-4B4A-94CE-86C183D4FD4A}"/>
    <cellStyle name="Note 2 2 10 2 3" xfId="28112" xr:uid="{96E0B32C-8F97-4AE3-A854-197AE677C4EA}"/>
    <cellStyle name="Note 2 2 10 3" xfId="11261" xr:uid="{307FC570-1147-4D2A-A261-F0D19B557209}"/>
    <cellStyle name="Note 2 2 10 3 2" xfId="23901" xr:uid="{953B5956-CB52-4079-893E-9C8C3D44736C}"/>
    <cellStyle name="Note 2 2 10 4" xfId="19690" xr:uid="{65E4C94B-6ADD-4116-865B-0D863B5B43F4}"/>
    <cellStyle name="Note 2 2 11" xfId="4905" xr:uid="{00000000-0005-0000-0000-000093200000}"/>
    <cellStyle name="Note 2 2 11 2" xfId="13334" xr:uid="{EE8A2E6C-8E32-4811-9AB6-336C20D87264}"/>
    <cellStyle name="Note 2 2 11 3" xfId="25967" xr:uid="{CAC57ACB-ED37-46F4-8820-C45EFC829872}"/>
    <cellStyle name="Note 2 2 12" xfId="9116" xr:uid="{6583923A-64FC-49E2-9459-1C30BBEDCD54}"/>
    <cellStyle name="Note 2 2 12 2" xfId="21756" xr:uid="{A5642F8F-4F51-43F2-9CC6-D0D8B8D01789}"/>
    <cellStyle name="Note 2 2 13" xfId="17545" xr:uid="{65E59D6B-BFFC-4E5A-A87E-F9A7C0E160D9}"/>
    <cellStyle name="Note 2 2 2" xfId="547" xr:uid="{00000000-0005-0000-0000-000094200000}"/>
    <cellStyle name="Note 2 2 2 10" xfId="4906" xr:uid="{00000000-0005-0000-0000-000095200000}"/>
    <cellStyle name="Note 2 2 2 10 2" xfId="13335" xr:uid="{AEAA9BA0-CB0D-46CD-8E1F-C018F18B68ED}"/>
    <cellStyle name="Note 2 2 2 10 3" xfId="25968" xr:uid="{E88557E1-CFBB-4FDA-B531-3DDF55BDB932}"/>
    <cellStyle name="Note 2 2 2 11" xfId="9117" xr:uid="{4D9FCEF2-ABD3-4061-936D-443C3E18826B}"/>
    <cellStyle name="Note 2 2 2 11 2" xfId="21757" xr:uid="{E032C44D-F039-4BC4-87CC-84367F597397}"/>
    <cellStyle name="Note 2 2 2 12" xfId="17546" xr:uid="{9F46CB13-384B-4A5C-9A5A-9F6D2A7EE7D9}"/>
    <cellStyle name="Note 2 2 2 2" xfId="548" xr:uid="{00000000-0005-0000-0000-000096200000}"/>
    <cellStyle name="Note 2 2 2 2 10" xfId="9118" xr:uid="{53FF5184-A252-4942-81B5-038510E95235}"/>
    <cellStyle name="Note 2 2 2 2 10 2" xfId="21758" xr:uid="{1D6C3A92-1E1A-4176-9B7F-A9C1C4BAE51E}"/>
    <cellStyle name="Note 2 2 2 2 11" xfId="17547" xr:uid="{28932E2B-DAED-4F5D-9873-DF35DD662598}"/>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1EEEDA8B-F04E-4505-B06A-43FD28DC7F4F}"/>
    <cellStyle name="Note 2 2 2 2 2 2 2 3" xfId="28527" xr:uid="{3F865B95-685A-4006-A745-3D0A31F3606C}"/>
    <cellStyle name="Note 2 2 2 2 2 2 3" xfId="11676" xr:uid="{1EFEE21F-0799-4A71-A32E-1BAB5E27BE21}"/>
    <cellStyle name="Note 2 2 2 2 2 2 3 2" xfId="24316" xr:uid="{8E286AAB-CB2D-42EE-9FBF-212DA8E2AEDC}"/>
    <cellStyle name="Note 2 2 2 2 2 2 4" xfId="20105" xr:uid="{036B66D1-ADB3-48E3-AD67-EEF1874593FD}"/>
    <cellStyle name="Note 2 2 2 2 2 3" xfId="5320" xr:uid="{00000000-0005-0000-0000-00009A200000}"/>
    <cellStyle name="Note 2 2 2 2 2 3 2" xfId="13749" xr:uid="{69659FF2-47B9-4C72-A945-760342481A9E}"/>
    <cellStyle name="Note 2 2 2 2 2 3 3" xfId="26382" xr:uid="{0FBE6128-887C-4C34-A9B4-1B0B917946BF}"/>
    <cellStyle name="Note 2 2 2 2 2 4" xfId="9531" xr:uid="{484D9419-619B-40AE-89D9-BD30C46B341B}"/>
    <cellStyle name="Note 2 2 2 2 2 4 2" xfId="22171" xr:uid="{F10C9004-196E-4146-A6BB-9CC385F8A0B0}"/>
    <cellStyle name="Note 2 2 2 2 2 5" xfId="17960" xr:uid="{139A19D5-5F9E-4E36-8D6A-9AF7613E5573}"/>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0632D0D5-D4A8-4A59-A5CC-0D7A9B0FFEFE}"/>
    <cellStyle name="Note 2 2 2 2 3 2 2 3" xfId="28940" xr:uid="{77F6FFB1-E013-45CC-904D-035D70FAC5D2}"/>
    <cellStyle name="Note 2 2 2 2 3 2 3" xfId="12089" xr:uid="{4DB87A04-2C5F-4E68-94F3-DDF4465C3C1D}"/>
    <cellStyle name="Note 2 2 2 2 3 2 3 2" xfId="24729" xr:uid="{E7D9168E-154D-4435-A791-3C4916B71148}"/>
    <cellStyle name="Note 2 2 2 2 3 2 4" xfId="20518" xr:uid="{82AA3C73-C28D-474F-8BC8-C913787ED500}"/>
    <cellStyle name="Note 2 2 2 2 3 3" xfId="5733" xr:uid="{00000000-0005-0000-0000-00009E200000}"/>
    <cellStyle name="Note 2 2 2 2 3 3 2" xfId="14162" xr:uid="{50692D1A-5F49-41B0-8BDB-7F4F53E400C5}"/>
    <cellStyle name="Note 2 2 2 2 3 3 3" xfId="26795" xr:uid="{AB9424EA-67EE-41B0-BCD5-CC0CBED898B5}"/>
    <cellStyle name="Note 2 2 2 2 3 4" xfId="9944" xr:uid="{98CEDD73-7190-4B31-8E5C-A664D7775E1B}"/>
    <cellStyle name="Note 2 2 2 2 3 4 2" xfId="22584" xr:uid="{A865CD17-03F8-491A-9ABA-38D0E706283E}"/>
    <cellStyle name="Note 2 2 2 2 3 5" xfId="18373" xr:uid="{7CFEBD30-AAFB-4C85-B1EA-11F5C83B08F0}"/>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B9D07DB7-A1B0-4618-8C92-62DA1A86DC72}"/>
    <cellStyle name="Note 2 2 2 2 4 2 2 3" xfId="29353" xr:uid="{626ECE5E-5B81-4E9C-9709-C94808098BA4}"/>
    <cellStyle name="Note 2 2 2 2 4 2 3" xfId="12502" xr:uid="{B7D1A86A-6ABD-4571-99A2-D05616E34B79}"/>
    <cellStyle name="Note 2 2 2 2 4 2 3 2" xfId="25142" xr:uid="{B490D693-F8FD-4820-A625-CAD48E3DEFAC}"/>
    <cellStyle name="Note 2 2 2 2 4 2 4" xfId="20931" xr:uid="{D7F49CAA-F13A-4644-854D-ACD4B6807BE5}"/>
    <cellStyle name="Note 2 2 2 2 4 3" xfId="6146" xr:uid="{00000000-0005-0000-0000-0000A2200000}"/>
    <cellStyle name="Note 2 2 2 2 4 3 2" xfId="14575" xr:uid="{365E2BCD-B4F3-4F10-A732-9E5D5AF2857A}"/>
    <cellStyle name="Note 2 2 2 2 4 3 3" xfId="27208" xr:uid="{94C2A315-CC34-4B55-9E5D-89F0BE736BCB}"/>
    <cellStyle name="Note 2 2 2 2 4 4" xfId="10357" xr:uid="{9899917B-BF9A-43E9-8EC1-96965F0004F6}"/>
    <cellStyle name="Note 2 2 2 2 4 4 2" xfId="22997" xr:uid="{96AB2155-3CBB-4CA2-AE26-C0531C311DB0}"/>
    <cellStyle name="Note 2 2 2 2 4 5" xfId="18786" xr:uid="{99DB0D4F-04FC-4605-8FA0-4EE94BB899AE}"/>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387E631F-7375-4B06-A886-2B6BDA7C9DDD}"/>
    <cellStyle name="Note 2 2 2 2 5 2 2 3" xfId="29766" xr:uid="{A208F51A-7E70-4E6B-AD2D-83D434DC0832}"/>
    <cellStyle name="Note 2 2 2 2 5 2 3" xfId="12915" xr:uid="{7946D036-BBCA-4A60-A59D-7700105978D7}"/>
    <cellStyle name="Note 2 2 2 2 5 2 3 2" xfId="25555" xr:uid="{1EDA866A-5297-4145-AF4C-B67B9F9162C1}"/>
    <cellStyle name="Note 2 2 2 2 5 2 4" xfId="21344" xr:uid="{B27783D8-1176-4F85-AF0D-7F7FCAC50FAD}"/>
    <cellStyle name="Note 2 2 2 2 5 3" xfId="6559" xr:uid="{00000000-0005-0000-0000-0000A6200000}"/>
    <cellStyle name="Note 2 2 2 2 5 3 2" xfId="14988" xr:uid="{B31661CA-25EF-4F30-A59D-A8A6B8636F97}"/>
    <cellStyle name="Note 2 2 2 2 5 3 3" xfId="27621" xr:uid="{0572A195-23D7-40E6-9780-EB7A02F9AB5D}"/>
    <cellStyle name="Note 2 2 2 2 5 4" xfId="10770" xr:uid="{2814685E-F773-4527-AE21-350547A3FD57}"/>
    <cellStyle name="Note 2 2 2 2 5 4 2" xfId="23410" xr:uid="{010D44A1-D87B-45A9-A93C-1403532D1B56}"/>
    <cellStyle name="Note 2 2 2 2 5 5" xfId="19199" xr:uid="{6543F9C6-D7AA-4341-8578-F09EE246DDB7}"/>
    <cellStyle name="Note 2 2 2 2 6" xfId="2687" xr:uid="{00000000-0005-0000-0000-0000A7200000}"/>
    <cellStyle name="Note 2 2 2 2 6 2" xfId="6972" xr:uid="{00000000-0005-0000-0000-0000A8200000}"/>
    <cellStyle name="Note 2 2 2 2 6 2 2" xfId="15401" xr:uid="{4F9507E7-F9AB-4BFD-8062-2165CE4C0671}"/>
    <cellStyle name="Note 2 2 2 2 6 2 3" xfId="28034" xr:uid="{A6DEC5CC-8690-4056-B802-C9D37AF88940}"/>
    <cellStyle name="Note 2 2 2 2 6 3" xfId="11183" xr:uid="{A2A06B12-39DF-4FB6-91EE-41BA33AE7024}"/>
    <cellStyle name="Note 2 2 2 2 6 3 2" xfId="23823" xr:uid="{5529DC1D-269C-4D01-AA34-DABCFF292923}"/>
    <cellStyle name="Note 2 2 2 2 6 4" xfId="19612" xr:uid="{4D892835-B20D-4223-A6A7-2798F06F1288}"/>
    <cellStyle name="Note 2 2 2 2 7" xfId="2746" xr:uid="{00000000-0005-0000-0000-0000A9200000}"/>
    <cellStyle name="Note 2 2 2 2 8" xfId="2827" xr:uid="{00000000-0005-0000-0000-0000AA200000}"/>
    <cellStyle name="Note 2 2 2 2 8 2" xfId="7052" xr:uid="{00000000-0005-0000-0000-0000AB200000}"/>
    <cellStyle name="Note 2 2 2 2 8 2 2" xfId="15481" xr:uid="{3404F990-58D8-4A64-A277-92C1D3C80D40}"/>
    <cellStyle name="Note 2 2 2 2 8 2 3" xfId="28114" xr:uid="{03C93D0C-111D-4FB6-B021-A44EE41F5A18}"/>
    <cellStyle name="Note 2 2 2 2 8 3" xfId="11263" xr:uid="{6321B9D2-B881-49B3-A9A2-00D9EB856DD1}"/>
    <cellStyle name="Note 2 2 2 2 8 3 2" xfId="23903" xr:uid="{190533D3-27DB-4D8E-B22C-78EE057422EB}"/>
    <cellStyle name="Note 2 2 2 2 8 4" xfId="19692" xr:uid="{6F2FC98B-5B93-4A80-9A6A-983C3D099799}"/>
    <cellStyle name="Note 2 2 2 2 9" xfId="4907" xr:uid="{00000000-0005-0000-0000-0000AC200000}"/>
    <cellStyle name="Note 2 2 2 2 9 2" xfId="13336" xr:uid="{22419CB9-236E-4B1C-B41C-B1E0E2D2B403}"/>
    <cellStyle name="Note 2 2 2 2 9 3" xfId="25969" xr:uid="{EF6F6515-D060-47AD-90C2-12B538B71265}"/>
    <cellStyle name="Note 2 2 2 3" xfId="1008" xr:uid="{00000000-0005-0000-0000-0000AD200000}"/>
    <cellStyle name="Note 2 2 2 3 2" xfId="3240" xr:uid="{00000000-0005-0000-0000-0000AE200000}"/>
    <cellStyle name="Note 2 2 2 3 2 2" xfId="7464" xr:uid="{00000000-0005-0000-0000-0000AF200000}"/>
    <cellStyle name="Note 2 2 2 3 2 2 2" xfId="15893" xr:uid="{FA94118B-4826-450A-8934-9C9CB86FC6DA}"/>
    <cellStyle name="Note 2 2 2 3 2 2 3" xfId="28526" xr:uid="{09B30302-21D6-4EE8-AB34-65023F9C3C78}"/>
    <cellStyle name="Note 2 2 2 3 2 3" xfId="11675" xr:uid="{38BEACF7-472E-42B8-A00A-73574EFF0C8C}"/>
    <cellStyle name="Note 2 2 2 3 2 3 2" xfId="24315" xr:uid="{E3688F81-8770-494A-B6A3-D8EDB0DDDAD0}"/>
    <cellStyle name="Note 2 2 2 3 2 4" xfId="20104" xr:uid="{B9F9C8C3-E003-4E3A-AA63-71C88CEBAF70}"/>
    <cellStyle name="Note 2 2 2 3 3" xfId="5319" xr:uid="{00000000-0005-0000-0000-0000B0200000}"/>
    <cellStyle name="Note 2 2 2 3 3 2" xfId="13748" xr:uid="{4EC4A695-A83D-4185-B29C-7F1213189E08}"/>
    <cellStyle name="Note 2 2 2 3 3 3" xfId="26381" xr:uid="{06554BD5-B835-431C-B6C4-4C59DA41B88C}"/>
    <cellStyle name="Note 2 2 2 3 4" xfId="9530" xr:uid="{A10F0C99-C536-4DDD-9CD0-7131F568166A}"/>
    <cellStyle name="Note 2 2 2 3 4 2" xfId="22170" xr:uid="{2920EA16-228F-4FC9-B270-E46308E9D88A}"/>
    <cellStyle name="Note 2 2 2 3 5" xfId="17959" xr:uid="{9BC4ACC8-27B1-4D29-AFC1-FB36E9462FBF}"/>
    <cellStyle name="Note 2 2 2 4" xfId="1423" xr:uid="{00000000-0005-0000-0000-0000B1200000}"/>
    <cellStyle name="Note 2 2 2 4 2" xfId="3653" xr:uid="{00000000-0005-0000-0000-0000B2200000}"/>
    <cellStyle name="Note 2 2 2 4 2 2" xfId="7877" xr:uid="{00000000-0005-0000-0000-0000B3200000}"/>
    <cellStyle name="Note 2 2 2 4 2 2 2" xfId="16306" xr:uid="{C931C547-AFBE-49F7-9363-90B66DCE1F0C}"/>
    <cellStyle name="Note 2 2 2 4 2 2 3" xfId="28939" xr:uid="{24812A8F-7D8D-411B-A309-8692D562E5CE}"/>
    <cellStyle name="Note 2 2 2 4 2 3" xfId="12088" xr:uid="{46566BBC-2045-45ED-A734-5353C529F92B}"/>
    <cellStyle name="Note 2 2 2 4 2 3 2" xfId="24728" xr:uid="{E5F35779-3EB6-4303-BCAA-37C4C49A4FC3}"/>
    <cellStyle name="Note 2 2 2 4 2 4" xfId="20517" xr:uid="{0AF956CE-0D5F-4BCF-A0A3-850A0FEAEC16}"/>
    <cellStyle name="Note 2 2 2 4 3" xfId="5732" xr:uid="{00000000-0005-0000-0000-0000B4200000}"/>
    <cellStyle name="Note 2 2 2 4 3 2" xfId="14161" xr:uid="{0373D5B6-269B-4E07-BA0E-579E34B0AB52}"/>
    <cellStyle name="Note 2 2 2 4 3 3" xfId="26794" xr:uid="{07079EA3-64F8-400A-8C0B-F058E6B01130}"/>
    <cellStyle name="Note 2 2 2 4 4" xfId="9943" xr:uid="{5F6F3B94-1657-41FC-BE5B-646F28FDE388}"/>
    <cellStyle name="Note 2 2 2 4 4 2" xfId="22583" xr:uid="{B2E14E07-D0AD-49A1-A578-4A65A3AFAA80}"/>
    <cellStyle name="Note 2 2 2 4 5" xfId="18372" xr:uid="{26005A8B-FB85-4C55-A54B-0660CD2924A7}"/>
    <cellStyle name="Note 2 2 2 5" xfId="1837" xr:uid="{00000000-0005-0000-0000-0000B5200000}"/>
    <cellStyle name="Note 2 2 2 5 2" xfId="4066" xr:uid="{00000000-0005-0000-0000-0000B6200000}"/>
    <cellStyle name="Note 2 2 2 5 2 2" xfId="8290" xr:uid="{00000000-0005-0000-0000-0000B7200000}"/>
    <cellStyle name="Note 2 2 2 5 2 2 2" xfId="16719" xr:uid="{49E8948A-6397-4171-AD7F-05885C4A1CF2}"/>
    <cellStyle name="Note 2 2 2 5 2 2 3" xfId="29352" xr:uid="{E952A57A-2047-49A2-A4D7-F5F0D157E7CE}"/>
    <cellStyle name="Note 2 2 2 5 2 3" xfId="12501" xr:uid="{D2F26E45-B239-4629-AD83-38F345820022}"/>
    <cellStyle name="Note 2 2 2 5 2 3 2" xfId="25141" xr:uid="{66F7EC77-B2CD-474D-8B9A-C06BEC812D99}"/>
    <cellStyle name="Note 2 2 2 5 2 4" xfId="20930" xr:uid="{9707909E-CFCD-4C31-B93A-DB944970BBCF}"/>
    <cellStyle name="Note 2 2 2 5 3" xfId="6145" xr:uid="{00000000-0005-0000-0000-0000B8200000}"/>
    <cellStyle name="Note 2 2 2 5 3 2" xfId="14574" xr:uid="{1B14432F-912E-4A80-B988-5B0F9CCA449A}"/>
    <cellStyle name="Note 2 2 2 5 3 3" xfId="27207" xr:uid="{58A33D46-62AA-47BD-8471-40FDD769099C}"/>
    <cellStyle name="Note 2 2 2 5 4" xfId="10356" xr:uid="{1D675DBF-A5B4-4523-A54B-71831117D727}"/>
    <cellStyle name="Note 2 2 2 5 4 2" xfId="22996" xr:uid="{0CD202E7-2808-4D65-9A6E-F91B12352458}"/>
    <cellStyle name="Note 2 2 2 5 5" xfId="18785" xr:uid="{F55F7B72-9796-4EE4-8119-7806D3D68FDB}"/>
    <cellStyle name="Note 2 2 2 6" xfId="2250" xr:uid="{00000000-0005-0000-0000-0000B9200000}"/>
    <cellStyle name="Note 2 2 2 6 2" xfId="4479" xr:uid="{00000000-0005-0000-0000-0000BA200000}"/>
    <cellStyle name="Note 2 2 2 6 2 2" xfId="8703" xr:uid="{00000000-0005-0000-0000-0000BB200000}"/>
    <cellStyle name="Note 2 2 2 6 2 2 2" xfId="17132" xr:uid="{43EF732A-1CC0-4263-B15C-BF8BCEF37087}"/>
    <cellStyle name="Note 2 2 2 6 2 2 3" xfId="29765" xr:uid="{AFADA85C-E521-4EF4-A7ED-D50176123B7E}"/>
    <cellStyle name="Note 2 2 2 6 2 3" xfId="12914" xr:uid="{86FD40EC-295F-45E0-B059-71027911C4C5}"/>
    <cellStyle name="Note 2 2 2 6 2 3 2" xfId="25554" xr:uid="{B769C2ED-9F82-44FF-8378-C56FB6791959}"/>
    <cellStyle name="Note 2 2 2 6 2 4" xfId="21343" xr:uid="{E41C0AAE-D01E-4AB7-AE4E-0A2707D201DB}"/>
    <cellStyle name="Note 2 2 2 6 3" xfId="6558" xr:uid="{00000000-0005-0000-0000-0000BC200000}"/>
    <cellStyle name="Note 2 2 2 6 3 2" xfId="14987" xr:uid="{30DB866D-972B-4296-B656-20EE447F651C}"/>
    <cellStyle name="Note 2 2 2 6 3 3" xfId="27620" xr:uid="{FDA39416-10BC-4014-BAE9-2FA0D0F3F255}"/>
    <cellStyle name="Note 2 2 2 6 4" xfId="10769" xr:uid="{A4EB33BD-70E3-4E79-B743-49581F0AA7D2}"/>
    <cellStyle name="Note 2 2 2 6 4 2" xfId="23409" xr:uid="{5B485DEF-5EF5-4734-A906-E6CD976AAB91}"/>
    <cellStyle name="Note 2 2 2 6 5" xfId="19198" xr:uid="{8BCF3BD8-6294-491B-8DCD-A1AD6C4B572D}"/>
    <cellStyle name="Note 2 2 2 7" xfId="2686" xr:uid="{00000000-0005-0000-0000-0000BD200000}"/>
    <cellStyle name="Note 2 2 2 7 2" xfId="6971" xr:uid="{00000000-0005-0000-0000-0000BE200000}"/>
    <cellStyle name="Note 2 2 2 7 2 2" xfId="15400" xr:uid="{EDD8C202-1CCB-451B-BA2B-88299167AF5D}"/>
    <cellStyle name="Note 2 2 2 7 2 3" xfId="28033" xr:uid="{69F6C470-D0C9-4B77-8E8F-DCD324B40A7D}"/>
    <cellStyle name="Note 2 2 2 7 3" xfId="11182" xr:uid="{A0D5781A-F933-474A-98AC-2B7C47EEB638}"/>
    <cellStyle name="Note 2 2 2 7 3 2" xfId="23822" xr:uid="{6531C9A7-CB0C-479D-8E9D-8BF1670FBACD}"/>
    <cellStyle name="Note 2 2 2 7 4" xfId="19611" xr:uid="{AF490E24-338C-4D2F-8781-B0E6D1244EF2}"/>
    <cellStyle name="Note 2 2 2 8" xfId="2745" xr:uid="{00000000-0005-0000-0000-0000BF200000}"/>
    <cellStyle name="Note 2 2 2 9" xfId="2826" xr:uid="{00000000-0005-0000-0000-0000C0200000}"/>
    <cellStyle name="Note 2 2 2 9 2" xfId="7051" xr:uid="{00000000-0005-0000-0000-0000C1200000}"/>
    <cellStyle name="Note 2 2 2 9 2 2" xfId="15480" xr:uid="{1B7705F2-0163-4BEC-A296-B95B257AF32C}"/>
    <cellStyle name="Note 2 2 2 9 2 3" xfId="28113" xr:uid="{D47347CF-9078-44CD-B605-C3D7D12C9BF5}"/>
    <cellStyle name="Note 2 2 2 9 3" xfId="11262" xr:uid="{F79D3CE0-C000-498A-A229-EFC6EBBAF151}"/>
    <cellStyle name="Note 2 2 2 9 3 2" xfId="23902" xr:uid="{1CADCCD0-AB5D-4466-A514-3E867EECAA99}"/>
    <cellStyle name="Note 2 2 2 9 4" xfId="19691" xr:uid="{566661B0-42D8-4217-9FC2-41730E27EC74}"/>
    <cellStyle name="Note 2 2 3" xfId="549" xr:uid="{00000000-0005-0000-0000-0000C2200000}"/>
    <cellStyle name="Note 2 2 3 10" xfId="9119" xr:uid="{6A2878E0-0EAC-42FC-962E-A442A5650A43}"/>
    <cellStyle name="Note 2 2 3 10 2" xfId="21759" xr:uid="{C3BC2D22-77B5-4CC1-8FE1-064FEFA37A23}"/>
    <cellStyle name="Note 2 2 3 11" xfId="17548" xr:uid="{4388D2D1-5ACD-4809-B878-4C4A66FFEADF}"/>
    <cellStyle name="Note 2 2 3 2" xfId="1010" xr:uid="{00000000-0005-0000-0000-0000C3200000}"/>
    <cellStyle name="Note 2 2 3 2 2" xfId="3242" xr:uid="{00000000-0005-0000-0000-0000C4200000}"/>
    <cellStyle name="Note 2 2 3 2 2 2" xfId="7466" xr:uid="{00000000-0005-0000-0000-0000C5200000}"/>
    <cellStyle name="Note 2 2 3 2 2 2 2" xfId="15895" xr:uid="{5061715C-F2BE-4B7A-B151-3517DA41DEF2}"/>
    <cellStyle name="Note 2 2 3 2 2 2 3" xfId="28528" xr:uid="{44BBADBF-31C2-4334-90DB-D555810E0545}"/>
    <cellStyle name="Note 2 2 3 2 2 3" xfId="11677" xr:uid="{ED74B5BC-B398-48F8-BE0C-7DC4F62403ED}"/>
    <cellStyle name="Note 2 2 3 2 2 3 2" xfId="24317" xr:uid="{6DFB019B-9275-4672-9F57-A256D4F25CD3}"/>
    <cellStyle name="Note 2 2 3 2 2 4" xfId="20106" xr:uid="{3980E0EE-D14F-4901-AEF8-089A6BD712F6}"/>
    <cellStyle name="Note 2 2 3 2 3" xfId="5321" xr:uid="{00000000-0005-0000-0000-0000C6200000}"/>
    <cellStyle name="Note 2 2 3 2 3 2" xfId="13750" xr:uid="{CA34D5E0-50C5-42A8-A0B6-274C8F284749}"/>
    <cellStyle name="Note 2 2 3 2 3 3" xfId="26383" xr:uid="{EFF8BD47-946D-43DB-8B23-23EFD48E1CDE}"/>
    <cellStyle name="Note 2 2 3 2 4" xfId="9532" xr:uid="{D43883EA-406E-453C-A4C0-5B91F66C1D52}"/>
    <cellStyle name="Note 2 2 3 2 4 2" xfId="22172" xr:uid="{9A87E88C-1C67-44D1-A4D9-44F75DFF68A9}"/>
    <cellStyle name="Note 2 2 3 2 5" xfId="17961" xr:uid="{122C9E1A-E8AE-4B08-AA82-F8D36015E2EE}"/>
    <cellStyle name="Note 2 2 3 3" xfId="1425" xr:uid="{00000000-0005-0000-0000-0000C7200000}"/>
    <cellStyle name="Note 2 2 3 3 2" xfId="3655" xr:uid="{00000000-0005-0000-0000-0000C8200000}"/>
    <cellStyle name="Note 2 2 3 3 2 2" xfId="7879" xr:uid="{00000000-0005-0000-0000-0000C9200000}"/>
    <cellStyle name="Note 2 2 3 3 2 2 2" xfId="16308" xr:uid="{092C7559-B654-4255-9503-B60B4B94DAC7}"/>
    <cellStyle name="Note 2 2 3 3 2 2 3" xfId="28941" xr:uid="{6D4FFACD-B94E-4961-BD42-BD22999A6BA1}"/>
    <cellStyle name="Note 2 2 3 3 2 3" xfId="12090" xr:uid="{B622A092-6FF9-49CF-9716-EAB8412B27A4}"/>
    <cellStyle name="Note 2 2 3 3 2 3 2" xfId="24730" xr:uid="{AC70D71E-564D-4384-AD26-51F76F934AF6}"/>
    <cellStyle name="Note 2 2 3 3 2 4" xfId="20519" xr:uid="{B92B66C3-295A-476B-AAA5-E3010C9893DE}"/>
    <cellStyle name="Note 2 2 3 3 3" xfId="5734" xr:uid="{00000000-0005-0000-0000-0000CA200000}"/>
    <cellStyle name="Note 2 2 3 3 3 2" xfId="14163" xr:uid="{2F57F167-1994-4998-AF03-FAAABD556F33}"/>
    <cellStyle name="Note 2 2 3 3 3 3" xfId="26796" xr:uid="{63C0AA11-1223-4687-AF3B-0DCFEE994F57}"/>
    <cellStyle name="Note 2 2 3 3 4" xfId="9945" xr:uid="{AA718F5B-9D7D-4427-B6F7-49DEACFE2C5D}"/>
    <cellStyle name="Note 2 2 3 3 4 2" xfId="22585" xr:uid="{1DE47EDC-287D-4C57-AA88-9DEA0BF82D00}"/>
    <cellStyle name="Note 2 2 3 3 5" xfId="18374" xr:uid="{4984B72C-CC54-49A9-A511-CCBAEB30023B}"/>
    <cellStyle name="Note 2 2 3 4" xfId="1839" xr:uid="{00000000-0005-0000-0000-0000CB200000}"/>
    <cellStyle name="Note 2 2 3 4 2" xfId="4068" xr:uid="{00000000-0005-0000-0000-0000CC200000}"/>
    <cellStyle name="Note 2 2 3 4 2 2" xfId="8292" xr:uid="{00000000-0005-0000-0000-0000CD200000}"/>
    <cellStyle name="Note 2 2 3 4 2 2 2" xfId="16721" xr:uid="{F45F7B98-1ABE-4BB9-95F7-0C9990014437}"/>
    <cellStyle name="Note 2 2 3 4 2 2 3" xfId="29354" xr:uid="{4BEF4D14-B92A-4BEF-BC79-18B280322EC1}"/>
    <cellStyle name="Note 2 2 3 4 2 3" xfId="12503" xr:uid="{B6CDB7F4-401C-44F5-B3CA-B384C9C20443}"/>
    <cellStyle name="Note 2 2 3 4 2 3 2" xfId="25143" xr:uid="{4ECE3AF2-E705-4B33-9BD9-A2931A0EDD6E}"/>
    <cellStyle name="Note 2 2 3 4 2 4" xfId="20932" xr:uid="{11D98738-2250-4678-B9F7-CF79B8792C43}"/>
    <cellStyle name="Note 2 2 3 4 3" xfId="6147" xr:uid="{00000000-0005-0000-0000-0000CE200000}"/>
    <cellStyle name="Note 2 2 3 4 3 2" xfId="14576" xr:uid="{224D4CDF-CE2C-4EE5-98FB-08F39A78AEB3}"/>
    <cellStyle name="Note 2 2 3 4 3 3" xfId="27209" xr:uid="{37926E0F-AA67-4CA2-A534-60FBB9A5F67F}"/>
    <cellStyle name="Note 2 2 3 4 4" xfId="10358" xr:uid="{60A9C86B-7A11-422C-A942-7D21AA1FD7F1}"/>
    <cellStyle name="Note 2 2 3 4 4 2" xfId="22998" xr:uid="{021FE199-59A7-49AE-B2B9-9E241D0A5D91}"/>
    <cellStyle name="Note 2 2 3 4 5" xfId="18787" xr:uid="{6A3F7B67-A126-4259-8931-ED78DB243DB1}"/>
    <cellStyle name="Note 2 2 3 5" xfId="2252" xr:uid="{00000000-0005-0000-0000-0000CF200000}"/>
    <cellStyle name="Note 2 2 3 5 2" xfId="4481" xr:uid="{00000000-0005-0000-0000-0000D0200000}"/>
    <cellStyle name="Note 2 2 3 5 2 2" xfId="8705" xr:uid="{00000000-0005-0000-0000-0000D1200000}"/>
    <cellStyle name="Note 2 2 3 5 2 2 2" xfId="17134" xr:uid="{938D4376-953A-45BE-95B2-159D516EBCE2}"/>
    <cellStyle name="Note 2 2 3 5 2 2 3" xfId="29767" xr:uid="{21539885-FAB5-41AE-9C75-B96A0DD97AA9}"/>
    <cellStyle name="Note 2 2 3 5 2 3" xfId="12916" xr:uid="{6761637E-328D-472D-82AC-65E6382CA5DB}"/>
    <cellStyle name="Note 2 2 3 5 2 3 2" xfId="25556" xr:uid="{F15659C9-F4CB-47F3-AF3F-6FA5A50022A9}"/>
    <cellStyle name="Note 2 2 3 5 2 4" xfId="21345" xr:uid="{BD07CA3B-58DC-45A4-8E50-0E9665962D06}"/>
    <cellStyle name="Note 2 2 3 5 3" xfId="6560" xr:uid="{00000000-0005-0000-0000-0000D2200000}"/>
    <cellStyle name="Note 2 2 3 5 3 2" xfId="14989" xr:uid="{E44CDAB1-19FC-4A9B-A6C2-52A4A53E7489}"/>
    <cellStyle name="Note 2 2 3 5 3 3" xfId="27622" xr:uid="{DE7979FD-BD2B-4E02-813A-FAD48D364D76}"/>
    <cellStyle name="Note 2 2 3 5 4" xfId="10771" xr:uid="{A520196E-0BE2-4FEC-81B5-06F2DC7DAB8D}"/>
    <cellStyle name="Note 2 2 3 5 4 2" xfId="23411" xr:uid="{57E3838C-1629-46A9-9DC3-B5A83BF82548}"/>
    <cellStyle name="Note 2 2 3 5 5" xfId="19200" xr:uid="{F5F4A208-0DFB-4B52-A849-64BA653BDF65}"/>
    <cellStyle name="Note 2 2 3 6" xfId="2688" xr:uid="{00000000-0005-0000-0000-0000D3200000}"/>
    <cellStyle name="Note 2 2 3 6 2" xfId="6973" xr:uid="{00000000-0005-0000-0000-0000D4200000}"/>
    <cellStyle name="Note 2 2 3 6 2 2" xfId="15402" xr:uid="{ED63BE97-0AC7-44B3-96A5-8EC35FBEC952}"/>
    <cellStyle name="Note 2 2 3 6 2 3" xfId="28035" xr:uid="{4C5ADE20-EB8F-4DC1-B91F-07030AB483B2}"/>
    <cellStyle name="Note 2 2 3 6 3" xfId="11184" xr:uid="{7B3FC257-712C-483C-BC1B-220DED158320}"/>
    <cellStyle name="Note 2 2 3 6 3 2" xfId="23824" xr:uid="{BC10586A-E0C6-4909-8B2F-49F2422B7681}"/>
    <cellStyle name="Note 2 2 3 6 4" xfId="19613" xr:uid="{4E30BAE2-0735-4FF5-86C9-0B9806AD4F9B}"/>
    <cellStyle name="Note 2 2 3 7" xfId="2747" xr:uid="{00000000-0005-0000-0000-0000D5200000}"/>
    <cellStyle name="Note 2 2 3 8" xfId="2828" xr:uid="{00000000-0005-0000-0000-0000D6200000}"/>
    <cellStyle name="Note 2 2 3 8 2" xfId="7053" xr:uid="{00000000-0005-0000-0000-0000D7200000}"/>
    <cellStyle name="Note 2 2 3 8 2 2" xfId="15482" xr:uid="{86B54B0E-5688-4D90-B975-ED952296F997}"/>
    <cellStyle name="Note 2 2 3 8 2 3" xfId="28115" xr:uid="{DF4B9A33-F6DB-47D8-9903-79925B2CCFD6}"/>
    <cellStyle name="Note 2 2 3 8 3" xfId="11264" xr:uid="{9C4C8FCB-884C-4C54-9721-E2BBD2A5839F}"/>
    <cellStyle name="Note 2 2 3 8 3 2" xfId="23904" xr:uid="{A8272E4F-1DDC-404B-8D46-6148E4E42339}"/>
    <cellStyle name="Note 2 2 3 8 4" xfId="19693" xr:uid="{3AB29488-3BB1-49CE-BCCE-FE2FECEF4805}"/>
    <cellStyle name="Note 2 2 3 9" xfId="4908" xr:uid="{00000000-0005-0000-0000-0000D8200000}"/>
    <cellStyle name="Note 2 2 3 9 2" xfId="13337" xr:uid="{C6B9AE54-EEB3-44DD-9847-A8F7BA447F6F}"/>
    <cellStyle name="Note 2 2 3 9 3" xfId="25970" xr:uid="{F962A6C6-1B8E-45E1-8124-5BE340AD58A7}"/>
    <cellStyle name="Note 2 2 4" xfId="1007" xr:uid="{00000000-0005-0000-0000-0000D9200000}"/>
    <cellStyle name="Note 2 2 4 2" xfId="3239" xr:uid="{00000000-0005-0000-0000-0000DA200000}"/>
    <cellStyle name="Note 2 2 4 2 2" xfId="7463" xr:uid="{00000000-0005-0000-0000-0000DB200000}"/>
    <cellStyle name="Note 2 2 4 2 2 2" xfId="15892" xr:uid="{7157ADF6-671F-4FEC-BCA3-8436C472510F}"/>
    <cellStyle name="Note 2 2 4 2 2 3" xfId="28525" xr:uid="{5E07D11B-9F8F-4DAF-B36E-E85EE3DA4389}"/>
    <cellStyle name="Note 2 2 4 2 3" xfId="11674" xr:uid="{108A50F5-9F91-4E17-B52E-2AFA5F4AD3A0}"/>
    <cellStyle name="Note 2 2 4 2 3 2" xfId="24314" xr:uid="{B66B1A97-1B67-46D0-83A7-FB9EB5F2C8F4}"/>
    <cellStyle name="Note 2 2 4 2 4" xfId="20103" xr:uid="{BC1A0B18-EDF2-44AB-B150-9CBDCAC3E199}"/>
    <cellStyle name="Note 2 2 4 3" xfId="5318" xr:uid="{00000000-0005-0000-0000-0000DC200000}"/>
    <cellStyle name="Note 2 2 4 3 2" xfId="13747" xr:uid="{EB5B7A18-E7A8-44ED-B1AF-855023FDDC72}"/>
    <cellStyle name="Note 2 2 4 3 3" xfId="26380" xr:uid="{2D610F18-A868-42D0-90D0-4E439C7BEDFD}"/>
    <cellStyle name="Note 2 2 4 4" xfId="9529" xr:uid="{E4D3143F-5009-4822-8945-6DC242ABD661}"/>
    <cellStyle name="Note 2 2 4 4 2" xfId="22169" xr:uid="{0D002425-5320-4800-9608-7878A8D7297C}"/>
    <cellStyle name="Note 2 2 4 5" xfId="17958" xr:uid="{CD66268E-B90D-4B6E-B2B5-94F245362AD0}"/>
    <cellStyle name="Note 2 2 5" xfId="1422" xr:uid="{00000000-0005-0000-0000-0000DD200000}"/>
    <cellStyle name="Note 2 2 5 2" xfId="3652" xr:uid="{00000000-0005-0000-0000-0000DE200000}"/>
    <cellStyle name="Note 2 2 5 2 2" xfId="7876" xr:uid="{00000000-0005-0000-0000-0000DF200000}"/>
    <cellStyle name="Note 2 2 5 2 2 2" xfId="16305" xr:uid="{09F8D8D0-1E2A-4314-A34B-A29D2113B38F}"/>
    <cellStyle name="Note 2 2 5 2 2 3" xfId="28938" xr:uid="{1E8C0788-195F-4D28-ACA7-D43DDF3451EC}"/>
    <cellStyle name="Note 2 2 5 2 3" xfId="12087" xr:uid="{623A32A7-DE06-4345-94D7-80E67C52B21B}"/>
    <cellStyle name="Note 2 2 5 2 3 2" xfId="24727" xr:uid="{E81BB30F-271C-48A8-8AAE-9CC997717725}"/>
    <cellStyle name="Note 2 2 5 2 4" xfId="20516" xr:uid="{F5E2D2DE-6163-430E-A2B6-146ABF04A904}"/>
    <cellStyle name="Note 2 2 5 3" xfId="5731" xr:uid="{00000000-0005-0000-0000-0000E0200000}"/>
    <cellStyle name="Note 2 2 5 3 2" xfId="14160" xr:uid="{FF852127-6FEE-41AE-923F-EC16C1F5FB03}"/>
    <cellStyle name="Note 2 2 5 3 3" xfId="26793" xr:uid="{18FA5FEE-B91E-49E6-978D-B6093AE5B67E}"/>
    <cellStyle name="Note 2 2 5 4" xfId="9942" xr:uid="{CDD25342-4DBD-4498-A658-6A1382688ECA}"/>
    <cellStyle name="Note 2 2 5 4 2" xfId="22582" xr:uid="{6476010F-6A16-4E58-A9C8-E817C24DFA8A}"/>
    <cellStyle name="Note 2 2 5 5" xfId="18371" xr:uid="{1F31B52E-E689-438C-AFD4-EED6F95D4A17}"/>
    <cellStyle name="Note 2 2 6" xfId="1836" xr:uid="{00000000-0005-0000-0000-0000E1200000}"/>
    <cellStyle name="Note 2 2 6 2" xfId="4065" xr:uid="{00000000-0005-0000-0000-0000E2200000}"/>
    <cellStyle name="Note 2 2 6 2 2" xfId="8289" xr:uid="{00000000-0005-0000-0000-0000E3200000}"/>
    <cellStyle name="Note 2 2 6 2 2 2" xfId="16718" xr:uid="{DB5CBEDB-18BB-4C3D-9E27-9FAF20AC0F6A}"/>
    <cellStyle name="Note 2 2 6 2 2 3" xfId="29351" xr:uid="{153747EE-55F9-47BD-A7E5-C21CD90E0CF2}"/>
    <cellStyle name="Note 2 2 6 2 3" xfId="12500" xr:uid="{8FB170A7-584B-4AA6-8061-4F46D15BA80E}"/>
    <cellStyle name="Note 2 2 6 2 3 2" xfId="25140" xr:uid="{EAA07BAA-B15A-4EF8-8B1F-7122F2DF1DC1}"/>
    <cellStyle name="Note 2 2 6 2 4" xfId="20929" xr:uid="{5E53E659-74B3-48DF-A27E-54B8818DD8F7}"/>
    <cellStyle name="Note 2 2 6 3" xfId="6144" xr:uid="{00000000-0005-0000-0000-0000E4200000}"/>
    <cellStyle name="Note 2 2 6 3 2" xfId="14573" xr:uid="{0E5A321A-C589-4CDF-80DD-75284CD7036D}"/>
    <cellStyle name="Note 2 2 6 3 3" xfId="27206" xr:uid="{0B11FC11-890F-491F-95D3-36DDD6CC82E8}"/>
    <cellStyle name="Note 2 2 6 4" xfId="10355" xr:uid="{DBA8BE55-7DBE-448A-B006-183E3919347E}"/>
    <cellStyle name="Note 2 2 6 4 2" xfId="22995" xr:uid="{0786534C-9276-4DEB-8141-049152199269}"/>
    <cellStyle name="Note 2 2 6 5" xfId="18784" xr:uid="{652E15CC-EFD3-43DB-BE30-5B6F78C54995}"/>
    <cellStyle name="Note 2 2 7" xfId="2249" xr:uid="{00000000-0005-0000-0000-0000E5200000}"/>
    <cellStyle name="Note 2 2 7 2" xfId="4478" xr:uid="{00000000-0005-0000-0000-0000E6200000}"/>
    <cellStyle name="Note 2 2 7 2 2" xfId="8702" xr:uid="{00000000-0005-0000-0000-0000E7200000}"/>
    <cellStyle name="Note 2 2 7 2 2 2" xfId="17131" xr:uid="{5667AA20-340F-4E69-977D-29CCEFCADEA3}"/>
    <cellStyle name="Note 2 2 7 2 2 3" xfId="29764" xr:uid="{9AC0A5F1-2038-4251-A3F1-7EA32BFEDB20}"/>
    <cellStyle name="Note 2 2 7 2 3" xfId="12913" xr:uid="{F1FC1B91-6BB7-43CA-8027-907F78935531}"/>
    <cellStyle name="Note 2 2 7 2 3 2" xfId="25553" xr:uid="{113559AA-31BE-476D-9CD2-481191BDE7E9}"/>
    <cellStyle name="Note 2 2 7 2 4" xfId="21342" xr:uid="{D0D7AC83-FAEF-4BBF-A670-11940341E460}"/>
    <cellStyle name="Note 2 2 7 3" xfId="6557" xr:uid="{00000000-0005-0000-0000-0000E8200000}"/>
    <cellStyle name="Note 2 2 7 3 2" xfId="14986" xr:uid="{63D0E5DC-8D74-406D-88EA-9FF245437C99}"/>
    <cellStyle name="Note 2 2 7 3 3" xfId="27619" xr:uid="{04A9A8C1-2036-4414-BF8F-37213C4EECB0}"/>
    <cellStyle name="Note 2 2 7 4" xfId="10768" xr:uid="{84E79DE1-067F-47CB-85A6-828AB0F7DAEA}"/>
    <cellStyle name="Note 2 2 7 4 2" xfId="23408" xr:uid="{E85938F6-38A3-4F29-A78D-5D5E83FD2C74}"/>
    <cellStyle name="Note 2 2 7 5" xfId="19197" xr:uid="{EC43E293-E983-4D1F-9F98-7133D9DE84BC}"/>
    <cellStyle name="Note 2 2 8" xfId="2685" xr:uid="{00000000-0005-0000-0000-0000E9200000}"/>
    <cellStyle name="Note 2 2 8 2" xfId="6970" xr:uid="{00000000-0005-0000-0000-0000EA200000}"/>
    <cellStyle name="Note 2 2 8 2 2" xfId="15399" xr:uid="{504E1BB3-C674-4DD2-9FEF-97E288217B88}"/>
    <cellStyle name="Note 2 2 8 2 3" xfId="28032" xr:uid="{F4349CD1-D6B8-42BD-9734-5CA51891303C}"/>
    <cellStyle name="Note 2 2 8 3" xfId="11181" xr:uid="{B761484A-F9F8-4B4F-A0DF-615BC110DC9A}"/>
    <cellStyle name="Note 2 2 8 3 2" xfId="23821" xr:uid="{D7C6F0AA-FEB6-440C-8EE6-DE4ABAA36182}"/>
    <cellStyle name="Note 2 2 8 4" xfId="19610" xr:uid="{0AFC1CE4-EA1A-49F1-AE6C-AFB79EB2A279}"/>
    <cellStyle name="Note 2 2 9" xfId="2744" xr:uid="{00000000-0005-0000-0000-0000EB200000}"/>
    <cellStyle name="Note 2 3" xfId="550" xr:uid="{00000000-0005-0000-0000-0000EC200000}"/>
    <cellStyle name="Note 2 3 10" xfId="4909" xr:uid="{00000000-0005-0000-0000-0000ED200000}"/>
    <cellStyle name="Note 2 3 10 2" xfId="13338" xr:uid="{D688A963-5CCC-4F62-8549-62B63741ED3A}"/>
    <cellStyle name="Note 2 3 10 3" xfId="25971" xr:uid="{AA961A7C-AFE5-4ADE-94BC-0A75CD7C6043}"/>
    <cellStyle name="Note 2 3 11" xfId="9120" xr:uid="{219A48B9-401C-4B22-BC8B-3ED54C7B4C1D}"/>
    <cellStyle name="Note 2 3 11 2" xfId="21760" xr:uid="{C4177F3A-CA94-49BB-8341-37699865D2E5}"/>
    <cellStyle name="Note 2 3 12" xfId="17549" xr:uid="{10130AA4-3195-4403-9F31-D9ADC4F978EC}"/>
    <cellStyle name="Note 2 3 2" xfId="551" xr:uid="{00000000-0005-0000-0000-0000EE200000}"/>
    <cellStyle name="Note 2 3 2 10" xfId="9121" xr:uid="{7A6B275B-51FB-4ACC-BD56-F26CCFE79174}"/>
    <cellStyle name="Note 2 3 2 10 2" xfId="21761" xr:uid="{2C38D2E4-613C-45AC-8488-363189490FE8}"/>
    <cellStyle name="Note 2 3 2 11" xfId="17550" xr:uid="{883ACCD7-6167-4FA2-BD27-06AEA26523FF}"/>
    <cellStyle name="Note 2 3 2 2" xfId="1012" xr:uid="{00000000-0005-0000-0000-0000EF200000}"/>
    <cellStyle name="Note 2 3 2 2 2" xfId="3244" xr:uid="{00000000-0005-0000-0000-0000F0200000}"/>
    <cellStyle name="Note 2 3 2 2 2 2" xfId="7468" xr:uid="{00000000-0005-0000-0000-0000F1200000}"/>
    <cellStyle name="Note 2 3 2 2 2 2 2" xfId="15897" xr:uid="{12B5B080-4781-426C-BDF6-31DA92C1A8E5}"/>
    <cellStyle name="Note 2 3 2 2 2 2 3" xfId="28530" xr:uid="{F2DE1330-D8EF-4965-BD07-5119271AFC08}"/>
    <cellStyle name="Note 2 3 2 2 2 3" xfId="11679" xr:uid="{3AB021CF-4E46-4E46-88EE-1E19EC583ACB}"/>
    <cellStyle name="Note 2 3 2 2 2 3 2" xfId="24319" xr:uid="{823F5789-73FB-4443-8131-ECC9BE7AA41E}"/>
    <cellStyle name="Note 2 3 2 2 2 4" xfId="20108" xr:uid="{6C20673D-AF6E-4795-8377-2C69E95A4B38}"/>
    <cellStyle name="Note 2 3 2 2 3" xfId="5323" xr:uid="{00000000-0005-0000-0000-0000F2200000}"/>
    <cellStyle name="Note 2 3 2 2 3 2" xfId="13752" xr:uid="{D76A3392-C3E7-4594-BAE9-EAEFA7B3E7F3}"/>
    <cellStyle name="Note 2 3 2 2 3 3" xfId="26385" xr:uid="{71DEA82B-5B25-4A11-8E17-FA5B8AF16717}"/>
    <cellStyle name="Note 2 3 2 2 4" xfId="9534" xr:uid="{DA5AEA66-D73D-4AB5-8E16-08541D99139E}"/>
    <cellStyle name="Note 2 3 2 2 4 2" xfId="22174" xr:uid="{9D4FAE90-AF95-4979-B65B-A19447C9AC25}"/>
    <cellStyle name="Note 2 3 2 2 5" xfId="17963" xr:uid="{C2EEB206-BC42-400F-BEB4-40A5FC11CE9F}"/>
    <cellStyle name="Note 2 3 2 3" xfId="1427" xr:uid="{00000000-0005-0000-0000-0000F3200000}"/>
    <cellStyle name="Note 2 3 2 3 2" xfId="3657" xr:uid="{00000000-0005-0000-0000-0000F4200000}"/>
    <cellStyle name="Note 2 3 2 3 2 2" xfId="7881" xr:uid="{00000000-0005-0000-0000-0000F5200000}"/>
    <cellStyle name="Note 2 3 2 3 2 2 2" xfId="16310" xr:uid="{84781054-BDA6-4A1D-A2F3-B55D87319DC3}"/>
    <cellStyle name="Note 2 3 2 3 2 2 3" xfId="28943" xr:uid="{2A7B0487-6CEF-4AAC-A707-1EE804C3FC9B}"/>
    <cellStyle name="Note 2 3 2 3 2 3" xfId="12092" xr:uid="{0FD9C624-C763-4BE3-BCDB-0B7DFB8E25BF}"/>
    <cellStyle name="Note 2 3 2 3 2 3 2" xfId="24732" xr:uid="{9833DDD1-F904-4D09-B2E4-47FB7EEE8429}"/>
    <cellStyle name="Note 2 3 2 3 2 4" xfId="20521" xr:uid="{8151460F-4CF2-4A4B-BB36-D6BFDD3D048D}"/>
    <cellStyle name="Note 2 3 2 3 3" xfId="5736" xr:uid="{00000000-0005-0000-0000-0000F6200000}"/>
    <cellStyle name="Note 2 3 2 3 3 2" xfId="14165" xr:uid="{DBCE33AF-A775-43EF-A24F-CE039286E785}"/>
    <cellStyle name="Note 2 3 2 3 3 3" xfId="26798" xr:uid="{D9A7E7DE-3089-4C98-A0DD-66A9F2C1FDBB}"/>
    <cellStyle name="Note 2 3 2 3 4" xfId="9947" xr:uid="{C805C09B-931C-4C98-989D-D859078DE544}"/>
    <cellStyle name="Note 2 3 2 3 4 2" xfId="22587" xr:uid="{0ED92102-8A3D-44C6-988A-504B2CDB615C}"/>
    <cellStyle name="Note 2 3 2 3 5" xfId="18376" xr:uid="{45926A39-05D7-4258-88E0-6EF4AF5FCD5C}"/>
    <cellStyle name="Note 2 3 2 4" xfId="1841" xr:uid="{00000000-0005-0000-0000-0000F7200000}"/>
    <cellStyle name="Note 2 3 2 4 2" xfId="4070" xr:uid="{00000000-0005-0000-0000-0000F8200000}"/>
    <cellStyle name="Note 2 3 2 4 2 2" xfId="8294" xr:uid="{00000000-0005-0000-0000-0000F9200000}"/>
    <cellStyle name="Note 2 3 2 4 2 2 2" xfId="16723" xr:uid="{DCEDBE51-7C2E-4A5A-8242-EC50767267A6}"/>
    <cellStyle name="Note 2 3 2 4 2 2 3" xfId="29356" xr:uid="{1A3C5EC9-63F9-48D2-B413-44294A40E970}"/>
    <cellStyle name="Note 2 3 2 4 2 3" xfId="12505" xr:uid="{3BA330F0-3AA8-4EAD-9B8F-FD9129F6E823}"/>
    <cellStyle name="Note 2 3 2 4 2 3 2" xfId="25145" xr:uid="{1C1761D2-7BC0-40E4-8E7F-156110807186}"/>
    <cellStyle name="Note 2 3 2 4 2 4" xfId="20934" xr:uid="{0F067CA9-F5D3-4ECC-B636-6E5BBC42E083}"/>
    <cellStyle name="Note 2 3 2 4 3" xfId="6149" xr:uid="{00000000-0005-0000-0000-0000FA200000}"/>
    <cellStyle name="Note 2 3 2 4 3 2" xfId="14578" xr:uid="{94566432-7190-4F17-BE6A-A3AFF3240298}"/>
    <cellStyle name="Note 2 3 2 4 3 3" xfId="27211" xr:uid="{961093AD-D41A-4407-A227-DB1848D27BFC}"/>
    <cellStyle name="Note 2 3 2 4 4" xfId="10360" xr:uid="{DC95F7BF-EDAD-4834-9C99-46B450A92371}"/>
    <cellStyle name="Note 2 3 2 4 4 2" xfId="23000" xr:uid="{3AE4D11D-D070-47C9-BEA7-AE1C593CDAEC}"/>
    <cellStyle name="Note 2 3 2 4 5" xfId="18789" xr:uid="{8F00E61E-D71E-4217-B5D0-6596A91870E4}"/>
    <cellStyle name="Note 2 3 2 5" xfId="2254" xr:uid="{00000000-0005-0000-0000-0000FB200000}"/>
    <cellStyle name="Note 2 3 2 5 2" xfId="4483" xr:uid="{00000000-0005-0000-0000-0000FC200000}"/>
    <cellStyle name="Note 2 3 2 5 2 2" xfId="8707" xr:uid="{00000000-0005-0000-0000-0000FD200000}"/>
    <cellStyle name="Note 2 3 2 5 2 2 2" xfId="17136" xr:uid="{EA223941-CAB5-49B8-8CF0-36A6BD173A48}"/>
    <cellStyle name="Note 2 3 2 5 2 2 3" xfId="29769" xr:uid="{4C39BA0D-72B6-4716-B33C-206D9E729F7E}"/>
    <cellStyle name="Note 2 3 2 5 2 3" xfId="12918" xr:uid="{D9DCBF6B-2663-47C1-A5BA-21ED0949F8F8}"/>
    <cellStyle name="Note 2 3 2 5 2 3 2" xfId="25558" xr:uid="{0FDD32AF-1BDC-4B5A-853E-78E869DB24BD}"/>
    <cellStyle name="Note 2 3 2 5 2 4" xfId="21347" xr:uid="{6DEC8DB8-7340-4139-9E42-F1C23C5A853B}"/>
    <cellStyle name="Note 2 3 2 5 3" xfId="6562" xr:uid="{00000000-0005-0000-0000-0000FE200000}"/>
    <cellStyle name="Note 2 3 2 5 3 2" xfId="14991" xr:uid="{583B0D30-3AFB-46DD-8E26-4AC868A9AC6A}"/>
    <cellStyle name="Note 2 3 2 5 3 3" xfId="27624" xr:uid="{7F581571-E383-4A39-9738-7E6550C06E9A}"/>
    <cellStyle name="Note 2 3 2 5 4" xfId="10773" xr:uid="{1CBCCED9-748E-4BE1-A9CB-C016668C8392}"/>
    <cellStyle name="Note 2 3 2 5 4 2" xfId="23413" xr:uid="{D16CE457-3385-42CF-85F1-3E35CA1C4B84}"/>
    <cellStyle name="Note 2 3 2 5 5" xfId="19202" xr:uid="{C7B61A3F-D149-443B-8DD4-DDFA8B6A9E5B}"/>
    <cellStyle name="Note 2 3 2 6" xfId="2690" xr:uid="{00000000-0005-0000-0000-0000FF200000}"/>
    <cellStyle name="Note 2 3 2 6 2" xfId="6975" xr:uid="{00000000-0005-0000-0000-000000210000}"/>
    <cellStyle name="Note 2 3 2 6 2 2" xfId="15404" xr:uid="{44C965C5-FA68-43CF-99B0-6D844B09F2EB}"/>
    <cellStyle name="Note 2 3 2 6 2 3" xfId="28037" xr:uid="{9FF9F0A4-7118-4140-84AF-9D5C9F3993BC}"/>
    <cellStyle name="Note 2 3 2 6 3" xfId="11186" xr:uid="{ADB009FD-443C-4BDF-B241-EE14B1AB1B5A}"/>
    <cellStyle name="Note 2 3 2 6 3 2" xfId="23826" xr:uid="{B5C3ACA0-E95C-4B0A-B873-0BB6491B231A}"/>
    <cellStyle name="Note 2 3 2 6 4" xfId="19615" xr:uid="{6CB5F3D6-4E4E-48E1-A86D-49370E28BDDD}"/>
    <cellStyle name="Note 2 3 2 7" xfId="2749" xr:uid="{00000000-0005-0000-0000-000001210000}"/>
    <cellStyle name="Note 2 3 2 8" xfId="2830" xr:uid="{00000000-0005-0000-0000-000002210000}"/>
    <cellStyle name="Note 2 3 2 8 2" xfId="7055" xr:uid="{00000000-0005-0000-0000-000003210000}"/>
    <cellStyle name="Note 2 3 2 8 2 2" xfId="15484" xr:uid="{0098F74D-DB4C-4471-945D-0E1F54AD8A40}"/>
    <cellStyle name="Note 2 3 2 8 2 3" xfId="28117" xr:uid="{33834AE9-AD3F-49AF-ABD2-2B63548083AC}"/>
    <cellStyle name="Note 2 3 2 8 3" xfId="11266" xr:uid="{6FE85487-67B8-428E-9A81-4BDFD9FC3E34}"/>
    <cellStyle name="Note 2 3 2 8 3 2" xfId="23906" xr:uid="{BAAC87EA-1FAB-4523-BAB0-4070E669FC81}"/>
    <cellStyle name="Note 2 3 2 8 4" xfId="19695" xr:uid="{21B700CF-E74F-4173-87AB-823869EB4697}"/>
    <cellStyle name="Note 2 3 2 9" xfId="4910" xr:uid="{00000000-0005-0000-0000-000004210000}"/>
    <cellStyle name="Note 2 3 2 9 2" xfId="13339" xr:uid="{CA60EE03-6576-4C58-8CEA-60EF14A2BD1E}"/>
    <cellStyle name="Note 2 3 2 9 3" xfId="25972" xr:uid="{5AC48779-44DD-4DF4-BC02-9D048AF02AFA}"/>
    <cellStyle name="Note 2 3 3" xfId="1011" xr:uid="{00000000-0005-0000-0000-000005210000}"/>
    <cellStyle name="Note 2 3 3 2" xfId="3243" xr:uid="{00000000-0005-0000-0000-000006210000}"/>
    <cellStyle name="Note 2 3 3 2 2" xfId="7467" xr:uid="{00000000-0005-0000-0000-000007210000}"/>
    <cellStyle name="Note 2 3 3 2 2 2" xfId="15896" xr:uid="{06B6CF39-806E-42A6-BCAD-7F2606014913}"/>
    <cellStyle name="Note 2 3 3 2 2 3" xfId="28529" xr:uid="{60427691-856E-4429-8B13-871C102459CA}"/>
    <cellStyle name="Note 2 3 3 2 3" xfId="11678" xr:uid="{FC46FEFC-27CF-4E7B-8314-24EFD6ADD1E4}"/>
    <cellStyle name="Note 2 3 3 2 3 2" xfId="24318" xr:uid="{B6CCBF02-7F90-4B4D-9ED9-A1E6163DE8A0}"/>
    <cellStyle name="Note 2 3 3 2 4" xfId="20107" xr:uid="{02385D31-BD38-4483-9884-39B9850AAC4F}"/>
    <cellStyle name="Note 2 3 3 3" xfId="5322" xr:uid="{00000000-0005-0000-0000-000008210000}"/>
    <cellStyle name="Note 2 3 3 3 2" xfId="13751" xr:uid="{34925361-F4AB-4DE2-A19A-FB51FFD54B61}"/>
    <cellStyle name="Note 2 3 3 3 3" xfId="26384" xr:uid="{9CC81478-5071-4A11-ADBD-156ED6E7DB05}"/>
    <cellStyle name="Note 2 3 3 4" xfId="9533" xr:uid="{4E667D55-FCAF-41FC-9B25-05FF0CF2FE9B}"/>
    <cellStyle name="Note 2 3 3 4 2" xfId="22173" xr:uid="{7547ABCD-C6D4-42ED-B019-C58A263E31C4}"/>
    <cellStyle name="Note 2 3 3 5" xfId="17962" xr:uid="{215E48F9-A479-41A9-A2E6-792D99A485E7}"/>
    <cellStyle name="Note 2 3 4" xfId="1426" xr:uid="{00000000-0005-0000-0000-000009210000}"/>
    <cellStyle name="Note 2 3 4 2" xfId="3656" xr:uid="{00000000-0005-0000-0000-00000A210000}"/>
    <cellStyle name="Note 2 3 4 2 2" xfId="7880" xr:uid="{00000000-0005-0000-0000-00000B210000}"/>
    <cellStyle name="Note 2 3 4 2 2 2" xfId="16309" xr:uid="{1930894C-B9E8-451A-9486-2ED0426F9546}"/>
    <cellStyle name="Note 2 3 4 2 2 3" xfId="28942" xr:uid="{6C4E4030-42B2-4172-ABE0-ABDA5CF8FE22}"/>
    <cellStyle name="Note 2 3 4 2 3" xfId="12091" xr:uid="{40022D07-3F5F-48C3-8623-1810B92D7049}"/>
    <cellStyle name="Note 2 3 4 2 3 2" xfId="24731" xr:uid="{FCBF9AFB-0397-404F-89AE-2FE0D4209578}"/>
    <cellStyle name="Note 2 3 4 2 4" xfId="20520" xr:uid="{BE84909D-A729-4A07-9C1F-73489B095D64}"/>
    <cellStyle name="Note 2 3 4 3" xfId="5735" xr:uid="{00000000-0005-0000-0000-00000C210000}"/>
    <cellStyle name="Note 2 3 4 3 2" xfId="14164" xr:uid="{D3EAF6CD-8C63-4029-A7CC-9D1E1A6444D6}"/>
    <cellStyle name="Note 2 3 4 3 3" xfId="26797" xr:uid="{4E47E9C2-3B11-45CE-81DE-4EC89787B0F7}"/>
    <cellStyle name="Note 2 3 4 4" xfId="9946" xr:uid="{08B91CFD-E1A0-4E89-8A3B-65D9A8DEE242}"/>
    <cellStyle name="Note 2 3 4 4 2" xfId="22586" xr:uid="{3BB93E81-DDC3-48A6-B786-85835B3BA81E}"/>
    <cellStyle name="Note 2 3 4 5" xfId="18375" xr:uid="{B1368C7F-43A3-49C4-A667-C89F1F3FEE77}"/>
    <cellStyle name="Note 2 3 5" xfId="1840" xr:uid="{00000000-0005-0000-0000-00000D210000}"/>
    <cellStyle name="Note 2 3 5 2" xfId="4069" xr:uid="{00000000-0005-0000-0000-00000E210000}"/>
    <cellStyle name="Note 2 3 5 2 2" xfId="8293" xr:uid="{00000000-0005-0000-0000-00000F210000}"/>
    <cellStyle name="Note 2 3 5 2 2 2" xfId="16722" xr:uid="{4893FD18-9120-473B-8AB5-F3A5B137B4E5}"/>
    <cellStyle name="Note 2 3 5 2 2 3" xfId="29355" xr:uid="{0F414031-F5D8-4DB7-A777-9A7A603128EA}"/>
    <cellStyle name="Note 2 3 5 2 3" xfId="12504" xr:uid="{5D87F6CC-9310-4883-8B07-43744B19720C}"/>
    <cellStyle name="Note 2 3 5 2 3 2" xfId="25144" xr:uid="{8BA1C093-42E5-4C19-BB3F-36B876010669}"/>
    <cellStyle name="Note 2 3 5 2 4" xfId="20933" xr:uid="{B95F1A5B-5D35-43DB-9A38-966E60F93A51}"/>
    <cellStyle name="Note 2 3 5 3" xfId="6148" xr:uid="{00000000-0005-0000-0000-000010210000}"/>
    <cellStyle name="Note 2 3 5 3 2" xfId="14577" xr:uid="{AC3F0B1E-5298-4F2F-94A2-9ACBCBB3F0C1}"/>
    <cellStyle name="Note 2 3 5 3 3" xfId="27210" xr:uid="{3902EFE1-2192-4D7C-AE69-0ECCE602772D}"/>
    <cellStyle name="Note 2 3 5 4" xfId="10359" xr:uid="{9372DF2A-80A3-45E1-B6AC-84B0E2E1B4E0}"/>
    <cellStyle name="Note 2 3 5 4 2" xfId="22999" xr:uid="{8E09763C-E86F-4A99-8680-920DA9EE54BA}"/>
    <cellStyle name="Note 2 3 5 5" xfId="18788" xr:uid="{9D5B1ECB-2770-4524-8428-DDA369CC0CE1}"/>
    <cellStyle name="Note 2 3 6" xfId="2253" xr:uid="{00000000-0005-0000-0000-000011210000}"/>
    <cellStyle name="Note 2 3 6 2" xfId="4482" xr:uid="{00000000-0005-0000-0000-000012210000}"/>
    <cellStyle name="Note 2 3 6 2 2" xfId="8706" xr:uid="{00000000-0005-0000-0000-000013210000}"/>
    <cellStyle name="Note 2 3 6 2 2 2" xfId="17135" xr:uid="{5B02941F-54EF-4080-8D4D-F61443123088}"/>
    <cellStyle name="Note 2 3 6 2 2 3" xfId="29768" xr:uid="{0D8C1337-2A71-417F-8E85-DEB016EDCB17}"/>
    <cellStyle name="Note 2 3 6 2 3" xfId="12917" xr:uid="{09A677D9-64EB-4A65-B00C-85DA17AF4A68}"/>
    <cellStyle name="Note 2 3 6 2 3 2" xfId="25557" xr:uid="{72385E06-5D1D-408E-83B5-C240CB2BD421}"/>
    <cellStyle name="Note 2 3 6 2 4" xfId="21346" xr:uid="{8B76C24D-2573-40EB-9F72-E9E72D875002}"/>
    <cellStyle name="Note 2 3 6 3" xfId="6561" xr:uid="{00000000-0005-0000-0000-000014210000}"/>
    <cellStyle name="Note 2 3 6 3 2" xfId="14990" xr:uid="{A11A8A21-D839-483C-A39F-A8F0CF9F191D}"/>
    <cellStyle name="Note 2 3 6 3 3" xfId="27623" xr:uid="{E340B431-A01C-4CDA-8A4C-55376D69540C}"/>
    <cellStyle name="Note 2 3 6 4" xfId="10772" xr:uid="{F8A608CC-4278-44FC-9C0B-A2257EC88B31}"/>
    <cellStyle name="Note 2 3 6 4 2" xfId="23412" xr:uid="{A7E30D10-A9AC-473C-99E1-3D1A6ED16F00}"/>
    <cellStyle name="Note 2 3 6 5" xfId="19201" xr:uid="{18DB8663-E405-443A-A9FC-D558A2A9CE9C}"/>
    <cellStyle name="Note 2 3 7" xfId="2689" xr:uid="{00000000-0005-0000-0000-000015210000}"/>
    <cellStyle name="Note 2 3 7 2" xfId="6974" xr:uid="{00000000-0005-0000-0000-000016210000}"/>
    <cellStyle name="Note 2 3 7 2 2" xfId="15403" xr:uid="{142F1351-7E4F-40FA-981E-6F426C439A66}"/>
    <cellStyle name="Note 2 3 7 2 3" xfId="28036" xr:uid="{8A052549-CDA2-4A4A-ABC4-543935C21B04}"/>
    <cellStyle name="Note 2 3 7 3" xfId="11185" xr:uid="{5A9CCB9C-9403-44F8-98B9-978868D81A5A}"/>
    <cellStyle name="Note 2 3 7 3 2" xfId="23825" xr:uid="{0917D2C3-1B3E-4C47-A870-C4822F7A471E}"/>
    <cellStyle name="Note 2 3 7 4" xfId="19614" xr:uid="{725FC177-2B4B-4687-9118-519CEE81A088}"/>
    <cellStyle name="Note 2 3 8" xfId="2748" xr:uid="{00000000-0005-0000-0000-000017210000}"/>
    <cellStyle name="Note 2 3 9" xfId="2829" xr:uid="{00000000-0005-0000-0000-000018210000}"/>
    <cellStyle name="Note 2 3 9 2" xfId="7054" xr:uid="{00000000-0005-0000-0000-000019210000}"/>
    <cellStyle name="Note 2 3 9 2 2" xfId="15483" xr:uid="{45FFEBA5-6443-4DFD-A56F-107FAB4F7D9D}"/>
    <cellStyle name="Note 2 3 9 2 3" xfId="28116" xr:uid="{17837577-A079-4B5D-8F1F-832630527D99}"/>
    <cellStyle name="Note 2 3 9 3" xfId="11265" xr:uid="{7EF24531-B780-40D4-BB4F-EEA27B5BBD2F}"/>
    <cellStyle name="Note 2 3 9 3 2" xfId="23905" xr:uid="{B4200B28-627C-4112-A965-FD87AFBF3E1E}"/>
    <cellStyle name="Note 2 3 9 4" xfId="19694" xr:uid="{F875EB94-810E-4B50-83C2-2302C99CEA72}"/>
    <cellStyle name="Note 2 4" xfId="552" xr:uid="{00000000-0005-0000-0000-00001A210000}"/>
    <cellStyle name="Note 2 4 10" xfId="9122" xr:uid="{2E52D1C8-B2AC-4EB5-A672-8DCB780078B0}"/>
    <cellStyle name="Note 2 4 10 2" xfId="21762" xr:uid="{97534C79-1C65-4E42-A4C7-E89B74C5F324}"/>
    <cellStyle name="Note 2 4 11" xfId="17551" xr:uid="{D8145936-79C9-4AB8-BD91-F5E8FB6E03DA}"/>
    <cellStyle name="Note 2 4 2" xfId="1013" xr:uid="{00000000-0005-0000-0000-00001B210000}"/>
    <cellStyle name="Note 2 4 2 2" xfId="3245" xr:uid="{00000000-0005-0000-0000-00001C210000}"/>
    <cellStyle name="Note 2 4 2 2 2" xfId="7469" xr:uid="{00000000-0005-0000-0000-00001D210000}"/>
    <cellStyle name="Note 2 4 2 2 2 2" xfId="15898" xr:uid="{AD4DFE03-8D97-46BA-B454-5BF7AB4FC468}"/>
    <cellStyle name="Note 2 4 2 2 2 3" xfId="28531" xr:uid="{09ACFAB2-84DB-40C0-814F-1F445FFADF68}"/>
    <cellStyle name="Note 2 4 2 2 3" xfId="11680" xr:uid="{EAE08170-43D4-448F-A805-AE7769F32B8D}"/>
    <cellStyle name="Note 2 4 2 2 3 2" xfId="24320" xr:uid="{C7638748-2A4D-41B7-9729-CCE10ABC3A4B}"/>
    <cellStyle name="Note 2 4 2 2 4" xfId="20109" xr:uid="{DA84E69D-3199-4ACB-B2A1-22BFD529D01A}"/>
    <cellStyle name="Note 2 4 2 3" xfId="5324" xr:uid="{00000000-0005-0000-0000-00001E210000}"/>
    <cellStyle name="Note 2 4 2 3 2" xfId="13753" xr:uid="{3F6C1448-2C8B-42D0-910D-88E424F04E56}"/>
    <cellStyle name="Note 2 4 2 3 3" xfId="26386" xr:uid="{A3FD7305-AE9C-45AB-A06B-FCFEC4666A6E}"/>
    <cellStyle name="Note 2 4 2 4" xfId="9535" xr:uid="{94909795-9EF4-466F-BDCF-867F85BEB173}"/>
    <cellStyle name="Note 2 4 2 4 2" xfId="22175" xr:uid="{7D5AD398-1E31-4D9D-8A31-69AF90F848B1}"/>
    <cellStyle name="Note 2 4 2 5" xfId="17964" xr:uid="{C6636DD8-2CEC-439C-A33A-DA67A0931F24}"/>
    <cellStyle name="Note 2 4 3" xfId="1428" xr:uid="{00000000-0005-0000-0000-00001F210000}"/>
    <cellStyle name="Note 2 4 3 2" xfId="3658" xr:uid="{00000000-0005-0000-0000-000020210000}"/>
    <cellStyle name="Note 2 4 3 2 2" xfId="7882" xr:uid="{00000000-0005-0000-0000-000021210000}"/>
    <cellStyle name="Note 2 4 3 2 2 2" xfId="16311" xr:uid="{9761DF26-C15D-4295-8D99-1B9B01742D3F}"/>
    <cellStyle name="Note 2 4 3 2 2 3" xfId="28944" xr:uid="{3D91939B-4746-4BD1-86B5-3CDDCC9A354B}"/>
    <cellStyle name="Note 2 4 3 2 3" xfId="12093" xr:uid="{1D32A040-9BDC-49D0-A421-601066AF3647}"/>
    <cellStyle name="Note 2 4 3 2 3 2" xfId="24733" xr:uid="{E6A431AA-770B-4C0F-A25C-FAADE737C3B6}"/>
    <cellStyle name="Note 2 4 3 2 4" xfId="20522" xr:uid="{E10F8A9F-2066-464C-9B73-7915AF206217}"/>
    <cellStyle name="Note 2 4 3 3" xfId="5737" xr:uid="{00000000-0005-0000-0000-000022210000}"/>
    <cellStyle name="Note 2 4 3 3 2" xfId="14166" xr:uid="{C987C762-D51E-4198-A866-AEBD90956A2F}"/>
    <cellStyle name="Note 2 4 3 3 3" xfId="26799" xr:uid="{06ABEB9F-62A6-41F2-B814-38B02EBAF075}"/>
    <cellStyle name="Note 2 4 3 4" xfId="9948" xr:uid="{A7418F38-4DC5-4513-84B1-85B767C073C7}"/>
    <cellStyle name="Note 2 4 3 4 2" xfId="22588" xr:uid="{AE0AE4EE-93D5-47CA-8276-B55AA5C79894}"/>
    <cellStyle name="Note 2 4 3 5" xfId="18377" xr:uid="{24C30D43-2854-4D38-9EA5-51F77352230F}"/>
    <cellStyle name="Note 2 4 4" xfId="1842" xr:uid="{00000000-0005-0000-0000-000023210000}"/>
    <cellStyle name="Note 2 4 4 2" xfId="4071" xr:uid="{00000000-0005-0000-0000-000024210000}"/>
    <cellStyle name="Note 2 4 4 2 2" xfId="8295" xr:uid="{00000000-0005-0000-0000-000025210000}"/>
    <cellStyle name="Note 2 4 4 2 2 2" xfId="16724" xr:uid="{05D6565E-44B1-4F65-8C13-281A932C996A}"/>
    <cellStyle name="Note 2 4 4 2 2 3" xfId="29357" xr:uid="{FC469779-9D66-46D0-82BE-884011695F75}"/>
    <cellStyle name="Note 2 4 4 2 3" xfId="12506" xr:uid="{B5FD42F4-D1EF-4DAD-8355-86AFFD5D5D01}"/>
    <cellStyle name="Note 2 4 4 2 3 2" xfId="25146" xr:uid="{5552ACA7-C96E-4E51-8219-31FC60DB6EDE}"/>
    <cellStyle name="Note 2 4 4 2 4" xfId="20935" xr:uid="{725C72A0-83E6-418F-A775-7085F4A24294}"/>
    <cellStyle name="Note 2 4 4 3" xfId="6150" xr:uid="{00000000-0005-0000-0000-000026210000}"/>
    <cellStyle name="Note 2 4 4 3 2" xfId="14579" xr:uid="{E6F39232-5019-45BE-AFF9-F2D19E7F073C}"/>
    <cellStyle name="Note 2 4 4 3 3" xfId="27212" xr:uid="{C893DF4C-DB94-4AD7-96E2-8C582C0C8694}"/>
    <cellStyle name="Note 2 4 4 4" xfId="10361" xr:uid="{37CC1BCB-3737-4EE7-BD05-D09F2EF3C4DA}"/>
    <cellStyle name="Note 2 4 4 4 2" xfId="23001" xr:uid="{9ADC0DAB-E22B-4765-AEFD-439A233AFF0B}"/>
    <cellStyle name="Note 2 4 4 5" xfId="18790" xr:uid="{8BADEDAC-2CAB-40B0-BCA7-819E9C6C3F70}"/>
    <cellStyle name="Note 2 4 5" xfId="2255" xr:uid="{00000000-0005-0000-0000-000027210000}"/>
    <cellStyle name="Note 2 4 5 2" xfId="4484" xr:uid="{00000000-0005-0000-0000-000028210000}"/>
    <cellStyle name="Note 2 4 5 2 2" xfId="8708" xr:uid="{00000000-0005-0000-0000-000029210000}"/>
    <cellStyle name="Note 2 4 5 2 2 2" xfId="17137" xr:uid="{5708BC0D-D28A-44DE-A0A0-22A3356052DA}"/>
    <cellStyle name="Note 2 4 5 2 2 3" xfId="29770" xr:uid="{B3157247-FAB2-4C07-B285-AC3B724599C6}"/>
    <cellStyle name="Note 2 4 5 2 3" xfId="12919" xr:uid="{3B7745DF-C55C-45F7-AE41-FAF41414A174}"/>
    <cellStyle name="Note 2 4 5 2 3 2" xfId="25559" xr:uid="{313249B2-61E3-44C1-968F-D652611AD881}"/>
    <cellStyle name="Note 2 4 5 2 4" xfId="21348" xr:uid="{46EA8393-4E73-46CF-BDE4-CC8400EF4EB6}"/>
    <cellStyle name="Note 2 4 5 3" xfId="6563" xr:uid="{00000000-0005-0000-0000-00002A210000}"/>
    <cellStyle name="Note 2 4 5 3 2" xfId="14992" xr:uid="{A682A247-B7A6-413A-83E2-AC3FDC726B56}"/>
    <cellStyle name="Note 2 4 5 3 3" xfId="27625" xr:uid="{FA158234-52DE-4EEA-B38F-280627371545}"/>
    <cellStyle name="Note 2 4 5 4" xfId="10774" xr:uid="{F7E957DB-A556-4193-B48A-6E590FB10F17}"/>
    <cellStyle name="Note 2 4 5 4 2" xfId="23414" xr:uid="{487FD957-7E34-4095-A9C1-FD0133E19252}"/>
    <cellStyle name="Note 2 4 5 5" xfId="19203" xr:uid="{3FBD573A-463D-46A9-8349-DB9548F2DC60}"/>
    <cellStyle name="Note 2 4 6" xfId="2691" xr:uid="{00000000-0005-0000-0000-00002B210000}"/>
    <cellStyle name="Note 2 4 6 2" xfId="6976" xr:uid="{00000000-0005-0000-0000-00002C210000}"/>
    <cellStyle name="Note 2 4 6 2 2" xfId="15405" xr:uid="{DCB0BA0F-5814-48F2-B64A-908DF417177A}"/>
    <cellStyle name="Note 2 4 6 2 3" xfId="28038" xr:uid="{A9EFE122-7B92-4A6F-BE42-F86B65A4E3DB}"/>
    <cellStyle name="Note 2 4 6 3" xfId="11187" xr:uid="{2615748C-5B47-4448-A0EB-152E992E8C0E}"/>
    <cellStyle name="Note 2 4 6 3 2" xfId="23827" xr:uid="{C9057430-1C77-4CCD-9E1F-0BBF3E13871A}"/>
    <cellStyle name="Note 2 4 6 4" xfId="19616" xr:uid="{8C1513E2-AFB4-4653-8E43-15B5414F697B}"/>
    <cellStyle name="Note 2 4 7" xfId="2750" xr:uid="{00000000-0005-0000-0000-00002D210000}"/>
    <cellStyle name="Note 2 4 8" xfId="2831" xr:uid="{00000000-0005-0000-0000-00002E210000}"/>
    <cellStyle name="Note 2 4 8 2" xfId="7056" xr:uid="{00000000-0005-0000-0000-00002F210000}"/>
    <cellStyle name="Note 2 4 8 2 2" xfId="15485" xr:uid="{FFF31CC3-1A9F-4764-98C6-6B7B180661A7}"/>
    <cellStyle name="Note 2 4 8 2 3" xfId="28118" xr:uid="{D739212D-42DA-4178-BC75-6CBFC48F18EC}"/>
    <cellStyle name="Note 2 4 8 3" xfId="11267" xr:uid="{347B5289-BACA-4046-86E4-4C1F54361035}"/>
    <cellStyle name="Note 2 4 8 3 2" xfId="23907" xr:uid="{A8ABDE80-41F7-40B0-807A-8F4B4C7152DF}"/>
    <cellStyle name="Note 2 4 8 4" xfId="19696" xr:uid="{811578D6-0A93-4648-A30E-EFDA2EEB6A1A}"/>
    <cellStyle name="Note 2 4 9" xfId="4911" xr:uid="{00000000-0005-0000-0000-000030210000}"/>
    <cellStyle name="Note 2 4 9 2" xfId="13340" xr:uid="{0145BD19-9BBF-4236-9962-DEDD35D03D7C}"/>
    <cellStyle name="Note 2 4 9 3" xfId="25973" xr:uid="{D275E672-9B04-4766-89F8-B33A4109C05E}"/>
    <cellStyle name="Note 2 5" xfId="553" xr:uid="{00000000-0005-0000-0000-000031210000}"/>
    <cellStyle name="Note 2 5 10" xfId="9123" xr:uid="{7BCF94D2-04B6-4418-9FD4-C7ACC8673089}"/>
    <cellStyle name="Note 2 5 10 2" xfId="21763" xr:uid="{B46B58A3-842A-4F69-81D2-9FF19ADC6FE5}"/>
    <cellStyle name="Note 2 5 11" xfId="17552" xr:uid="{EFA1BF8B-0E03-46BD-A7C0-84F45301F44C}"/>
    <cellStyle name="Note 2 5 2" xfId="1014" xr:uid="{00000000-0005-0000-0000-000032210000}"/>
    <cellStyle name="Note 2 5 2 2" xfId="3246" xr:uid="{00000000-0005-0000-0000-000033210000}"/>
    <cellStyle name="Note 2 5 2 2 2" xfId="7470" xr:uid="{00000000-0005-0000-0000-000034210000}"/>
    <cellStyle name="Note 2 5 2 2 2 2" xfId="15899" xr:uid="{FDF10E40-CFD9-4AED-836E-C74C8C482A0F}"/>
    <cellStyle name="Note 2 5 2 2 2 3" xfId="28532" xr:uid="{F21FACFC-1ED3-4659-BE48-22F1B302C5F5}"/>
    <cellStyle name="Note 2 5 2 2 3" xfId="11681" xr:uid="{B7E3FCDF-8ECD-4227-B157-9CFF96F04BA7}"/>
    <cellStyle name="Note 2 5 2 2 3 2" xfId="24321" xr:uid="{D601A4A2-8C2C-4A7A-A418-913EBCE40E4C}"/>
    <cellStyle name="Note 2 5 2 2 4" xfId="20110" xr:uid="{6A3ACB49-8E90-4AEF-AB57-99E44F94A2FD}"/>
    <cellStyle name="Note 2 5 2 3" xfId="5325" xr:uid="{00000000-0005-0000-0000-000035210000}"/>
    <cellStyle name="Note 2 5 2 3 2" xfId="13754" xr:uid="{3F505EA7-2E05-444A-9A48-075EE525403E}"/>
    <cellStyle name="Note 2 5 2 3 3" xfId="26387" xr:uid="{3292B08F-E04C-4E26-9BF1-FC4A5B369940}"/>
    <cellStyle name="Note 2 5 2 4" xfId="9536" xr:uid="{98B380BF-1D1E-44A4-92D9-DBE26BB26569}"/>
    <cellStyle name="Note 2 5 2 4 2" xfId="22176" xr:uid="{DF49710D-B281-4B85-A6B7-4AE00207BE38}"/>
    <cellStyle name="Note 2 5 2 5" xfId="17965" xr:uid="{93A7CEE1-DD43-4586-B1DD-F8B08BF15954}"/>
    <cellStyle name="Note 2 5 3" xfId="1429" xr:uid="{00000000-0005-0000-0000-000036210000}"/>
    <cellStyle name="Note 2 5 3 2" xfId="3659" xr:uid="{00000000-0005-0000-0000-000037210000}"/>
    <cellStyle name="Note 2 5 3 2 2" xfId="7883" xr:uid="{00000000-0005-0000-0000-000038210000}"/>
    <cellStyle name="Note 2 5 3 2 2 2" xfId="16312" xr:uid="{5EEB315A-2099-4FD6-8807-216450B10B2C}"/>
    <cellStyle name="Note 2 5 3 2 2 3" xfId="28945" xr:uid="{70B8924D-D7C8-444E-96C0-22CA49F3EE2D}"/>
    <cellStyle name="Note 2 5 3 2 3" xfId="12094" xr:uid="{5C9B14F9-5632-4FCB-9484-0FFB3F188AF1}"/>
    <cellStyle name="Note 2 5 3 2 3 2" xfId="24734" xr:uid="{26FDDE89-8690-4C47-98EF-F5BCB568A445}"/>
    <cellStyle name="Note 2 5 3 2 4" xfId="20523" xr:uid="{C0460685-8C69-4929-819B-566CF08BB038}"/>
    <cellStyle name="Note 2 5 3 3" xfId="5738" xr:uid="{00000000-0005-0000-0000-000039210000}"/>
    <cellStyle name="Note 2 5 3 3 2" xfId="14167" xr:uid="{F692D270-4159-4161-A6C6-63DC4A84F780}"/>
    <cellStyle name="Note 2 5 3 3 3" xfId="26800" xr:uid="{565D2A2C-23AF-45F5-8279-47D637C2D327}"/>
    <cellStyle name="Note 2 5 3 4" xfId="9949" xr:uid="{41093D2E-C781-40B4-BD6E-5DCBCB37A95E}"/>
    <cellStyle name="Note 2 5 3 4 2" xfId="22589" xr:uid="{0C7CA405-F966-4822-A9E8-233F9116B356}"/>
    <cellStyle name="Note 2 5 3 5" xfId="18378" xr:uid="{DC53A224-6F17-4ED6-B520-DFC9CB501D32}"/>
    <cellStyle name="Note 2 5 4" xfId="1843" xr:uid="{00000000-0005-0000-0000-00003A210000}"/>
    <cellStyle name="Note 2 5 4 2" xfId="4072" xr:uid="{00000000-0005-0000-0000-00003B210000}"/>
    <cellStyle name="Note 2 5 4 2 2" xfId="8296" xr:uid="{00000000-0005-0000-0000-00003C210000}"/>
    <cellStyle name="Note 2 5 4 2 2 2" xfId="16725" xr:uid="{A88BFE71-1857-474C-8B7A-06D687856504}"/>
    <cellStyle name="Note 2 5 4 2 2 3" xfId="29358" xr:uid="{E7AC0880-E0C6-46CD-942F-1C3CE88E036A}"/>
    <cellStyle name="Note 2 5 4 2 3" xfId="12507" xr:uid="{9D74F71A-CFE6-4ED0-B599-8937EBE8F9C5}"/>
    <cellStyle name="Note 2 5 4 2 3 2" xfId="25147" xr:uid="{07E63822-76CA-4978-B754-9AAFAF93AC83}"/>
    <cellStyle name="Note 2 5 4 2 4" xfId="20936" xr:uid="{4130B096-27CD-4BE1-9982-05196F946F51}"/>
    <cellStyle name="Note 2 5 4 3" xfId="6151" xr:uid="{00000000-0005-0000-0000-00003D210000}"/>
    <cellStyle name="Note 2 5 4 3 2" xfId="14580" xr:uid="{C81AAD9A-8C66-478D-8274-7E58A88B5921}"/>
    <cellStyle name="Note 2 5 4 3 3" xfId="27213" xr:uid="{B57984F4-CE4C-464C-A275-6EDF45244FC3}"/>
    <cellStyle name="Note 2 5 4 4" xfId="10362" xr:uid="{72293510-297D-4069-B90F-E6C36A211F0B}"/>
    <cellStyle name="Note 2 5 4 4 2" xfId="23002" xr:uid="{F90018CE-548A-4AE0-B31A-6C0C2DFE73AA}"/>
    <cellStyle name="Note 2 5 4 5" xfId="18791" xr:uid="{0CC8D3B8-9606-43EA-9F07-21799F065DE5}"/>
    <cellStyle name="Note 2 5 5" xfId="2256" xr:uid="{00000000-0005-0000-0000-00003E210000}"/>
    <cellStyle name="Note 2 5 5 2" xfId="4485" xr:uid="{00000000-0005-0000-0000-00003F210000}"/>
    <cellStyle name="Note 2 5 5 2 2" xfId="8709" xr:uid="{00000000-0005-0000-0000-000040210000}"/>
    <cellStyle name="Note 2 5 5 2 2 2" xfId="17138" xr:uid="{F8984B0C-1444-4B03-9882-E8970ACF55F4}"/>
    <cellStyle name="Note 2 5 5 2 2 3" xfId="29771" xr:uid="{EF61EE39-4131-4B35-A993-91A1F89EFA60}"/>
    <cellStyle name="Note 2 5 5 2 3" xfId="12920" xr:uid="{7A489965-DD62-4C12-AC1D-052137938387}"/>
    <cellStyle name="Note 2 5 5 2 3 2" xfId="25560" xr:uid="{B809977E-1E74-46AC-9102-B990C37975E6}"/>
    <cellStyle name="Note 2 5 5 2 4" xfId="21349" xr:uid="{AE077B9A-4FAF-4572-8BB4-14A61578FE76}"/>
    <cellStyle name="Note 2 5 5 3" xfId="6564" xr:uid="{00000000-0005-0000-0000-000041210000}"/>
    <cellStyle name="Note 2 5 5 3 2" xfId="14993" xr:uid="{807BC5DA-2729-4C87-A21A-6F195BAECF62}"/>
    <cellStyle name="Note 2 5 5 3 3" xfId="27626" xr:uid="{7158157F-B45D-423A-9017-B06D1455B7D3}"/>
    <cellStyle name="Note 2 5 5 4" xfId="10775" xr:uid="{3E7E4FA1-B0DB-4CB3-BA92-B963244C0155}"/>
    <cellStyle name="Note 2 5 5 4 2" xfId="23415" xr:uid="{AA658B79-6320-4688-917C-C0079106CB8C}"/>
    <cellStyle name="Note 2 5 5 5" xfId="19204" xr:uid="{BAA7AB29-5EEA-45B5-AF09-51066EB42A9F}"/>
    <cellStyle name="Note 2 5 6" xfId="2692" xr:uid="{00000000-0005-0000-0000-000042210000}"/>
    <cellStyle name="Note 2 5 6 2" xfId="6977" xr:uid="{00000000-0005-0000-0000-000043210000}"/>
    <cellStyle name="Note 2 5 6 2 2" xfId="15406" xr:uid="{858E8DE8-B7BF-41E9-8CBA-205799F72DEB}"/>
    <cellStyle name="Note 2 5 6 2 3" xfId="28039" xr:uid="{BDCB3868-1DF4-4DA4-A5C2-C255C22BFA1A}"/>
    <cellStyle name="Note 2 5 6 3" xfId="11188" xr:uid="{7FD14B72-5129-4A39-B6A5-2D748A186939}"/>
    <cellStyle name="Note 2 5 6 3 2" xfId="23828" xr:uid="{E4BD2ABB-E238-43B4-B081-8D18B38D1111}"/>
    <cellStyle name="Note 2 5 6 4" xfId="19617" xr:uid="{D49C5BB0-7F49-4465-91DA-5A3D2B4E4FA3}"/>
    <cellStyle name="Note 2 5 7" xfId="2751" xr:uid="{00000000-0005-0000-0000-000044210000}"/>
    <cellStyle name="Note 2 5 8" xfId="2832" xr:uid="{00000000-0005-0000-0000-000045210000}"/>
    <cellStyle name="Note 2 5 8 2" xfId="7057" xr:uid="{00000000-0005-0000-0000-000046210000}"/>
    <cellStyle name="Note 2 5 8 2 2" xfId="15486" xr:uid="{36FF7822-5FBE-4FAC-B065-5A819CCD1FDC}"/>
    <cellStyle name="Note 2 5 8 2 3" xfId="28119" xr:uid="{B4968675-F691-4F03-8CA8-C29D0E95A285}"/>
    <cellStyle name="Note 2 5 8 3" xfId="11268" xr:uid="{765FECFC-FE80-4F5E-966F-64129DC77042}"/>
    <cellStyle name="Note 2 5 8 3 2" xfId="23908" xr:uid="{DC7D2F0C-5026-4D8D-8A4B-6E62F198441A}"/>
    <cellStyle name="Note 2 5 8 4" xfId="19697" xr:uid="{0859BB80-5AA4-4797-9A5B-3D51F5AD6127}"/>
    <cellStyle name="Note 2 5 9" xfId="4912" xr:uid="{00000000-0005-0000-0000-000047210000}"/>
    <cellStyle name="Note 2 5 9 2" xfId="13341" xr:uid="{426A798F-CE2B-45EB-B27C-A0774742CFD5}"/>
    <cellStyle name="Note 2 5 9 3" xfId="25974" xr:uid="{DFDABE2B-3B7C-4809-8EC7-E3B4869C6B6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B462AFC2-2A83-44FC-9CDF-17A668D66823}"/>
    <cellStyle name="Note 3 2 10 2 3" xfId="28120" xr:uid="{0B6F53DB-54C9-4581-9B6F-17A200657670}"/>
    <cellStyle name="Note 3 2 10 3" xfId="11269" xr:uid="{CE6E2589-C702-46D5-907E-C8DB4B38949A}"/>
    <cellStyle name="Note 3 2 10 3 2" xfId="23909" xr:uid="{9F68B4CD-A33F-4F8F-9CFE-4EAC14AB7F27}"/>
    <cellStyle name="Note 3 2 10 4" xfId="19698" xr:uid="{4B12F6D2-AF39-49DC-91F6-9E2BE2C3C5AB}"/>
    <cellStyle name="Note 3 2 11" xfId="4913" xr:uid="{00000000-0005-0000-0000-00004C210000}"/>
    <cellStyle name="Note 3 2 11 2" xfId="13342" xr:uid="{6EFFDBA6-DBDC-404A-BD84-25E465A3AA33}"/>
    <cellStyle name="Note 3 2 11 3" xfId="25975" xr:uid="{A8C7B20E-E33C-45C2-BC52-E23639D10BE6}"/>
    <cellStyle name="Note 3 2 12" xfId="9124" xr:uid="{871A8C2B-4CD7-41EF-A9CF-9279C72CE49E}"/>
    <cellStyle name="Note 3 2 12 2" xfId="21764" xr:uid="{1676E35E-B009-43E0-8AE2-273FC4BE25D5}"/>
    <cellStyle name="Note 3 2 13" xfId="17553" xr:uid="{BE747A4B-9328-4E67-8733-A0A9202E2965}"/>
    <cellStyle name="Note 3 2 2" xfId="556" xr:uid="{00000000-0005-0000-0000-00004D210000}"/>
    <cellStyle name="Note 3 2 2 10" xfId="4914" xr:uid="{00000000-0005-0000-0000-00004E210000}"/>
    <cellStyle name="Note 3 2 2 10 2" xfId="13343" xr:uid="{DDC9D9A5-1B72-4FD0-BCE2-93B34786D503}"/>
    <cellStyle name="Note 3 2 2 10 3" xfId="25976" xr:uid="{7E94A6CA-0868-4792-8300-9F92AF911869}"/>
    <cellStyle name="Note 3 2 2 11" xfId="9125" xr:uid="{C76AC97E-0A8E-43F6-8221-62AB5DC91EEF}"/>
    <cellStyle name="Note 3 2 2 11 2" xfId="21765" xr:uid="{92013F87-60C4-43C2-BE47-2D04CC958EBB}"/>
    <cellStyle name="Note 3 2 2 12" xfId="17554" xr:uid="{820EF4AF-08EC-4513-828E-4EE13D14EFBF}"/>
    <cellStyle name="Note 3 2 2 2" xfId="557" xr:uid="{00000000-0005-0000-0000-00004F210000}"/>
    <cellStyle name="Note 3 2 2 2 10" xfId="9126" xr:uid="{07E1501C-ADA5-4EF5-BB8D-1BBACD0F5ABE}"/>
    <cellStyle name="Note 3 2 2 2 10 2" xfId="21766" xr:uid="{8B1784C2-F954-41E6-894E-3E49499DAB24}"/>
    <cellStyle name="Note 3 2 2 2 11" xfId="17555" xr:uid="{8A600F0C-D96E-401F-91A2-80BEE215EDAF}"/>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FD953980-D6FF-43B7-BB5E-38A820830E61}"/>
    <cellStyle name="Note 3 2 2 2 2 2 2 3" xfId="28535" xr:uid="{ED37DCCD-89B5-4C75-8F9F-1C941C00CAA8}"/>
    <cellStyle name="Note 3 2 2 2 2 2 3" xfId="11684" xr:uid="{E23DBB5B-401B-4E34-B8DE-180B0740C7E9}"/>
    <cellStyle name="Note 3 2 2 2 2 2 3 2" xfId="24324" xr:uid="{A296DDF0-6E11-4360-8481-1B3484EBAEDE}"/>
    <cellStyle name="Note 3 2 2 2 2 2 4" xfId="20113" xr:uid="{7F78715F-080E-481F-BDAD-15154380B2ED}"/>
    <cellStyle name="Note 3 2 2 2 2 3" xfId="5328" xr:uid="{00000000-0005-0000-0000-000053210000}"/>
    <cellStyle name="Note 3 2 2 2 2 3 2" xfId="13757" xr:uid="{058DF594-EBCC-4421-8AEB-CE3DF48C0784}"/>
    <cellStyle name="Note 3 2 2 2 2 3 3" xfId="26390" xr:uid="{EE41ABC0-5492-4B05-A24C-F63E710474C9}"/>
    <cellStyle name="Note 3 2 2 2 2 4" xfId="9539" xr:uid="{0776E13E-12F7-49C8-AF30-7E986DEF1E9B}"/>
    <cellStyle name="Note 3 2 2 2 2 4 2" xfId="22179" xr:uid="{8794A1CA-0261-4819-814C-3012882F0589}"/>
    <cellStyle name="Note 3 2 2 2 2 5" xfId="17968" xr:uid="{89BBC18B-D6B9-4807-9F39-EF45EA1FEBF0}"/>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450FB45B-9C94-4F38-B619-D5BF64658ED8}"/>
    <cellStyle name="Note 3 2 2 2 3 2 2 3" xfId="28948" xr:uid="{4FCFFBF9-F8D2-4704-B4A0-9B325F3E624D}"/>
    <cellStyle name="Note 3 2 2 2 3 2 3" xfId="12097" xr:uid="{1ED48949-DBF4-47E1-86F1-7FF9B84459C6}"/>
    <cellStyle name="Note 3 2 2 2 3 2 3 2" xfId="24737" xr:uid="{6CA475FD-23E8-4FD1-8C16-24C3F40FD2E6}"/>
    <cellStyle name="Note 3 2 2 2 3 2 4" xfId="20526" xr:uid="{6B05F5B5-E662-459F-A4F1-60E18043493A}"/>
    <cellStyle name="Note 3 2 2 2 3 3" xfId="5741" xr:uid="{00000000-0005-0000-0000-000057210000}"/>
    <cellStyle name="Note 3 2 2 2 3 3 2" xfId="14170" xr:uid="{86BB3AF2-4490-4941-BBF0-DDB0EA349A4D}"/>
    <cellStyle name="Note 3 2 2 2 3 3 3" xfId="26803" xr:uid="{77CD6C7E-1A67-463E-BB4C-5B3B7126D167}"/>
    <cellStyle name="Note 3 2 2 2 3 4" xfId="9952" xr:uid="{D7718219-B903-4C98-AF76-D2D3225D9997}"/>
    <cellStyle name="Note 3 2 2 2 3 4 2" xfId="22592" xr:uid="{8CA90A59-0F39-4FE2-9C94-F3E4B8AEEB11}"/>
    <cellStyle name="Note 3 2 2 2 3 5" xfId="18381" xr:uid="{599017B8-BA68-495B-83FF-72725E638992}"/>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4982C64F-6FF4-4D90-85E6-EF92960B8AA4}"/>
    <cellStyle name="Note 3 2 2 2 4 2 2 3" xfId="29361" xr:uid="{435D463A-F58C-4F29-90CE-CFE76D3839A6}"/>
    <cellStyle name="Note 3 2 2 2 4 2 3" xfId="12510" xr:uid="{6D4C6AA7-CD12-4F26-8164-6D88735C36C9}"/>
    <cellStyle name="Note 3 2 2 2 4 2 3 2" xfId="25150" xr:uid="{ED93CC5C-1B50-4899-A34E-AEB2C8E64897}"/>
    <cellStyle name="Note 3 2 2 2 4 2 4" xfId="20939" xr:uid="{B4CC09E3-A618-4113-9C74-BC813815F04C}"/>
    <cellStyle name="Note 3 2 2 2 4 3" xfId="6154" xr:uid="{00000000-0005-0000-0000-00005B210000}"/>
    <cellStyle name="Note 3 2 2 2 4 3 2" xfId="14583" xr:uid="{41D31E10-F5C5-4F64-B53F-F4CDB93EF208}"/>
    <cellStyle name="Note 3 2 2 2 4 3 3" xfId="27216" xr:uid="{BD3EC1D4-6FE1-4401-9344-A5C592CD21AD}"/>
    <cellStyle name="Note 3 2 2 2 4 4" xfId="10365" xr:uid="{7729BF87-A170-4766-A9F6-8D7D2869BF60}"/>
    <cellStyle name="Note 3 2 2 2 4 4 2" xfId="23005" xr:uid="{0F8B1618-A357-4B68-9BC2-6FDBC5C49E8E}"/>
    <cellStyle name="Note 3 2 2 2 4 5" xfId="18794" xr:uid="{A2676376-5E71-450A-96AF-42A5F9F6135E}"/>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4EEDEB6D-8A0B-463D-80F6-A124B3FD3F6C}"/>
    <cellStyle name="Note 3 2 2 2 5 2 2 3" xfId="29774" xr:uid="{B59553EC-F10C-4249-9A76-0C93981208B8}"/>
    <cellStyle name="Note 3 2 2 2 5 2 3" xfId="12923" xr:uid="{4303C0C8-3338-42C4-9C59-184BD4F6A1DA}"/>
    <cellStyle name="Note 3 2 2 2 5 2 3 2" xfId="25563" xr:uid="{D680679A-2691-438A-B70B-0D7DDADA2701}"/>
    <cellStyle name="Note 3 2 2 2 5 2 4" xfId="21352" xr:uid="{B2D11082-212E-41C7-B2E3-B1C7E058B41E}"/>
    <cellStyle name="Note 3 2 2 2 5 3" xfId="6567" xr:uid="{00000000-0005-0000-0000-00005F210000}"/>
    <cellStyle name="Note 3 2 2 2 5 3 2" xfId="14996" xr:uid="{FD7CA74C-DB70-407B-9C3B-3DAAF6E96C29}"/>
    <cellStyle name="Note 3 2 2 2 5 3 3" xfId="27629" xr:uid="{711E3F15-EE04-4437-AF6B-3A8BF7900669}"/>
    <cellStyle name="Note 3 2 2 2 5 4" xfId="10778" xr:uid="{32760EF6-BF30-4DFF-81A1-7F32629703EE}"/>
    <cellStyle name="Note 3 2 2 2 5 4 2" xfId="23418" xr:uid="{6935BA23-32FD-424E-A9B2-5E81F20FDD81}"/>
    <cellStyle name="Note 3 2 2 2 5 5" xfId="19207" xr:uid="{EF123F1A-D68B-4D94-B1D6-09305447A69C}"/>
    <cellStyle name="Note 3 2 2 2 6" xfId="2695" xr:uid="{00000000-0005-0000-0000-000060210000}"/>
    <cellStyle name="Note 3 2 2 2 6 2" xfId="6980" xr:uid="{00000000-0005-0000-0000-000061210000}"/>
    <cellStyle name="Note 3 2 2 2 6 2 2" xfId="15409" xr:uid="{4AB9DE4F-181E-44D9-AC2A-B926E43431BA}"/>
    <cellStyle name="Note 3 2 2 2 6 2 3" xfId="28042" xr:uid="{C46A9A1B-31B0-44C9-9008-34DEAB120BDC}"/>
    <cellStyle name="Note 3 2 2 2 6 3" xfId="11191" xr:uid="{5D576558-39DB-4D7C-A48A-B70CB6CF9F33}"/>
    <cellStyle name="Note 3 2 2 2 6 3 2" xfId="23831" xr:uid="{DFC5211D-17D4-49BD-8464-C31F2FE4D796}"/>
    <cellStyle name="Note 3 2 2 2 6 4" xfId="19620" xr:uid="{9ED85D5F-ADD8-4FBE-B382-17CE2B26BFC7}"/>
    <cellStyle name="Note 3 2 2 2 7" xfId="2754" xr:uid="{00000000-0005-0000-0000-000062210000}"/>
    <cellStyle name="Note 3 2 2 2 8" xfId="2835" xr:uid="{00000000-0005-0000-0000-000063210000}"/>
    <cellStyle name="Note 3 2 2 2 8 2" xfId="7060" xr:uid="{00000000-0005-0000-0000-000064210000}"/>
    <cellStyle name="Note 3 2 2 2 8 2 2" xfId="15489" xr:uid="{577BC954-8F11-477D-831E-A75A2604C648}"/>
    <cellStyle name="Note 3 2 2 2 8 2 3" xfId="28122" xr:uid="{523F02FE-C96A-46C6-A4A8-E513F317327E}"/>
    <cellStyle name="Note 3 2 2 2 8 3" xfId="11271" xr:uid="{20E59414-39DF-47EF-B629-132C0BF75F56}"/>
    <cellStyle name="Note 3 2 2 2 8 3 2" xfId="23911" xr:uid="{4587D588-B6B8-4E0A-BB64-A7AC5FA3AD69}"/>
    <cellStyle name="Note 3 2 2 2 8 4" xfId="19700" xr:uid="{8F4ADF43-A819-47A9-910B-7030FC33F8A4}"/>
    <cellStyle name="Note 3 2 2 2 9" xfId="4915" xr:uid="{00000000-0005-0000-0000-000065210000}"/>
    <cellStyle name="Note 3 2 2 2 9 2" xfId="13344" xr:uid="{5B308139-25D1-4251-83C3-14BBB6CA7021}"/>
    <cellStyle name="Note 3 2 2 2 9 3" xfId="25977" xr:uid="{32D21B3D-681B-45BF-AB81-43DA07C4AF66}"/>
    <cellStyle name="Note 3 2 2 3" xfId="1016" xr:uid="{00000000-0005-0000-0000-000066210000}"/>
    <cellStyle name="Note 3 2 2 3 2" xfId="3248" xr:uid="{00000000-0005-0000-0000-000067210000}"/>
    <cellStyle name="Note 3 2 2 3 2 2" xfId="7472" xr:uid="{00000000-0005-0000-0000-000068210000}"/>
    <cellStyle name="Note 3 2 2 3 2 2 2" xfId="15901" xr:uid="{7522C3AF-F44F-46AA-97E8-EB77027A6884}"/>
    <cellStyle name="Note 3 2 2 3 2 2 3" xfId="28534" xr:uid="{1195E034-9DE3-4549-9E57-6849EC78A4D5}"/>
    <cellStyle name="Note 3 2 2 3 2 3" xfId="11683" xr:uid="{390AE5C5-5CD2-4C82-80DD-139BC1BBD7CD}"/>
    <cellStyle name="Note 3 2 2 3 2 3 2" xfId="24323" xr:uid="{AC66D4E1-75E1-4053-A5E2-E82A14004354}"/>
    <cellStyle name="Note 3 2 2 3 2 4" xfId="20112" xr:uid="{5EE1444C-CE6E-4A40-8D62-73017FF9ECA3}"/>
    <cellStyle name="Note 3 2 2 3 3" xfId="5327" xr:uid="{00000000-0005-0000-0000-000069210000}"/>
    <cellStyle name="Note 3 2 2 3 3 2" xfId="13756" xr:uid="{96F63A3D-474F-4B85-BFED-1E3A170F5CEC}"/>
    <cellStyle name="Note 3 2 2 3 3 3" xfId="26389" xr:uid="{2723BBF4-3865-4037-8E53-67DC576B6154}"/>
    <cellStyle name="Note 3 2 2 3 4" xfId="9538" xr:uid="{95A03424-0BD1-4D54-9A98-5BD6B12F1F54}"/>
    <cellStyle name="Note 3 2 2 3 4 2" xfId="22178" xr:uid="{21434B6E-7142-45D7-A753-D18DFBD6EF81}"/>
    <cellStyle name="Note 3 2 2 3 5" xfId="17967" xr:uid="{657F6D32-636E-44FE-BCD0-9C5994C8AB5D}"/>
    <cellStyle name="Note 3 2 2 4" xfId="1431" xr:uid="{00000000-0005-0000-0000-00006A210000}"/>
    <cellStyle name="Note 3 2 2 4 2" xfId="3661" xr:uid="{00000000-0005-0000-0000-00006B210000}"/>
    <cellStyle name="Note 3 2 2 4 2 2" xfId="7885" xr:uid="{00000000-0005-0000-0000-00006C210000}"/>
    <cellStyle name="Note 3 2 2 4 2 2 2" xfId="16314" xr:uid="{99326784-5AFE-414A-A628-0F12BFE8B6AB}"/>
    <cellStyle name="Note 3 2 2 4 2 2 3" xfId="28947" xr:uid="{35F2FA0C-3D44-4354-90A5-4AF56BDE5FEB}"/>
    <cellStyle name="Note 3 2 2 4 2 3" xfId="12096" xr:uid="{35F8B0A1-826A-42AD-A5F8-3897AB0475C2}"/>
    <cellStyle name="Note 3 2 2 4 2 3 2" xfId="24736" xr:uid="{3FA22029-24DE-4CDF-A9F7-088A0AABE3F0}"/>
    <cellStyle name="Note 3 2 2 4 2 4" xfId="20525" xr:uid="{CDB704C5-170A-42D7-A544-F24D0A7F6094}"/>
    <cellStyle name="Note 3 2 2 4 3" xfId="5740" xr:uid="{00000000-0005-0000-0000-00006D210000}"/>
    <cellStyle name="Note 3 2 2 4 3 2" xfId="14169" xr:uid="{9F2355B3-A474-4798-8F54-95C5BB064857}"/>
    <cellStyle name="Note 3 2 2 4 3 3" xfId="26802" xr:uid="{49388645-6291-4D1F-A281-B68C2E3A031A}"/>
    <cellStyle name="Note 3 2 2 4 4" xfId="9951" xr:uid="{4A3A4150-25E3-4202-9951-F82D117491DC}"/>
    <cellStyle name="Note 3 2 2 4 4 2" xfId="22591" xr:uid="{CC7A3DEF-A912-4D4F-AE02-7ADCD01A16CE}"/>
    <cellStyle name="Note 3 2 2 4 5" xfId="18380" xr:uid="{C073DC00-966F-4474-A10E-0BB0580D5071}"/>
    <cellStyle name="Note 3 2 2 5" xfId="1845" xr:uid="{00000000-0005-0000-0000-00006E210000}"/>
    <cellStyle name="Note 3 2 2 5 2" xfId="4074" xr:uid="{00000000-0005-0000-0000-00006F210000}"/>
    <cellStyle name="Note 3 2 2 5 2 2" xfId="8298" xr:uid="{00000000-0005-0000-0000-000070210000}"/>
    <cellStyle name="Note 3 2 2 5 2 2 2" xfId="16727" xr:uid="{E385A19F-82F0-46E6-A487-C4F7828B9BF8}"/>
    <cellStyle name="Note 3 2 2 5 2 2 3" xfId="29360" xr:uid="{0110A041-D88A-4307-AFC5-9E77A3C43EF6}"/>
    <cellStyle name="Note 3 2 2 5 2 3" xfId="12509" xr:uid="{74ABF026-BCA6-40DD-99BF-131557FC0B76}"/>
    <cellStyle name="Note 3 2 2 5 2 3 2" xfId="25149" xr:uid="{3402161D-0D78-4897-B998-059DB3C3F91D}"/>
    <cellStyle name="Note 3 2 2 5 2 4" xfId="20938" xr:uid="{92E8D96C-3FFA-40A7-AA7D-1036370F7480}"/>
    <cellStyle name="Note 3 2 2 5 3" xfId="6153" xr:uid="{00000000-0005-0000-0000-000071210000}"/>
    <cellStyle name="Note 3 2 2 5 3 2" xfId="14582" xr:uid="{35EB474D-76A2-46B8-AEEF-48D5FB8A4284}"/>
    <cellStyle name="Note 3 2 2 5 3 3" xfId="27215" xr:uid="{CA372526-9C9C-40EB-A703-1B3CC7341562}"/>
    <cellStyle name="Note 3 2 2 5 4" xfId="10364" xr:uid="{19AFBE03-D3E0-4BAE-8CDA-B1388D5229F2}"/>
    <cellStyle name="Note 3 2 2 5 4 2" xfId="23004" xr:uid="{CBB0C243-5320-4CA2-A0DD-2632A0B780E5}"/>
    <cellStyle name="Note 3 2 2 5 5" xfId="18793" xr:uid="{3B873E39-A3E6-455E-9EEA-EF583965CCFC}"/>
    <cellStyle name="Note 3 2 2 6" xfId="2258" xr:uid="{00000000-0005-0000-0000-000072210000}"/>
    <cellStyle name="Note 3 2 2 6 2" xfId="4487" xr:uid="{00000000-0005-0000-0000-000073210000}"/>
    <cellStyle name="Note 3 2 2 6 2 2" xfId="8711" xr:uid="{00000000-0005-0000-0000-000074210000}"/>
    <cellStyle name="Note 3 2 2 6 2 2 2" xfId="17140" xr:uid="{D3E60E5E-F28A-42E4-B254-CEEC43A0435A}"/>
    <cellStyle name="Note 3 2 2 6 2 2 3" xfId="29773" xr:uid="{2FEF8C7D-FE88-4481-A759-0395AC032771}"/>
    <cellStyle name="Note 3 2 2 6 2 3" xfId="12922" xr:uid="{FB6415E1-DFB9-4868-9E99-BBFB1CD9ECAB}"/>
    <cellStyle name="Note 3 2 2 6 2 3 2" xfId="25562" xr:uid="{FD595707-5982-472A-924C-0F913AE0D37D}"/>
    <cellStyle name="Note 3 2 2 6 2 4" xfId="21351" xr:uid="{7D5BE948-5747-41A5-80F2-E5057421CE30}"/>
    <cellStyle name="Note 3 2 2 6 3" xfId="6566" xr:uid="{00000000-0005-0000-0000-000075210000}"/>
    <cellStyle name="Note 3 2 2 6 3 2" xfId="14995" xr:uid="{0E086390-3D14-47D2-938B-75E21043A0EC}"/>
    <cellStyle name="Note 3 2 2 6 3 3" xfId="27628" xr:uid="{6EB6821D-9482-4169-8714-06A26FE28D0F}"/>
    <cellStyle name="Note 3 2 2 6 4" xfId="10777" xr:uid="{0A5F36C0-2D72-47C5-A9AC-2F776FEC9552}"/>
    <cellStyle name="Note 3 2 2 6 4 2" xfId="23417" xr:uid="{E728DF6F-5048-4D26-A3EE-34FDB6875A5D}"/>
    <cellStyle name="Note 3 2 2 6 5" xfId="19206" xr:uid="{4C1F21C0-5FC9-4E7A-9BCB-155AF183502B}"/>
    <cellStyle name="Note 3 2 2 7" xfId="2694" xr:uid="{00000000-0005-0000-0000-000076210000}"/>
    <cellStyle name="Note 3 2 2 7 2" xfId="6979" xr:uid="{00000000-0005-0000-0000-000077210000}"/>
    <cellStyle name="Note 3 2 2 7 2 2" xfId="15408" xr:uid="{B9C003DE-4109-4862-AFF7-6D0355828956}"/>
    <cellStyle name="Note 3 2 2 7 2 3" xfId="28041" xr:uid="{403B0516-2011-45E4-9896-F7014AFE58B8}"/>
    <cellStyle name="Note 3 2 2 7 3" xfId="11190" xr:uid="{03D8D453-8E3E-4499-A2D9-1F2FF0DEA84A}"/>
    <cellStyle name="Note 3 2 2 7 3 2" xfId="23830" xr:uid="{40939E41-CE82-4775-A362-0EF6DE45FA7C}"/>
    <cellStyle name="Note 3 2 2 7 4" xfId="19619" xr:uid="{6B66F163-FDB6-4049-85B3-FA0798FBF6DD}"/>
    <cellStyle name="Note 3 2 2 8" xfId="2753" xr:uid="{00000000-0005-0000-0000-000078210000}"/>
    <cellStyle name="Note 3 2 2 9" xfId="2834" xr:uid="{00000000-0005-0000-0000-000079210000}"/>
    <cellStyle name="Note 3 2 2 9 2" xfId="7059" xr:uid="{00000000-0005-0000-0000-00007A210000}"/>
    <cellStyle name="Note 3 2 2 9 2 2" xfId="15488" xr:uid="{C0820D5B-77CC-48DF-9F79-5E8AEC6718B0}"/>
    <cellStyle name="Note 3 2 2 9 2 3" xfId="28121" xr:uid="{9D28ADCE-CE42-496D-AFC5-574E3B3CADA6}"/>
    <cellStyle name="Note 3 2 2 9 3" xfId="11270" xr:uid="{76D10E62-3EE3-43CC-9B24-A9E99C9519B6}"/>
    <cellStyle name="Note 3 2 2 9 3 2" xfId="23910" xr:uid="{2463D94A-6F50-491F-8142-92DD8C5D9B46}"/>
    <cellStyle name="Note 3 2 2 9 4" xfId="19699" xr:uid="{16192AD0-0C4D-4A73-AF1F-A04944F90ADC}"/>
    <cellStyle name="Note 3 2 3" xfId="558" xr:uid="{00000000-0005-0000-0000-00007B210000}"/>
    <cellStyle name="Note 3 2 3 10" xfId="9127" xr:uid="{D975A594-2224-40F9-89FB-FDC67654F419}"/>
    <cellStyle name="Note 3 2 3 10 2" xfId="21767" xr:uid="{837E0BA9-58A4-4635-AC36-8B27B8D32C47}"/>
    <cellStyle name="Note 3 2 3 11" xfId="17556" xr:uid="{7BFF3D54-EA87-426C-AB26-A5A2AA27119D}"/>
    <cellStyle name="Note 3 2 3 2" xfId="1018" xr:uid="{00000000-0005-0000-0000-00007C210000}"/>
    <cellStyle name="Note 3 2 3 2 2" xfId="3250" xr:uid="{00000000-0005-0000-0000-00007D210000}"/>
    <cellStyle name="Note 3 2 3 2 2 2" xfId="7474" xr:uid="{00000000-0005-0000-0000-00007E210000}"/>
    <cellStyle name="Note 3 2 3 2 2 2 2" xfId="15903" xr:uid="{891310AE-FD1B-483D-B736-4C4C67D8F0E9}"/>
    <cellStyle name="Note 3 2 3 2 2 2 3" xfId="28536" xr:uid="{CA5E1CA7-58C8-4DEF-9176-ED6AC98D9D75}"/>
    <cellStyle name="Note 3 2 3 2 2 3" xfId="11685" xr:uid="{70F3BF59-252B-4659-9B8D-FD2778825281}"/>
    <cellStyle name="Note 3 2 3 2 2 3 2" xfId="24325" xr:uid="{5D3FC758-A673-4C8D-9AD7-E1D919965912}"/>
    <cellStyle name="Note 3 2 3 2 2 4" xfId="20114" xr:uid="{FE44EAC9-3437-4420-8E6B-E3AE8AAB15F1}"/>
    <cellStyle name="Note 3 2 3 2 3" xfId="5329" xr:uid="{00000000-0005-0000-0000-00007F210000}"/>
    <cellStyle name="Note 3 2 3 2 3 2" xfId="13758" xr:uid="{81B5309B-2F22-4E70-B487-08E2990D43B6}"/>
    <cellStyle name="Note 3 2 3 2 3 3" xfId="26391" xr:uid="{E67412AD-5EA0-49F3-BF33-A7052BA3FD95}"/>
    <cellStyle name="Note 3 2 3 2 4" xfId="9540" xr:uid="{290BCD30-8CF9-463E-8D4F-6CB00D2C9920}"/>
    <cellStyle name="Note 3 2 3 2 4 2" xfId="22180" xr:uid="{4366CD0C-CC78-4E61-8685-B0A24286E682}"/>
    <cellStyle name="Note 3 2 3 2 5" xfId="17969" xr:uid="{ED146FA5-F9B4-48BB-8775-919CCD1061AF}"/>
    <cellStyle name="Note 3 2 3 3" xfId="1433" xr:uid="{00000000-0005-0000-0000-000080210000}"/>
    <cellStyle name="Note 3 2 3 3 2" xfId="3663" xr:uid="{00000000-0005-0000-0000-000081210000}"/>
    <cellStyle name="Note 3 2 3 3 2 2" xfId="7887" xr:uid="{00000000-0005-0000-0000-000082210000}"/>
    <cellStyle name="Note 3 2 3 3 2 2 2" xfId="16316" xr:uid="{32EC3097-F016-4815-A99E-9DF351E30119}"/>
    <cellStyle name="Note 3 2 3 3 2 2 3" xfId="28949" xr:uid="{4DCA6306-9B77-4604-8E46-15BCBAC4C5F8}"/>
    <cellStyle name="Note 3 2 3 3 2 3" xfId="12098" xr:uid="{6D35A25C-E8C0-4CA8-97C0-3FDD2A325169}"/>
    <cellStyle name="Note 3 2 3 3 2 3 2" xfId="24738" xr:uid="{C3C7E1D8-3A1F-460F-868C-610262DC6718}"/>
    <cellStyle name="Note 3 2 3 3 2 4" xfId="20527" xr:uid="{1E65E81C-88D6-42F2-828D-B0F61D318170}"/>
    <cellStyle name="Note 3 2 3 3 3" xfId="5742" xr:uid="{00000000-0005-0000-0000-000083210000}"/>
    <cellStyle name="Note 3 2 3 3 3 2" xfId="14171" xr:uid="{7D2C3E7F-ABB9-4DB8-BA87-1E3984D7419F}"/>
    <cellStyle name="Note 3 2 3 3 3 3" xfId="26804" xr:uid="{F63B2CC3-ACF0-4A23-87D6-F421B47D3D59}"/>
    <cellStyle name="Note 3 2 3 3 4" xfId="9953" xr:uid="{183579DF-F92D-4C8D-9ED2-1980D1180D4A}"/>
    <cellStyle name="Note 3 2 3 3 4 2" xfId="22593" xr:uid="{1C7084C1-2709-4163-80C6-4F38A6A7E817}"/>
    <cellStyle name="Note 3 2 3 3 5" xfId="18382" xr:uid="{ECD1F993-39AC-4EC5-B99E-6E1F8B2D5008}"/>
    <cellStyle name="Note 3 2 3 4" xfId="1847" xr:uid="{00000000-0005-0000-0000-000084210000}"/>
    <cellStyle name="Note 3 2 3 4 2" xfId="4076" xr:uid="{00000000-0005-0000-0000-000085210000}"/>
    <cellStyle name="Note 3 2 3 4 2 2" xfId="8300" xr:uid="{00000000-0005-0000-0000-000086210000}"/>
    <cellStyle name="Note 3 2 3 4 2 2 2" xfId="16729" xr:uid="{E49BE346-8F55-44DE-9026-77621222A35F}"/>
    <cellStyle name="Note 3 2 3 4 2 2 3" xfId="29362" xr:uid="{9AA23FE1-700E-4E40-AE78-9DA683DE2CAB}"/>
    <cellStyle name="Note 3 2 3 4 2 3" xfId="12511" xr:uid="{9E8B356E-AA27-475D-9BF7-66BA7A45D127}"/>
    <cellStyle name="Note 3 2 3 4 2 3 2" xfId="25151" xr:uid="{6335DBFE-5BD6-4CFB-AFE0-9DB6FD8E0CBC}"/>
    <cellStyle name="Note 3 2 3 4 2 4" xfId="20940" xr:uid="{D27FABC5-2895-4724-B41E-6FE2A95789AE}"/>
    <cellStyle name="Note 3 2 3 4 3" xfId="6155" xr:uid="{00000000-0005-0000-0000-000087210000}"/>
    <cellStyle name="Note 3 2 3 4 3 2" xfId="14584" xr:uid="{0B6BA999-0209-45F3-8096-7ABC1E49114E}"/>
    <cellStyle name="Note 3 2 3 4 3 3" xfId="27217" xr:uid="{F8CDD666-6F0F-439A-B62F-E29AA57B89C0}"/>
    <cellStyle name="Note 3 2 3 4 4" xfId="10366" xr:uid="{8740A401-6E92-4980-8431-A0CB60590028}"/>
    <cellStyle name="Note 3 2 3 4 4 2" xfId="23006" xr:uid="{7C6DBC4A-0202-46E8-9D23-6C05623DD4E7}"/>
    <cellStyle name="Note 3 2 3 4 5" xfId="18795" xr:uid="{21176DFD-8CB9-4D04-A4B1-7CE3A0B03F5E}"/>
    <cellStyle name="Note 3 2 3 5" xfId="2260" xr:uid="{00000000-0005-0000-0000-000088210000}"/>
    <cellStyle name="Note 3 2 3 5 2" xfId="4489" xr:uid="{00000000-0005-0000-0000-000089210000}"/>
    <cellStyle name="Note 3 2 3 5 2 2" xfId="8713" xr:uid="{00000000-0005-0000-0000-00008A210000}"/>
    <cellStyle name="Note 3 2 3 5 2 2 2" xfId="17142" xr:uid="{67413A73-9339-40A0-90F2-6AC9165C0507}"/>
    <cellStyle name="Note 3 2 3 5 2 2 3" xfId="29775" xr:uid="{F7767AA5-69FB-415D-B80C-FA341B3C50DC}"/>
    <cellStyle name="Note 3 2 3 5 2 3" xfId="12924" xr:uid="{C494C61B-34F4-4A6D-9826-F86F22E63E8F}"/>
    <cellStyle name="Note 3 2 3 5 2 3 2" xfId="25564" xr:uid="{AC883BD6-A10F-45A3-A144-7ED47F7ECC08}"/>
    <cellStyle name="Note 3 2 3 5 2 4" xfId="21353" xr:uid="{1F33BCA6-BB76-413B-A966-6E59F2D085F3}"/>
    <cellStyle name="Note 3 2 3 5 3" xfId="6568" xr:uid="{00000000-0005-0000-0000-00008B210000}"/>
    <cellStyle name="Note 3 2 3 5 3 2" xfId="14997" xr:uid="{5705BB3D-FB21-4A5D-AFE2-964814C92C0A}"/>
    <cellStyle name="Note 3 2 3 5 3 3" xfId="27630" xr:uid="{D78BC442-B8C6-4174-B466-F5DD7C07AC3F}"/>
    <cellStyle name="Note 3 2 3 5 4" xfId="10779" xr:uid="{C83AAABF-A415-4A6F-A057-77398149F9EA}"/>
    <cellStyle name="Note 3 2 3 5 4 2" xfId="23419" xr:uid="{F706BB26-1FE8-4570-B5C8-BFB96416BC93}"/>
    <cellStyle name="Note 3 2 3 5 5" xfId="19208" xr:uid="{1026FEEE-4FAE-480B-8589-D87D4AACB2E9}"/>
    <cellStyle name="Note 3 2 3 6" xfId="2696" xr:uid="{00000000-0005-0000-0000-00008C210000}"/>
    <cellStyle name="Note 3 2 3 6 2" xfId="6981" xr:uid="{00000000-0005-0000-0000-00008D210000}"/>
    <cellStyle name="Note 3 2 3 6 2 2" xfId="15410" xr:uid="{148AA123-4668-4900-B423-D5751D3F6132}"/>
    <cellStyle name="Note 3 2 3 6 2 3" xfId="28043" xr:uid="{3AAD218E-07BF-42FE-B9F2-385675FF42A3}"/>
    <cellStyle name="Note 3 2 3 6 3" xfId="11192" xr:uid="{CAD6F1C4-305E-450E-8B0C-E2CC71B55C7D}"/>
    <cellStyle name="Note 3 2 3 6 3 2" xfId="23832" xr:uid="{4EE02581-056A-4DCB-A26D-EAE8F7A41D89}"/>
    <cellStyle name="Note 3 2 3 6 4" xfId="19621" xr:uid="{7049D366-C251-47FE-8C7F-D53BF11ACDF8}"/>
    <cellStyle name="Note 3 2 3 7" xfId="2755" xr:uid="{00000000-0005-0000-0000-00008E210000}"/>
    <cellStyle name="Note 3 2 3 8" xfId="2836" xr:uid="{00000000-0005-0000-0000-00008F210000}"/>
    <cellStyle name="Note 3 2 3 8 2" xfId="7061" xr:uid="{00000000-0005-0000-0000-000090210000}"/>
    <cellStyle name="Note 3 2 3 8 2 2" xfId="15490" xr:uid="{058993D1-C512-4E93-BA0D-B26CA034DE36}"/>
    <cellStyle name="Note 3 2 3 8 2 3" xfId="28123" xr:uid="{97AC5343-D180-4D6A-BD57-D1F099D72466}"/>
    <cellStyle name="Note 3 2 3 8 3" xfId="11272" xr:uid="{418625D1-9C9B-453A-8035-EEA206198A98}"/>
    <cellStyle name="Note 3 2 3 8 3 2" xfId="23912" xr:uid="{03751AD3-FF80-43AB-9B71-91D359AD65C4}"/>
    <cellStyle name="Note 3 2 3 8 4" xfId="19701" xr:uid="{4ABB10BB-B8DD-46EC-BFFD-A9B9A7953C06}"/>
    <cellStyle name="Note 3 2 3 9" xfId="4916" xr:uid="{00000000-0005-0000-0000-000091210000}"/>
    <cellStyle name="Note 3 2 3 9 2" xfId="13345" xr:uid="{C47F78F4-6BB7-465F-A0E9-20DCF0713D5F}"/>
    <cellStyle name="Note 3 2 3 9 3" xfId="25978" xr:uid="{E73F5647-4A27-42A5-BF9E-1631307F020E}"/>
    <cellStyle name="Note 3 2 4" xfId="1015" xr:uid="{00000000-0005-0000-0000-000092210000}"/>
    <cellStyle name="Note 3 2 4 2" xfId="3247" xr:uid="{00000000-0005-0000-0000-000093210000}"/>
    <cellStyle name="Note 3 2 4 2 2" xfId="7471" xr:uid="{00000000-0005-0000-0000-000094210000}"/>
    <cellStyle name="Note 3 2 4 2 2 2" xfId="15900" xr:uid="{51ABA508-3C23-4032-BBD3-4DD9312689C0}"/>
    <cellStyle name="Note 3 2 4 2 2 3" xfId="28533" xr:uid="{8C183ACB-0C88-4525-AB44-288F0B979588}"/>
    <cellStyle name="Note 3 2 4 2 3" xfId="11682" xr:uid="{A31830F3-F24A-45E8-A011-6CB01BE5BE45}"/>
    <cellStyle name="Note 3 2 4 2 3 2" xfId="24322" xr:uid="{28752466-E105-4896-A4BA-76063E0889B8}"/>
    <cellStyle name="Note 3 2 4 2 4" xfId="20111" xr:uid="{B1B78BAD-ABDA-4841-A38C-0F35D5575C02}"/>
    <cellStyle name="Note 3 2 4 3" xfId="5326" xr:uid="{00000000-0005-0000-0000-000095210000}"/>
    <cellStyle name="Note 3 2 4 3 2" xfId="13755" xr:uid="{8471F001-BD61-4C05-AA60-638546DC3AF6}"/>
    <cellStyle name="Note 3 2 4 3 3" xfId="26388" xr:uid="{2A607C61-9376-4D36-9F64-39AEDDA854B6}"/>
    <cellStyle name="Note 3 2 4 4" xfId="9537" xr:uid="{D88D1BFF-081C-428F-A7D2-1CC7C47BDAAF}"/>
    <cellStyle name="Note 3 2 4 4 2" xfId="22177" xr:uid="{CFB8E6B9-F51D-48C9-8F4B-5781D8255B2B}"/>
    <cellStyle name="Note 3 2 4 5" xfId="17966" xr:uid="{02B60EC8-5968-4C63-B715-F5BA5DBB7CFC}"/>
    <cellStyle name="Note 3 2 5" xfId="1430" xr:uid="{00000000-0005-0000-0000-000096210000}"/>
    <cellStyle name="Note 3 2 5 2" xfId="3660" xr:uid="{00000000-0005-0000-0000-000097210000}"/>
    <cellStyle name="Note 3 2 5 2 2" xfId="7884" xr:uid="{00000000-0005-0000-0000-000098210000}"/>
    <cellStyle name="Note 3 2 5 2 2 2" xfId="16313" xr:uid="{7F47786A-5FC0-4561-95FC-FC2768BFFD48}"/>
    <cellStyle name="Note 3 2 5 2 2 3" xfId="28946" xr:uid="{B7C219C7-0709-4C4F-9061-B72270555E10}"/>
    <cellStyle name="Note 3 2 5 2 3" xfId="12095" xr:uid="{DEA3E8CB-811D-468C-8EE2-6E438DB43A04}"/>
    <cellStyle name="Note 3 2 5 2 3 2" xfId="24735" xr:uid="{4A1D2003-2F4F-496E-A03F-4A0404D58EC6}"/>
    <cellStyle name="Note 3 2 5 2 4" xfId="20524" xr:uid="{A83EDA1B-2DCC-458F-9564-326C45DB9E4A}"/>
    <cellStyle name="Note 3 2 5 3" xfId="5739" xr:uid="{00000000-0005-0000-0000-000099210000}"/>
    <cellStyle name="Note 3 2 5 3 2" xfId="14168" xr:uid="{9BA9AC09-AA17-43B6-AF6F-D44608A36FCA}"/>
    <cellStyle name="Note 3 2 5 3 3" xfId="26801" xr:uid="{A04DBE49-65D7-4D69-9325-20A54535A548}"/>
    <cellStyle name="Note 3 2 5 4" xfId="9950" xr:uid="{F10300F2-4DEB-489F-B8AB-EDAD8D880F59}"/>
    <cellStyle name="Note 3 2 5 4 2" xfId="22590" xr:uid="{EC5F5D3E-3D0B-49CB-8BEA-DA18AFDA8401}"/>
    <cellStyle name="Note 3 2 5 5" xfId="18379" xr:uid="{1391D495-D2F1-49FF-A136-4565777DE8D5}"/>
    <cellStyle name="Note 3 2 6" xfId="1844" xr:uid="{00000000-0005-0000-0000-00009A210000}"/>
    <cellStyle name="Note 3 2 6 2" xfId="4073" xr:uid="{00000000-0005-0000-0000-00009B210000}"/>
    <cellStyle name="Note 3 2 6 2 2" xfId="8297" xr:uid="{00000000-0005-0000-0000-00009C210000}"/>
    <cellStyle name="Note 3 2 6 2 2 2" xfId="16726" xr:uid="{765AE01B-F76D-4030-B79D-FF8C23BB50C6}"/>
    <cellStyle name="Note 3 2 6 2 2 3" xfId="29359" xr:uid="{0AC10E5B-56FC-45C7-BE27-529307F435E4}"/>
    <cellStyle name="Note 3 2 6 2 3" xfId="12508" xr:uid="{315C71E1-7106-48EB-A463-A19046652F46}"/>
    <cellStyle name="Note 3 2 6 2 3 2" xfId="25148" xr:uid="{8FC767B8-072B-4301-998B-1EB42FC1C13C}"/>
    <cellStyle name="Note 3 2 6 2 4" xfId="20937" xr:uid="{C6A97248-BE0B-4815-9D38-92EBA25B6E1A}"/>
    <cellStyle name="Note 3 2 6 3" xfId="6152" xr:uid="{00000000-0005-0000-0000-00009D210000}"/>
    <cellStyle name="Note 3 2 6 3 2" xfId="14581" xr:uid="{D2CE10A1-9854-40F7-9FC4-EE314BF0E17C}"/>
    <cellStyle name="Note 3 2 6 3 3" xfId="27214" xr:uid="{73043035-8F92-411F-A549-870BB4EDBF6A}"/>
    <cellStyle name="Note 3 2 6 4" xfId="10363" xr:uid="{C50EA2CC-A2BE-44ED-A17F-33F7B2506FCA}"/>
    <cellStyle name="Note 3 2 6 4 2" xfId="23003" xr:uid="{15F3014D-5C6E-4327-A9CD-632AE80083EB}"/>
    <cellStyle name="Note 3 2 6 5" xfId="18792" xr:uid="{1A25AB0F-2364-4E35-B5B5-28C95B1E8E42}"/>
    <cellStyle name="Note 3 2 7" xfId="2257" xr:uid="{00000000-0005-0000-0000-00009E210000}"/>
    <cellStyle name="Note 3 2 7 2" xfId="4486" xr:uid="{00000000-0005-0000-0000-00009F210000}"/>
    <cellStyle name="Note 3 2 7 2 2" xfId="8710" xr:uid="{00000000-0005-0000-0000-0000A0210000}"/>
    <cellStyle name="Note 3 2 7 2 2 2" xfId="17139" xr:uid="{B2EA18B6-F5A5-40F3-9E4B-029546B960FA}"/>
    <cellStyle name="Note 3 2 7 2 2 3" xfId="29772" xr:uid="{AD0AB09F-66B6-4B62-939C-DA79F7309F56}"/>
    <cellStyle name="Note 3 2 7 2 3" xfId="12921" xr:uid="{4499CEFB-E0AC-4DE2-BEF5-8B34C58B6027}"/>
    <cellStyle name="Note 3 2 7 2 3 2" xfId="25561" xr:uid="{CF403F1E-5FCF-4992-BD9A-25EA5B8D62BF}"/>
    <cellStyle name="Note 3 2 7 2 4" xfId="21350" xr:uid="{21610392-5A06-4A65-B392-AAC1E2B289F6}"/>
    <cellStyle name="Note 3 2 7 3" xfId="6565" xr:uid="{00000000-0005-0000-0000-0000A1210000}"/>
    <cellStyle name="Note 3 2 7 3 2" xfId="14994" xr:uid="{A4769342-F9FD-4969-8659-98F41F1235B3}"/>
    <cellStyle name="Note 3 2 7 3 3" xfId="27627" xr:uid="{806BDB48-122B-4A13-8766-22A77EDD21E1}"/>
    <cellStyle name="Note 3 2 7 4" xfId="10776" xr:uid="{D085843F-A540-41A3-8A1C-3E33062DAB3F}"/>
    <cellStyle name="Note 3 2 7 4 2" xfId="23416" xr:uid="{79434487-5164-425D-8700-46FC4DE3FEC4}"/>
    <cellStyle name="Note 3 2 7 5" xfId="19205" xr:uid="{48C150D0-DCCE-434D-B129-EE1412147F62}"/>
    <cellStyle name="Note 3 2 8" xfId="2693" xr:uid="{00000000-0005-0000-0000-0000A2210000}"/>
    <cellStyle name="Note 3 2 8 2" xfId="6978" xr:uid="{00000000-0005-0000-0000-0000A3210000}"/>
    <cellStyle name="Note 3 2 8 2 2" xfId="15407" xr:uid="{865D73CD-02A9-4EBA-984F-6A285D99FC65}"/>
    <cellStyle name="Note 3 2 8 2 3" xfId="28040" xr:uid="{AF703D1C-D180-4F96-A00F-5E1B8654AFFE}"/>
    <cellStyle name="Note 3 2 8 3" xfId="11189" xr:uid="{66BE10EA-6D60-44DA-ADA9-E55E7822F435}"/>
    <cellStyle name="Note 3 2 8 3 2" xfId="23829" xr:uid="{CB31C21C-99F2-4388-9E70-4A4757C2A82E}"/>
    <cellStyle name="Note 3 2 8 4" xfId="19618" xr:uid="{68BD51F1-202E-4CD7-88F1-046C8486D419}"/>
    <cellStyle name="Note 3 2 9" xfId="2752" xr:uid="{00000000-0005-0000-0000-0000A4210000}"/>
    <cellStyle name="Note 3 3" xfId="559" xr:uid="{00000000-0005-0000-0000-0000A5210000}"/>
    <cellStyle name="Note 3 3 10" xfId="4917" xr:uid="{00000000-0005-0000-0000-0000A6210000}"/>
    <cellStyle name="Note 3 3 10 2" xfId="13346" xr:uid="{8F21AE2C-F9F0-4B65-AE9E-5BDDA379CB8C}"/>
    <cellStyle name="Note 3 3 10 3" xfId="25979" xr:uid="{658BFE06-970E-4460-B486-5E17AF8A9E74}"/>
    <cellStyle name="Note 3 3 11" xfId="9128" xr:uid="{B88C29A6-86E9-4C1E-AED6-254A3BABDCE6}"/>
    <cellStyle name="Note 3 3 11 2" xfId="21768" xr:uid="{B726A640-40C8-4083-A207-4941FC147317}"/>
    <cellStyle name="Note 3 3 12" xfId="17557" xr:uid="{FB3DF2D5-1080-4475-9ECC-95977F980DB0}"/>
    <cellStyle name="Note 3 3 2" xfId="560" xr:uid="{00000000-0005-0000-0000-0000A7210000}"/>
    <cellStyle name="Note 3 3 2 10" xfId="9129" xr:uid="{5DB94BCA-9772-47CD-8555-4F4C89159004}"/>
    <cellStyle name="Note 3 3 2 10 2" xfId="21769" xr:uid="{AD4EBAA0-688F-4102-8EBD-8893ABBD46F2}"/>
    <cellStyle name="Note 3 3 2 11" xfId="17558" xr:uid="{49AA7E37-0077-401B-9648-77EAE5588A4E}"/>
    <cellStyle name="Note 3 3 2 2" xfId="1020" xr:uid="{00000000-0005-0000-0000-0000A8210000}"/>
    <cellStyle name="Note 3 3 2 2 2" xfId="3252" xr:uid="{00000000-0005-0000-0000-0000A9210000}"/>
    <cellStyle name="Note 3 3 2 2 2 2" xfId="7476" xr:uid="{00000000-0005-0000-0000-0000AA210000}"/>
    <cellStyle name="Note 3 3 2 2 2 2 2" xfId="15905" xr:uid="{5508D8F7-6064-4DEC-95DF-F26F0898342D}"/>
    <cellStyle name="Note 3 3 2 2 2 2 3" xfId="28538" xr:uid="{651A196F-46EE-4B5B-A5BE-720450ED801A}"/>
    <cellStyle name="Note 3 3 2 2 2 3" xfId="11687" xr:uid="{30D42A78-4B1A-4C3D-8B24-3083C2CC5015}"/>
    <cellStyle name="Note 3 3 2 2 2 3 2" xfId="24327" xr:uid="{217E8A27-6C32-426B-990D-4E3F01102ECB}"/>
    <cellStyle name="Note 3 3 2 2 2 4" xfId="20116" xr:uid="{BC588FB7-9BF0-4286-BBA3-93007BAD27E7}"/>
    <cellStyle name="Note 3 3 2 2 3" xfId="5331" xr:uid="{00000000-0005-0000-0000-0000AB210000}"/>
    <cellStyle name="Note 3 3 2 2 3 2" xfId="13760" xr:uid="{F29BEB8E-3FA2-488E-9433-C64DD4FCE6C3}"/>
    <cellStyle name="Note 3 3 2 2 3 3" xfId="26393" xr:uid="{36B00A98-FD1D-4138-A02F-43217AB47B6A}"/>
    <cellStyle name="Note 3 3 2 2 4" xfId="9542" xr:uid="{D4276A57-2478-4DD9-A953-C786A2350209}"/>
    <cellStyle name="Note 3 3 2 2 4 2" xfId="22182" xr:uid="{20471F0A-6408-4E8D-9C8B-0FC26ADD0E57}"/>
    <cellStyle name="Note 3 3 2 2 5" xfId="17971" xr:uid="{76816922-A1B1-4A56-8B33-945EFFD771BE}"/>
    <cellStyle name="Note 3 3 2 3" xfId="1435" xr:uid="{00000000-0005-0000-0000-0000AC210000}"/>
    <cellStyle name="Note 3 3 2 3 2" xfId="3665" xr:uid="{00000000-0005-0000-0000-0000AD210000}"/>
    <cellStyle name="Note 3 3 2 3 2 2" xfId="7889" xr:uid="{00000000-0005-0000-0000-0000AE210000}"/>
    <cellStyle name="Note 3 3 2 3 2 2 2" xfId="16318" xr:uid="{FF02D747-745F-4382-BCAA-9995C0B00C9A}"/>
    <cellStyle name="Note 3 3 2 3 2 2 3" xfId="28951" xr:uid="{A0C338DE-23C6-4B0B-91B1-87843269D703}"/>
    <cellStyle name="Note 3 3 2 3 2 3" xfId="12100" xr:uid="{10FE5608-E19C-41D2-A1FC-ABF46B12A73C}"/>
    <cellStyle name="Note 3 3 2 3 2 3 2" xfId="24740" xr:uid="{858454A4-CA5B-4EAF-B8AC-0CE1FE02D6BB}"/>
    <cellStyle name="Note 3 3 2 3 2 4" xfId="20529" xr:uid="{70C41BB2-BEA5-4E75-9C18-C8D0055958D8}"/>
    <cellStyle name="Note 3 3 2 3 3" xfId="5744" xr:uid="{00000000-0005-0000-0000-0000AF210000}"/>
    <cellStyle name="Note 3 3 2 3 3 2" xfId="14173" xr:uid="{1B9A3226-B327-4AF4-9599-268DA7A0E7AA}"/>
    <cellStyle name="Note 3 3 2 3 3 3" xfId="26806" xr:uid="{C751E3F1-AA68-4C87-806C-88FE832027A8}"/>
    <cellStyle name="Note 3 3 2 3 4" xfId="9955" xr:uid="{D7F92758-8176-4446-9473-87EA6FBDE585}"/>
    <cellStyle name="Note 3 3 2 3 4 2" xfId="22595" xr:uid="{64E892CE-7431-4FF6-AEFC-DD5947F26037}"/>
    <cellStyle name="Note 3 3 2 3 5" xfId="18384" xr:uid="{9C50D69B-E155-40D9-8D7E-04EE3A79666C}"/>
    <cellStyle name="Note 3 3 2 4" xfId="1849" xr:uid="{00000000-0005-0000-0000-0000B0210000}"/>
    <cellStyle name="Note 3 3 2 4 2" xfId="4078" xr:uid="{00000000-0005-0000-0000-0000B1210000}"/>
    <cellStyle name="Note 3 3 2 4 2 2" xfId="8302" xr:uid="{00000000-0005-0000-0000-0000B2210000}"/>
    <cellStyle name="Note 3 3 2 4 2 2 2" xfId="16731" xr:uid="{4FA73A86-9B0A-431A-99C6-9FD2B2100341}"/>
    <cellStyle name="Note 3 3 2 4 2 2 3" xfId="29364" xr:uid="{8387A47E-7879-4A2A-92E6-1D160401D17D}"/>
    <cellStyle name="Note 3 3 2 4 2 3" xfId="12513" xr:uid="{AB948F78-68C7-4D24-B154-BF35E9B0BC9F}"/>
    <cellStyle name="Note 3 3 2 4 2 3 2" xfId="25153" xr:uid="{616DD4FF-E12E-4A8C-A1F1-E56E093CDA48}"/>
    <cellStyle name="Note 3 3 2 4 2 4" xfId="20942" xr:uid="{C61329CA-63F0-400E-931A-03E0A0665BD8}"/>
    <cellStyle name="Note 3 3 2 4 3" xfId="6157" xr:uid="{00000000-0005-0000-0000-0000B3210000}"/>
    <cellStyle name="Note 3 3 2 4 3 2" xfId="14586" xr:uid="{45CD58CF-AFA9-49C9-936D-6C25F61E8B1B}"/>
    <cellStyle name="Note 3 3 2 4 3 3" xfId="27219" xr:uid="{2218E0F4-781C-470E-A088-C94229935721}"/>
    <cellStyle name="Note 3 3 2 4 4" xfId="10368" xr:uid="{9E8512DF-32A6-431D-8038-48B96364227C}"/>
    <cellStyle name="Note 3 3 2 4 4 2" xfId="23008" xr:uid="{0E8ACA17-695E-443F-A393-D8B04DF957F7}"/>
    <cellStyle name="Note 3 3 2 4 5" xfId="18797" xr:uid="{2D6421C2-441B-4725-ACE4-8CA97E444045}"/>
    <cellStyle name="Note 3 3 2 5" xfId="2262" xr:uid="{00000000-0005-0000-0000-0000B4210000}"/>
    <cellStyle name="Note 3 3 2 5 2" xfId="4491" xr:uid="{00000000-0005-0000-0000-0000B5210000}"/>
    <cellStyle name="Note 3 3 2 5 2 2" xfId="8715" xr:uid="{00000000-0005-0000-0000-0000B6210000}"/>
    <cellStyle name="Note 3 3 2 5 2 2 2" xfId="17144" xr:uid="{024CEDCC-3C1C-4637-841C-44030C355B30}"/>
    <cellStyle name="Note 3 3 2 5 2 2 3" xfId="29777" xr:uid="{F8EAA515-D154-468E-B51A-2B8FB94E0C05}"/>
    <cellStyle name="Note 3 3 2 5 2 3" xfId="12926" xr:uid="{8C472369-FC96-4C22-861E-9171D485E09E}"/>
    <cellStyle name="Note 3 3 2 5 2 3 2" xfId="25566" xr:uid="{324588BE-4F04-48C9-BB36-8025DD7C9E6A}"/>
    <cellStyle name="Note 3 3 2 5 2 4" xfId="21355" xr:uid="{0DD2D1EE-00BE-4138-9224-F5796CC24FFA}"/>
    <cellStyle name="Note 3 3 2 5 3" xfId="6570" xr:uid="{00000000-0005-0000-0000-0000B7210000}"/>
    <cellStyle name="Note 3 3 2 5 3 2" xfId="14999" xr:uid="{6FA36E10-8E25-4244-88E7-D12F6E18704F}"/>
    <cellStyle name="Note 3 3 2 5 3 3" xfId="27632" xr:uid="{AF2551C1-DC12-4795-A71A-00A161279D46}"/>
    <cellStyle name="Note 3 3 2 5 4" xfId="10781" xr:uid="{2281769B-0924-4373-A583-0FCBC15A6324}"/>
    <cellStyle name="Note 3 3 2 5 4 2" xfId="23421" xr:uid="{54E74FDD-CDC5-4D1F-9E4A-8AC5520A8DB4}"/>
    <cellStyle name="Note 3 3 2 5 5" xfId="19210" xr:uid="{A2D310D5-DA17-4F79-B253-94E3F485BC50}"/>
    <cellStyle name="Note 3 3 2 6" xfId="2698" xr:uid="{00000000-0005-0000-0000-0000B8210000}"/>
    <cellStyle name="Note 3 3 2 6 2" xfId="6983" xr:uid="{00000000-0005-0000-0000-0000B9210000}"/>
    <cellStyle name="Note 3 3 2 6 2 2" xfId="15412" xr:uid="{5D8AC434-9673-4B9A-BFC3-70167F1842E1}"/>
    <cellStyle name="Note 3 3 2 6 2 3" xfId="28045" xr:uid="{3CD68AE0-8762-44E0-9E10-F4BA6DA1A3A3}"/>
    <cellStyle name="Note 3 3 2 6 3" xfId="11194" xr:uid="{626F4F0E-333A-44C0-BC19-396BE588DC75}"/>
    <cellStyle name="Note 3 3 2 6 3 2" xfId="23834" xr:uid="{2F0846B5-4374-4E91-9F4F-0BFB3E6FA65F}"/>
    <cellStyle name="Note 3 3 2 6 4" xfId="19623" xr:uid="{5A4F8CEB-9DC6-4DA9-B579-F12C5DDC648D}"/>
    <cellStyle name="Note 3 3 2 7" xfId="2757" xr:uid="{00000000-0005-0000-0000-0000BA210000}"/>
    <cellStyle name="Note 3 3 2 8" xfId="2838" xr:uid="{00000000-0005-0000-0000-0000BB210000}"/>
    <cellStyle name="Note 3 3 2 8 2" xfId="7063" xr:uid="{00000000-0005-0000-0000-0000BC210000}"/>
    <cellStyle name="Note 3 3 2 8 2 2" xfId="15492" xr:uid="{D1A4C073-6681-491C-B301-B2B1AE9DE532}"/>
    <cellStyle name="Note 3 3 2 8 2 3" xfId="28125" xr:uid="{02A5C0DB-CBC7-4708-9EC9-C778C81F019F}"/>
    <cellStyle name="Note 3 3 2 8 3" xfId="11274" xr:uid="{43AE4392-02B0-4B02-9A4C-D17BD85B94F9}"/>
    <cellStyle name="Note 3 3 2 8 3 2" xfId="23914" xr:uid="{4237AABE-CDF3-498A-8AB0-8E78725BBDC8}"/>
    <cellStyle name="Note 3 3 2 8 4" xfId="19703" xr:uid="{9C20027D-5188-4B5F-9E82-66FB2F91CF0C}"/>
    <cellStyle name="Note 3 3 2 9" xfId="4918" xr:uid="{00000000-0005-0000-0000-0000BD210000}"/>
    <cellStyle name="Note 3 3 2 9 2" xfId="13347" xr:uid="{5352E786-56F0-4BC6-92AA-AA9AF1ED6AA5}"/>
    <cellStyle name="Note 3 3 2 9 3" xfId="25980" xr:uid="{10334A09-8824-4B0D-9353-02DA1150CF74}"/>
    <cellStyle name="Note 3 3 3" xfId="1019" xr:uid="{00000000-0005-0000-0000-0000BE210000}"/>
    <cellStyle name="Note 3 3 3 2" xfId="3251" xr:uid="{00000000-0005-0000-0000-0000BF210000}"/>
    <cellStyle name="Note 3 3 3 2 2" xfId="7475" xr:uid="{00000000-0005-0000-0000-0000C0210000}"/>
    <cellStyle name="Note 3 3 3 2 2 2" xfId="15904" xr:uid="{0ACAC564-F00F-4A9B-8CC1-DA8598A2BB86}"/>
    <cellStyle name="Note 3 3 3 2 2 3" xfId="28537" xr:uid="{D83A94D1-F4AF-49F9-85CB-47FA0AB8C0F8}"/>
    <cellStyle name="Note 3 3 3 2 3" xfId="11686" xr:uid="{A2C724ED-46AE-4993-B975-0B21E44B8BBC}"/>
    <cellStyle name="Note 3 3 3 2 3 2" xfId="24326" xr:uid="{5B8B01EE-10E1-4E7F-9E42-83C5932FBD61}"/>
    <cellStyle name="Note 3 3 3 2 4" xfId="20115" xr:uid="{612FEC0F-DBC0-40D7-AD83-BF1BEAB8C028}"/>
    <cellStyle name="Note 3 3 3 3" xfId="5330" xr:uid="{00000000-0005-0000-0000-0000C1210000}"/>
    <cellStyle name="Note 3 3 3 3 2" xfId="13759" xr:uid="{B331BE4B-F8AD-4E69-BA17-1202CC70331D}"/>
    <cellStyle name="Note 3 3 3 3 3" xfId="26392" xr:uid="{E65A31B3-4DCA-48D2-831F-C96826B08823}"/>
    <cellStyle name="Note 3 3 3 4" xfId="9541" xr:uid="{CE23F440-48AC-41CC-AF7E-50C8A3EAF242}"/>
    <cellStyle name="Note 3 3 3 4 2" xfId="22181" xr:uid="{8965CD3A-366D-4CF0-AA55-4BF3DA04B687}"/>
    <cellStyle name="Note 3 3 3 5" xfId="17970" xr:uid="{F4683713-3FCB-4997-AC54-603B9B8EF416}"/>
    <cellStyle name="Note 3 3 4" xfId="1434" xr:uid="{00000000-0005-0000-0000-0000C2210000}"/>
    <cellStyle name="Note 3 3 4 2" xfId="3664" xr:uid="{00000000-0005-0000-0000-0000C3210000}"/>
    <cellStyle name="Note 3 3 4 2 2" xfId="7888" xr:uid="{00000000-0005-0000-0000-0000C4210000}"/>
    <cellStyle name="Note 3 3 4 2 2 2" xfId="16317" xr:uid="{5D7FF6B6-5959-4169-A757-1E28434B0A83}"/>
    <cellStyle name="Note 3 3 4 2 2 3" xfId="28950" xr:uid="{3883458E-4646-4E38-939E-33F4D2BD3358}"/>
    <cellStyle name="Note 3 3 4 2 3" xfId="12099" xr:uid="{03315AA2-DF99-441A-A9C7-027AF2BAE0DD}"/>
    <cellStyle name="Note 3 3 4 2 3 2" xfId="24739" xr:uid="{A8712EE1-22E5-41B6-B90D-7ACD5BAF9F12}"/>
    <cellStyle name="Note 3 3 4 2 4" xfId="20528" xr:uid="{620A2B3F-C289-417A-8436-07AFA91E3AF5}"/>
    <cellStyle name="Note 3 3 4 3" xfId="5743" xr:uid="{00000000-0005-0000-0000-0000C5210000}"/>
    <cellStyle name="Note 3 3 4 3 2" xfId="14172" xr:uid="{ACA0F44E-7C4D-4434-87D0-D1C3B3B2C935}"/>
    <cellStyle name="Note 3 3 4 3 3" xfId="26805" xr:uid="{2E3E4432-F9D3-4EBD-81DC-806F58BE17DB}"/>
    <cellStyle name="Note 3 3 4 4" xfId="9954" xr:uid="{646B93E0-A58B-4AF5-8E5F-CCBA8CA36EDE}"/>
    <cellStyle name="Note 3 3 4 4 2" xfId="22594" xr:uid="{45BC815B-664A-4BEE-A71B-C579149CA850}"/>
    <cellStyle name="Note 3 3 4 5" xfId="18383" xr:uid="{AF56E10D-E8C0-435F-9DBE-0A5C926D8CD8}"/>
    <cellStyle name="Note 3 3 5" xfId="1848" xr:uid="{00000000-0005-0000-0000-0000C6210000}"/>
    <cellStyle name="Note 3 3 5 2" xfId="4077" xr:uid="{00000000-0005-0000-0000-0000C7210000}"/>
    <cellStyle name="Note 3 3 5 2 2" xfId="8301" xr:uid="{00000000-0005-0000-0000-0000C8210000}"/>
    <cellStyle name="Note 3 3 5 2 2 2" xfId="16730" xr:uid="{E1138718-7EC4-407F-91D0-024AC313DE17}"/>
    <cellStyle name="Note 3 3 5 2 2 3" xfId="29363" xr:uid="{E1FCEBB2-8770-443C-9F1A-0DBE4FEC231B}"/>
    <cellStyle name="Note 3 3 5 2 3" xfId="12512" xr:uid="{1607CAF2-8EF1-4D6B-976D-77C126277B20}"/>
    <cellStyle name="Note 3 3 5 2 3 2" xfId="25152" xr:uid="{501AF076-EDAE-4F75-86BF-D7FAED2346A5}"/>
    <cellStyle name="Note 3 3 5 2 4" xfId="20941" xr:uid="{39FCA8D9-FAFC-408A-BDF1-4BC29980EB39}"/>
    <cellStyle name="Note 3 3 5 3" xfId="6156" xr:uid="{00000000-0005-0000-0000-0000C9210000}"/>
    <cellStyle name="Note 3 3 5 3 2" xfId="14585" xr:uid="{67EA18F6-E73F-43A5-8306-98D5F7326307}"/>
    <cellStyle name="Note 3 3 5 3 3" xfId="27218" xr:uid="{AE6AE59D-DC04-40D4-A181-CDECA3385087}"/>
    <cellStyle name="Note 3 3 5 4" xfId="10367" xr:uid="{9780ACE7-9117-41D2-AB5E-20DF0F611E53}"/>
    <cellStyle name="Note 3 3 5 4 2" xfId="23007" xr:uid="{1554DF2C-8C80-468C-9765-42DA9CF5B188}"/>
    <cellStyle name="Note 3 3 5 5" xfId="18796" xr:uid="{B460F1F8-59F4-433B-886C-B9C11AF944CD}"/>
    <cellStyle name="Note 3 3 6" xfId="2261" xr:uid="{00000000-0005-0000-0000-0000CA210000}"/>
    <cellStyle name="Note 3 3 6 2" xfId="4490" xr:uid="{00000000-0005-0000-0000-0000CB210000}"/>
    <cellStyle name="Note 3 3 6 2 2" xfId="8714" xr:uid="{00000000-0005-0000-0000-0000CC210000}"/>
    <cellStyle name="Note 3 3 6 2 2 2" xfId="17143" xr:uid="{F4EF8473-C3C4-41D6-9692-0D8290565C3E}"/>
    <cellStyle name="Note 3 3 6 2 2 3" xfId="29776" xr:uid="{40587839-F116-4642-907F-B606657CCCBF}"/>
    <cellStyle name="Note 3 3 6 2 3" xfId="12925" xr:uid="{1251ED58-82B7-4DD1-9C12-03CFAD9B14B8}"/>
    <cellStyle name="Note 3 3 6 2 3 2" xfId="25565" xr:uid="{2E2E2175-A3A6-49BF-A8D4-54487123B048}"/>
    <cellStyle name="Note 3 3 6 2 4" xfId="21354" xr:uid="{710CD611-1EA6-4ACC-A7A3-7C293C49A9F4}"/>
    <cellStyle name="Note 3 3 6 3" xfId="6569" xr:uid="{00000000-0005-0000-0000-0000CD210000}"/>
    <cellStyle name="Note 3 3 6 3 2" xfId="14998" xr:uid="{A9B41DDE-4E64-4198-A00E-36823C3BF35C}"/>
    <cellStyle name="Note 3 3 6 3 3" xfId="27631" xr:uid="{E166EBB5-BF21-4BFE-9D48-49F6175760B3}"/>
    <cellStyle name="Note 3 3 6 4" xfId="10780" xr:uid="{92030FF4-220B-4EF2-81EE-928CB34A7CA2}"/>
    <cellStyle name="Note 3 3 6 4 2" xfId="23420" xr:uid="{081F76BB-3611-4D91-A354-4463722510EA}"/>
    <cellStyle name="Note 3 3 6 5" xfId="19209" xr:uid="{9009B298-E9CE-48DE-8931-84B0F1347747}"/>
    <cellStyle name="Note 3 3 7" xfId="2697" xr:uid="{00000000-0005-0000-0000-0000CE210000}"/>
    <cellStyle name="Note 3 3 7 2" xfId="6982" xr:uid="{00000000-0005-0000-0000-0000CF210000}"/>
    <cellStyle name="Note 3 3 7 2 2" xfId="15411" xr:uid="{6C10A629-CABD-49E7-8576-E4B14359109B}"/>
    <cellStyle name="Note 3 3 7 2 3" xfId="28044" xr:uid="{08E6C9B5-AEEC-4890-A08A-5CDB0605AF3A}"/>
    <cellStyle name="Note 3 3 7 3" xfId="11193" xr:uid="{D124D34A-0714-4600-A3E1-8B08551FB7C6}"/>
    <cellStyle name="Note 3 3 7 3 2" xfId="23833" xr:uid="{81055B2D-0774-45B1-A93C-BD8E97B13F15}"/>
    <cellStyle name="Note 3 3 7 4" xfId="19622" xr:uid="{454B3D91-EA2B-41DD-90A7-E30449CA05C2}"/>
    <cellStyle name="Note 3 3 8" xfId="2756" xr:uid="{00000000-0005-0000-0000-0000D0210000}"/>
    <cellStyle name="Note 3 3 9" xfId="2837" xr:uid="{00000000-0005-0000-0000-0000D1210000}"/>
    <cellStyle name="Note 3 3 9 2" xfId="7062" xr:uid="{00000000-0005-0000-0000-0000D2210000}"/>
    <cellStyle name="Note 3 3 9 2 2" xfId="15491" xr:uid="{50357EDC-E2C6-4618-BBE2-5218FDEFA807}"/>
    <cellStyle name="Note 3 3 9 2 3" xfId="28124" xr:uid="{82931D53-3AFF-4759-A8D5-801BF094BA71}"/>
    <cellStyle name="Note 3 3 9 3" xfId="11273" xr:uid="{AAE06678-828F-4D37-A04E-2ACB4CD8FB2B}"/>
    <cellStyle name="Note 3 3 9 3 2" xfId="23913" xr:uid="{4D8655EC-AB0A-47F0-8EEA-2913F857F28F}"/>
    <cellStyle name="Note 3 3 9 4" xfId="19702" xr:uid="{7D30CD1B-60BE-45DF-91C1-CE0447DEFA62}"/>
    <cellStyle name="Note 3 4" xfId="561" xr:uid="{00000000-0005-0000-0000-0000D3210000}"/>
    <cellStyle name="Note 3 4 10" xfId="9130" xr:uid="{DB3CDD35-1B90-4257-9F6B-1BF5B2003322}"/>
    <cellStyle name="Note 3 4 10 2" xfId="21770" xr:uid="{46C21429-5924-455A-B658-137E1522454E}"/>
    <cellStyle name="Note 3 4 11" xfId="17559" xr:uid="{667CF5F6-C3FD-415C-9BFF-686597DA76E4}"/>
    <cellStyle name="Note 3 4 2" xfId="1021" xr:uid="{00000000-0005-0000-0000-0000D4210000}"/>
    <cellStyle name="Note 3 4 2 2" xfId="3253" xr:uid="{00000000-0005-0000-0000-0000D5210000}"/>
    <cellStyle name="Note 3 4 2 2 2" xfId="7477" xr:uid="{00000000-0005-0000-0000-0000D6210000}"/>
    <cellStyle name="Note 3 4 2 2 2 2" xfId="15906" xr:uid="{DF56932E-B391-4921-845E-502C5A092861}"/>
    <cellStyle name="Note 3 4 2 2 2 3" xfId="28539" xr:uid="{083A2B17-BC5E-40E7-A73E-D786532CFD9D}"/>
    <cellStyle name="Note 3 4 2 2 3" xfId="11688" xr:uid="{3D88E0F4-A247-4FC3-AA12-AE392B33F5BA}"/>
    <cellStyle name="Note 3 4 2 2 3 2" xfId="24328" xr:uid="{2C7F7140-4FF8-4E46-890A-2FD9CF0BBF6C}"/>
    <cellStyle name="Note 3 4 2 2 4" xfId="20117" xr:uid="{4F2C39F0-4FC8-4337-86BC-BD386348D045}"/>
    <cellStyle name="Note 3 4 2 3" xfId="5332" xr:uid="{00000000-0005-0000-0000-0000D7210000}"/>
    <cellStyle name="Note 3 4 2 3 2" xfId="13761" xr:uid="{0D7DA9BF-0F40-435E-AFDA-D56BC4BFE4FB}"/>
    <cellStyle name="Note 3 4 2 3 3" xfId="26394" xr:uid="{75BDFE7D-F709-4FAA-9739-D41F3CE42AC7}"/>
    <cellStyle name="Note 3 4 2 4" xfId="9543" xr:uid="{D3C53415-1871-4993-AA12-8EACFA4AE4FE}"/>
    <cellStyle name="Note 3 4 2 4 2" xfId="22183" xr:uid="{D447DE64-8986-4DFB-88E6-145CB194281F}"/>
    <cellStyle name="Note 3 4 2 5" xfId="17972" xr:uid="{C94334D2-F0CF-4D11-B30B-759C81D52605}"/>
    <cellStyle name="Note 3 4 3" xfId="1436" xr:uid="{00000000-0005-0000-0000-0000D8210000}"/>
    <cellStyle name="Note 3 4 3 2" xfId="3666" xr:uid="{00000000-0005-0000-0000-0000D9210000}"/>
    <cellStyle name="Note 3 4 3 2 2" xfId="7890" xr:uid="{00000000-0005-0000-0000-0000DA210000}"/>
    <cellStyle name="Note 3 4 3 2 2 2" xfId="16319" xr:uid="{B669ADBC-9DE4-4727-98F8-D825C5E2937A}"/>
    <cellStyle name="Note 3 4 3 2 2 3" xfId="28952" xr:uid="{53E67A93-C4F3-441F-85BA-A5B0ADCD6145}"/>
    <cellStyle name="Note 3 4 3 2 3" xfId="12101" xr:uid="{CFD0C18D-E045-4A8A-BBD5-05AAF122487D}"/>
    <cellStyle name="Note 3 4 3 2 3 2" xfId="24741" xr:uid="{D6BDA45A-8A7E-4B72-BE91-C65A82817D31}"/>
    <cellStyle name="Note 3 4 3 2 4" xfId="20530" xr:uid="{DF48CE2C-1340-45C9-BDC1-2848DDB20C3D}"/>
    <cellStyle name="Note 3 4 3 3" xfId="5745" xr:uid="{00000000-0005-0000-0000-0000DB210000}"/>
    <cellStyle name="Note 3 4 3 3 2" xfId="14174" xr:uid="{49DF1C14-F671-4C37-AC4C-683408E8E469}"/>
    <cellStyle name="Note 3 4 3 3 3" xfId="26807" xr:uid="{F698160F-47ED-4F18-801F-08F6F48DBD7D}"/>
    <cellStyle name="Note 3 4 3 4" xfId="9956" xr:uid="{4D242172-ABD8-4933-A5C3-DE19AB7E8457}"/>
    <cellStyle name="Note 3 4 3 4 2" xfId="22596" xr:uid="{2A013B01-1836-4620-BC2B-48A40D6D4023}"/>
    <cellStyle name="Note 3 4 3 5" xfId="18385" xr:uid="{D83BFBF7-4B3F-4EFC-A646-8139350DE118}"/>
    <cellStyle name="Note 3 4 4" xfId="1850" xr:uid="{00000000-0005-0000-0000-0000DC210000}"/>
    <cellStyle name="Note 3 4 4 2" xfId="4079" xr:uid="{00000000-0005-0000-0000-0000DD210000}"/>
    <cellStyle name="Note 3 4 4 2 2" xfId="8303" xr:uid="{00000000-0005-0000-0000-0000DE210000}"/>
    <cellStyle name="Note 3 4 4 2 2 2" xfId="16732" xr:uid="{9A1017C6-3A0B-43B8-A20C-115E7BC0CD88}"/>
    <cellStyle name="Note 3 4 4 2 2 3" xfId="29365" xr:uid="{A39B1AB8-1A98-4A73-9AF6-581547BEA876}"/>
    <cellStyle name="Note 3 4 4 2 3" xfId="12514" xr:uid="{BF17009A-CE63-4A25-86CA-C76BF9E6FF8E}"/>
    <cellStyle name="Note 3 4 4 2 3 2" xfId="25154" xr:uid="{7CEFA1FB-BBB9-42DA-8D44-B0277F1643E6}"/>
    <cellStyle name="Note 3 4 4 2 4" xfId="20943" xr:uid="{2D5D71E4-A27D-47FC-A06B-1CD787DCB548}"/>
    <cellStyle name="Note 3 4 4 3" xfId="6158" xr:uid="{00000000-0005-0000-0000-0000DF210000}"/>
    <cellStyle name="Note 3 4 4 3 2" xfId="14587" xr:uid="{3760DCAD-4A51-45F4-A9CB-BE9C433F2D9F}"/>
    <cellStyle name="Note 3 4 4 3 3" xfId="27220" xr:uid="{C237E718-5A6F-4543-BDFB-7481A97D9DEC}"/>
    <cellStyle name="Note 3 4 4 4" xfId="10369" xr:uid="{BB8B90D9-D30A-4C9C-84C5-14173982A89E}"/>
    <cellStyle name="Note 3 4 4 4 2" xfId="23009" xr:uid="{C7D64D52-5E85-4DE4-A574-EF5E7BFB2A96}"/>
    <cellStyle name="Note 3 4 4 5" xfId="18798" xr:uid="{F0958F68-B624-486B-AA72-2F929353D718}"/>
    <cellStyle name="Note 3 4 5" xfId="2263" xr:uid="{00000000-0005-0000-0000-0000E0210000}"/>
    <cellStyle name="Note 3 4 5 2" xfId="4492" xr:uid="{00000000-0005-0000-0000-0000E1210000}"/>
    <cellStyle name="Note 3 4 5 2 2" xfId="8716" xr:uid="{00000000-0005-0000-0000-0000E2210000}"/>
    <cellStyle name="Note 3 4 5 2 2 2" xfId="17145" xr:uid="{E94D27C9-0BFE-4B7A-BB4A-692966F3C401}"/>
    <cellStyle name="Note 3 4 5 2 2 3" xfId="29778" xr:uid="{12C08413-E822-4806-A583-BD9CBB130A6C}"/>
    <cellStyle name="Note 3 4 5 2 3" xfId="12927" xr:uid="{95632C88-A87B-4905-A826-9D5430569123}"/>
    <cellStyle name="Note 3 4 5 2 3 2" xfId="25567" xr:uid="{01507A83-478B-407A-BEBB-3D49FE195210}"/>
    <cellStyle name="Note 3 4 5 2 4" xfId="21356" xr:uid="{ABD173A2-F953-47EB-AE73-E86CE12C2198}"/>
    <cellStyle name="Note 3 4 5 3" xfId="6571" xr:uid="{00000000-0005-0000-0000-0000E3210000}"/>
    <cellStyle name="Note 3 4 5 3 2" xfId="15000" xr:uid="{9B70478D-8492-42BD-BBE5-A07EDB6B765F}"/>
    <cellStyle name="Note 3 4 5 3 3" xfId="27633" xr:uid="{02D8677A-002F-48A5-9FE7-07F5D25D0FE5}"/>
    <cellStyle name="Note 3 4 5 4" xfId="10782" xr:uid="{AFA8849B-54CF-4E5E-91BA-8E1998F81B30}"/>
    <cellStyle name="Note 3 4 5 4 2" xfId="23422" xr:uid="{3747991A-FC49-433C-8CC9-13AA869F533D}"/>
    <cellStyle name="Note 3 4 5 5" xfId="19211" xr:uid="{BC1D01A8-0A48-422D-BF15-D7679D90B35B}"/>
    <cellStyle name="Note 3 4 6" xfId="2699" xr:uid="{00000000-0005-0000-0000-0000E4210000}"/>
    <cellStyle name="Note 3 4 6 2" xfId="6984" xr:uid="{00000000-0005-0000-0000-0000E5210000}"/>
    <cellStyle name="Note 3 4 6 2 2" xfId="15413" xr:uid="{54F2B682-B989-43F7-A2C6-55553F474DE4}"/>
    <cellStyle name="Note 3 4 6 2 3" xfId="28046" xr:uid="{36FACB71-9C03-4633-AD8B-B1BA05F3CD0D}"/>
    <cellStyle name="Note 3 4 6 3" xfId="11195" xr:uid="{9BB31A0D-B8B5-4185-B235-20300AAF69F7}"/>
    <cellStyle name="Note 3 4 6 3 2" xfId="23835" xr:uid="{566A0CD9-A451-4210-B534-8098ED822074}"/>
    <cellStyle name="Note 3 4 6 4" xfId="19624" xr:uid="{4E148BBE-0327-497E-855C-605A95476F11}"/>
    <cellStyle name="Note 3 4 7" xfId="2758" xr:uid="{00000000-0005-0000-0000-0000E6210000}"/>
    <cellStyle name="Note 3 4 8" xfId="2839" xr:uid="{00000000-0005-0000-0000-0000E7210000}"/>
    <cellStyle name="Note 3 4 8 2" xfId="7064" xr:uid="{00000000-0005-0000-0000-0000E8210000}"/>
    <cellStyle name="Note 3 4 8 2 2" xfId="15493" xr:uid="{C17DD64C-B19A-4B14-BDEB-CDBDFD80763B}"/>
    <cellStyle name="Note 3 4 8 2 3" xfId="28126" xr:uid="{0D478A49-E683-4E46-A531-C336115816D9}"/>
    <cellStyle name="Note 3 4 8 3" xfId="11275" xr:uid="{5084CD36-587C-4A99-9F78-49CA04B3E1A8}"/>
    <cellStyle name="Note 3 4 8 3 2" xfId="23915" xr:uid="{5FFEF9B2-C691-4BBD-AE17-0F1033A95798}"/>
    <cellStyle name="Note 3 4 8 4" xfId="19704" xr:uid="{DAC2C157-83CF-4A31-9F75-CFB70929C97E}"/>
    <cellStyle name="Note 3 4 9" xfId="4919" xr:uid="{00000000-0005-0000-0000-0000E9210000}"/>
    <cellStyle name="Note 3 4 9 2" xfId="13348" xr:uid="{2B371501-D805-4090-BC94-9F6F258C5352}"/>
    <cellStyle name="Note 3 4 9 3" xfId="25981" xr:uid="{9E1AE1B4-A876-4455-96A7-C96CDBEB8B8B}"/>
    <cellStyle name="Note 3 5" xfId="562" xr:uid="{00000000-0005-0000-0000-0000EA210000}"/>
    <cellStyle name="Note 3 5 10" xfId="9131" xr:uid="{309AC00B-6C1D-41E9-8B32-5287356C27C9}"/>
    <cellStyle name="Note 3 5 10 2" xfId="21771" xr:uid="{37FF27A6-F817-4B74-B59C-2D79E6BABB42}"/>
    <cellStyle name="Note 3 5 11" xfId="17560" xr:uid="{F5749B22-8B8C-4E5B-A1E2-A95DB3ECF513}"/>
    <cellStyle name="Note 3 5 2" xfId="1022" xr:uid="{00000000-0005-0000-0000-0000EB210000}"/>
    <cellStyle name="Note 3 5 2 2" xfId="3254" xr:uid="{00000000-0005-0000-0000-0000EC210000}"/>
    <cellStyle name="Note 3 5 2 2 2" xfId="7478" xr:uid="{00000000-0005-0000-0000-0000ED210000}"/>
    <cellStyle name="Note 3 5 2 2 2 2" xfId="15907" xr:uid="{27BBA423-6897-4124-A00A-AABB167F95AC}"/>
    <cellStyle name="Note 3 5 2 2 2 3" xfId="28540" xr:uid="{754F3B16-6523-414F-B049-B01FCF6FA75D}"/>
    <cellStyle name="Note 3 5 2 2 3" xfId="11689" xr:uid="{9F414573-2757-48EE-BA81-0B812E3F0AC1}"/>
    <cellStyle name="Note 3 5 2 2 3 2" xfId="24329" xr:uid="{42A01A64-4F2E-42C8-802B-F0F23022D6E5}"/>
    <cellStyle name="Note 3 5 2 2 4" xfId="20118" xr:uid="{024393B5-B226-46F8-B615-598BAA67A0F3}"/>
    <cellStyle name="Note 3 5 2 3" xfId="5333" xr:uid="{00000000-0005-0000-0000-0000EE210000}"/>
    <cellStyle name="Note 3 5 2 3 2" xfId="13762" xr:uid="{818DD9B3-B0CD-474E-831B-66FC4B7CD250}"/>
    <cellStyle name="Note 3 5 2 3 3" xfId="26395" xr:uid="{6EDFF87E-FC52-4C9A-ACAB-FEDAE2887908}"/>
    <cellStyle name="Note 3 5 2 4" xfId="9544" xr:uid="{A374C4F1-03AC-4CE4-AABE-B36C51C23ECF}"/>
    <cellStyle name="Note 3 5 2 4 2" xfId="22184" xr:uid="{FC2E2CC4-A639-4ACA-8AAC-CF001DF55EAA}"/>
    <cellStyle name="Note 3 5 2 5" xfId="17973" xr:uid="{EFCD5A36-7A8D-43B6-9726-BC7C983ED227}"/>
    <cellStyle name="Note 3 5 3" xfId="1437" xr:uid="{00000000-0005-0000-0000-0000EF210000}"/>
    <cellStyle name="Note 3 5 3 2" xfId="3667" xr:uid="{00000000-0005-0000-0000-0000F0210000}"/>
    <cellStyle name="Note 3 5 3 2 2" xfId="7891" xr:uid="{00000000-0005-0000-0000-0000F1210000}"/>
    <cellStyle name="Note 3 5 3 2 2 2" xfId="16320" xr:uid="{913A137F-8024-4B9B-9CBF-F010E3382B7F}"/>
    <cellStyle name="Note 3 5 3 2 2 3" xfId="28953" xr:uid="{15812F20-E92F-4379-A0F3-B904A52806BD}"/>
    <cellStyle name="Note 3 5 3 2 3" xfId="12102" xr:uid="{E4698560-048C-4E92-B3F8-A35F4D4E1A2A}"/>
    <cellStyle name="Note 3 5 3 2 3 2" xfId="24742" xr:uid="{2A86D335-22C3-4F3D-9408-77D413EDE08B}"/>
    <cellStyle name="Note 3 5 3 2 4" xfId="20531" xr:uid="{5CE2EF26-CCE1-454D-AFCF-6ECBE30C4772}"/>
    <cellStyle name="Note 3 5 3 3" xfId="5746" xr:uid="{00000000-0005-0000-0000-0000F2210000}"/>
    <cellStyle name="Note 3 5 3 3 2" xfId="14175" xr:uid="{9BC58EE7-6BCA-4451-8B27-582DFF796B9B}"/>
    <cellStyle name="Note 3 5 3 3 3" xfId="26808" xr:uid="{CFF387DB-E149-426C-8008-1C2C1F6037BA}"/>
    <cellStyle name="Note 3 5 3 4" xfId="9957" xr:uid="{EDE36E0B-C5B2-4204-A46F-87A00F5EC4ED}"/>
    <cellStyle name="Note 3 5 3 4 2" xfId="22597" xr:uid="{4CB86E04-F402-466E-B304-0768D0788771}"/>
    <cellStyle name="Note 3 5 3 5" xfId="18386" xr:uid="{13C2B0C2-4B02-4CBC-9C68-7A4C2E2CB93E}"/>
    <cellStyle name="Note 3 5 4" xfId="1851" xr:uid="{00000000-0005-0000-0000-0000F3210000}"/>
    <cellStyle name="Note 3 5 4 2" xfId="4080" xr:uid="{00000000-0005-0000-0000-0000F4210000}"/>
    <cellStyle name="Note 3 5 4 2 2" xfId="8304" xr:uid="{00000000-0005-0000-0000-0000F5210000}"/>
    <cellStyle name="Note 3 5 4 2 2 2" xfId="16733" xr:uid="{70716592-6D0F-41BD-ADFE-6A19F42B4CFE}"/>
    <cellStyle name="Note 3 5 4 2 2 3" xfId="29366" xr:uid="{54951191-C78A-4078-B1C7-8B87DCA440D7}"/>
    <cellStyle name="Note 3 5 4 2 3" xfId="12515" xr:uid="{AD5EB7F7-FE3A-4C8C-A33B-52890BC9387B}"/>
    <cellStyle name="Note 3 5 4 2 3 2" xfId="25155" xr:uid="{F9D3FDB3-8251-4614-A140-A6288E671D6C}"/>
    <cellStyle name="Note 3 5 4 2 4" xfId="20944" xr:uid="{97B5E743-7A2D-46FA-A963-596637C626B1}"/>
    <cellStyle name="Note 3 5 4 3" xfId="6159" xr:uid="{00000000-0005-0000-0000-0000F6210000}"/>
    <cellStyle name="Note 3 5 4 3 2" xfId="14588" xr:uid="{3D639B42-4C70-48D0-AD9D-14E03502509D}"/>
    <cellStyle name="Note 3 5 4 3 3" xfId="27221" xr:uid="{1B24C80D-3EE6-4C7F-A9C1-CECCC05427B9}"/>
    <cellStyle name="Note 3 5 4 4" xfId="10370" xr:uid="{39697043-8899-49AD-9B90-566B7AEC6318}"/>
    <cellStyle name="Note 3 5 4 4 2" xfId="23010" xr:uid="{D93C58F2-8C55-4DE7-B091-CF3D4644A24B}"/>
    <cellStyle name="Note 3 5 4 5" xfId="18799" xr:uid="{5766AE99-3DD8-4267-AACA-A33878B89FAE}"/>
    <cellStyle name="Note 3 5 5" xfId="2264" xr:uid="{00000000-0005-0000-0000-0000F7210000}"/>
    <cellStyle name="Note 3 5 5 2" xfId="4493" xr:uid="{00000000-0005-0000-0000-0000F8210000}"/>
    <cellStyle name="Note 3 5 5 2 2" xfId="8717" xr:uid="{00000000-0005-0000-0000-0000F9210000}"/>
    <cellStyle name="Note 3 5 5 2 2 2" xfId="17146" xr:uid="{C914166A-9242-4B46-BEDB-C4B21077D42A}"/>
    <cellStyle name="Note 3 5 5 2 2 3" xfId="29779" xr:uid="{77006065-C44C-4B67-B172-36334EC6F0B5}"/>
    <cellStyle name="Note 3 5 5 2 3" xfId="12928" xr:uid="{020FF901-3FB9-4403-B672-C3C19C4F8ED4}"/>
    <cellStyle name="Note 3 5 5 2 3 2" xfId="25568" xr:uid="{1C66A46A-307D-4E11-800C-8F8768C072F1}"/>
    <cellStyle name="Note 3 5 5 2 4" xfId="21357" xr:uid="{CD2C261B-65F5-4084-9655-47A2376156DB}"/>
    <cellStyle name="Note 3 5 5 3" xfId="6572" xr:uid="{00000000-0005-0000-0000-0000FA210000}"/>
    <cellStyle name="Note 3 5 5 3 2" xfId="15001" xr:uid="{3BD04D38-6B28-46F8-B32B-65F9CABCF852}"/>
    <cellStyle name="Note 3 5 5 3 3" xfId="27634" xr:uid="{36E6BAE6-345C-4873-BC54-9AFA7A6FCA40}"/>
    <cellStyle name="Note 3 5 5 4" xfId="10783" xr:uid="{6BBD8372-4B25-4A65-AE12-65F0DC89D1C6}"/>
    <cellStyle name="Note 3 5 5 4 2" xfId="23423" xr:uid="{812BE71D-56F9-49E7-87F7-4D2816DCF0F3}"/>
    <cellStyle name="Note 3 5 5 5" xfId="19212" xr:uid="{683FED83-A280-4F01-B7EC-F425EBB29E74}"/>
    <cellStyle name="Note 3 5 6" xfId="2700" xr:uid="{00000000-0005-0000-0000-0000FB210000}"/>
    <cellStyle name="Note 3 5 6 2" xfId="6985" xr:uid="{00000000-0005-0000-0000-0000FC210000}"/>
    <cellStyle name="Note 3 5 6 2 2" xfId="15414" xr:uid="{3C434731-165A-4DBC-9CA7-343BC81350F1}"/>
    <cellStyle name="Note 3 5 6 2 3" xfId="28047" xr:uid="{1137E805-A900-4F65-8D95-2E2CE8F03BCA}"/>
    <cellStyle name="Note 3 5 6 3" xfId="11196" xr:uid="{78DBC5CA-5453-497C-90CD-5296BEA30078}"/>
    <cellStyle name="Note 3 5 6 3 2" xfId="23836" xr:uid="{F640A21C-D230-4011-81CD-202072EEA891}"/>
    <cellStyle name="Note 3 5 6 4" xfId="19625" xr:uid="{BB1A21C2-3B15-43B6-AFF5-27C6DC620A0B}"/>
    <cellStyle name="Note 3 5 7" xfId="2759" xr:uid="{00000000-0005-0000-0000-0000FD210000}"/>
    <cellStyle name="Note 3 5 8" xfId="2840" xr:uid="{00000000-0005-0000-0000-0000FE210000}"/>
    <cellStyle name="Note 3 5 8 2" xfId="7065" xr:uid="{00000000-0005-0000-0000-0000FF210000}"/>
    <cellStyle name="Note 3 5 8 2 2" xfId="15494" xr:uid="{E40FE26B-12C2-437C-8F95-46A5539A0D3F}"/>
    <cellStyle name="Note 3 5 8 2 3" xfId="28127" xr:uid="{ECEC1FB3-6243-4EA3-B687-73E30EE63949}"/>
    <cellStyle name="Note 3 5 8 3" xfId="11276" xr:uid="{AFF79D21-F76B-4522-9BAA-D5291126FA0E}"/>
    <cellStyle name="Note 3 5 8 3 2" xfId="23916" xr:uid="{7C6C408A-BAC9-4843-8455-3091C2A54684}"/>
    <cellStyle name="Note 3 5 8 4" xfId="19705" xr:uid="{CC912C04-FA9D-4587-8DB4-1335C4A49501}"/>
    <cellStyle name="Note 3 5 9" xfId="4920" xr:uid="{00000000-0005-0000-0000-000000220000}"/>
    <cellStyle name="Note 3 5 9 2" xfId="13349" xr:uid="{49F07802-25EF-4D7B-96C1-8C96A31945EA}"/>
    <cellStyle name="Note 3 5 9 3" xfId="25982" xr:uid="{EA6B5CF7-54F2-4955-80FD-100CA4216478}"/>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8E4B30DB-F34F-4F4D-9877-DA504616569A}"/>
    <cellStyle name="Percent 4" xfId="4503" xr:uid="{00000000-0005-0000-0000-000006220000}"/>
    <cellStyle name="Percent 4 2" xfId="12935" xr:uid="{DB0373C0-0977-4B8C-BD8F-12B6D8BFD269}"/>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22860</xdr:colOff>
          <xdr:row>81</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149004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8" width="2.5546875" customWidth="1"/>
    <col min="39" max="16384" width="2.5546875" hidden="1"/>
  </cols>
  <sheetData>
    <row r="1" spans="1:38">
      <c r="A1" s="1860" t="s">
        <v>584</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8"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2" t="s">
        <v>1394</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7"/>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7"/>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2" customHeight="1">
      <c r="A11" s="328"/>
      <c r="B11" s="326"/>
      <c r="C11" s="327"/>
      <c r="D11" s="1862" t="s">
        <v>1401</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7"/>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7"/>
    </row>
    <row r="13" spans="1:38" s="718"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7"/>
    </row>
    <row r="14" spans="1:38" s="718" customFormat="1" ht="13.35" customHeight="1">
      <c r="A14" s="328"/>
      <c r="B14" s="326"/>
      <c r="C14" s="327"/>
      <c r="E14" s="1848" t="s">
        <v>2184</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3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48" t="s">
        <v>1530</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3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35" customHeight="1">
      <c r="A28" s="328"/>
      <c r="B28" s="326"/>
      <c r="C28" s="327"/>
      <c r="E28" s="1848" t="s">
        <v>2185</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3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0" t="s">
        <v>1402</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49" t="s">
        <v>1461</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1389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35" customHeight="1">
      <c r="A42" s="149"/>
      <c r="B42"/>
      <c r="C42" s="5"/>
      <c r="D42" s="149"/>
      <c r="E42" s="149" t="s">
        <v>691</v>
      </c>
      <c r="F42" s="1848" t="s">
        <v>1363</v>
      </c>
    </row>
    <row r="43" spans="1:38" s="1848" customFormat="1" ht="13.3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55" t="s">
        <v>1483</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1" customFormat="1">
      <c r="A46" s="149"/>
      <c r="B46" s="718"/>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1" customFormat="1" ht="13.35" customHeight="1">
      <c r="A47" s="149"/>
      <c r="B47" s="718"/>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1484</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3" t="s">
        <v>1403</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611</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4" t="s">
        <v>1485</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8" t="s">
        <v>1365</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35" customHeight="1">
      <c r="A69" s="149"/>
      <c r="C69" s="5"/>
      <c r="D69" s="149"/>
      <c r="E69" s="149"/>
      <c r="F69" s="9" t="s">
        <v>543</v>
      </c>
      <c r="G69" s="1848" t="s">
        <v>1366</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8" t="s">
        <v>1367</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543</v>
      </c>
      <c r="G74" s="1848" t="s">
        <v>1368</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1369</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1370</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1371</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8"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1372</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1373</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2" t="s">
        <v>1374</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8" t="s">
        <v>1375</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8" t="s">
        <v>1350</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3" t="s">
        <v>1457</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48" t="s">
        <v>1459</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1458</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7" t="s">
        <v>1448</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1499</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1510</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0" sqref="K20"/>
    </sheetView>
  </sheetViews>
  <sheetFormatPr defaultColWidth="9.33203125" defaultRowHeight="13.8"/>
  <cols>
    <col min="1" max="1" width="3.5546875" style="1336" customWidth="1"/>
    <col min="2" max="2" width="1.5546875" style="1336" customWidth="1"/>
    <col min="3" max="3" width="2.5546875" style="1336" customWidth="1"/>
    <col min="4" max="4" width="40.5546875" style="1336" customWidth="1"/>
    <col min="5" max="5" width="13.44140625" style="1336" customWidth="1"/>
    <col min="6" max="6" width="2.5546875" style="1340" customWidth="1"/>
    <col min="7" max="7" width="10.5546875" style="1336" customWidth="1"/>
    <col min="8" max="8" width="2.5546875" style="1340" customWidth="1"/>
    <col min="9" max="9" width="10.5546875" style="1336" customWidth="1"/>
    <col min="10" max="10" width="1.5546875" style="1336" customWidth="1"/>
    <col min="11" max="11" width="47.44140625" style="1337" customWidth="1"/>
    <col min="12" max="16384" width="9.33203125" style="1336"/>
  </cols>
  <sheetData>
    <row r="1" spans="1:11" ht="30" customHeight="1">
      <c r="A1" s="3246" t="s">
        <v>1891</v>
      </c>
      <c r="B1" s="3246"/>
      <c r="C1" s="3246"/>
      <c r="D1" s="3246"/>
      <c r="E1" s="3246"/>
      <c r="F1" s="3246"/>
      <c r="G1" s="3246"/>
      <c r="H1" s="3246"/>
      <c r="I1" s="3246"/>
    </row>
    <row r="2" spans="1:11">
      <c r="A2" s="1338"/>
      <c r="B2" s="1338"/>
      <c r="E2" s="1339"/>
      <c r="I2" s="1341"/>
      <c r="K2" s="1342"/>
    </row>
    <row r="3" spans="1:11">
      <c r="A3" s="1343" t="s">
        <v>1598</v>
      </c>
      <c r="B3" s="1343"/>
      <c r="C3" s="1336" t="s">
        <v>2196</v>
      </c>
      <c r="E3" s="1844">
        <f>ROUND(Application!AM564+'Basis &amp; Credits'!AB77,0)</f>
        <v>40552199</v>
      </c>
      <c r="F3" s="1344"/>
      <c r="K3" s="1415"/>
    </row>
    <row r="4" spans="1:11" s="1345" customFormat="1" ht="15" customHeight="1">
      <c r="C4" s="1345" t="s">
        <v>1892</v>
      </c>
      <c r="E4" s="1421">
        <f>Application!AD1037</f>
        <v>0.3</v>
      </c>
      <c r="F4" s="1346"/>
      <c r="H4" s="1347"/>
      <c r="K4" s="1634"/>
    </row>
    <row r="5" spans="1:11" s="1348" customFormat="1" ht="15" customHeight="1">
      <c r="A5" s="3247"/>
      <c r="B5" s="3247"/>
      <c r="D5" s="1348" t="s">
        <v>2197</v>
      </c>
      <c r="E5" s="1349">
        <f>IF('CDLAC Points System'!C274="Yes",0.2,0)</f>
        <v>0</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c r="A7" s="1338"/>
      <c r="B7" s="1338"/>
      <c r="C7" s="1336" t="s">
        <v>2200</v>
      </c>
      <c r="E7" s="1419">
        <f>E3-(E3*(E4+(MAX(E5,E6))))</f>
        <v>28386539.300000001</v>
      </c>
      <c r="F7" s="1344"/>
      <c r="I7" s="1350"/>
      <c r="K7" s="1636"/>
    </row>
    <row r="8" spans="1:11">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c r="A11" s="1338"/>
      <c r="B11" s="1338"/>
      <c r="C11" s="1362" t="s">
        <v>1899</v>
      </c>
      <c r="D11" s="1362"/>
      <c r="E11" s="1416">
        <f>Application!BN635+Application!BN644+Application!CS658</f>
        <v>0</v>
      </c>
      <c r="G11" s="1363">
        <v>0.9</v>
      </c>
      <c r="H11" s="1364"/>
      <c r="I11" s="1365">
        <f>E11*G11</f>
        <v>0</v>
      </c>
      <c r="J11" s="1356"/>
      <c r="K11" s="1360"/>
    </row>
    <row r="12" spans="1:11">
      <c r="A12" s="1338"/>
      <c r="B12" s="1338"/>
      <c r="C12" s="1356" t="s">
        <v>1900</v>
      </c>
      <c r="D12" s="1356"/>
      <c r="E12" s="1416">
        <f>Application!BS635+Application!BS644+Application!CX658</f>
        <v>64</v>
      </c>
      <c r="G12" s="1363">
        <v>1</v>
      </c>
      <c r="H12" s="1364"/>
      <c r="I12" s="1365">
        <f>E12*G12</f>
        <v>64</v>
      </c>
      <c r="J12" s="1356"/>
    </row>
    <row r="13" spans="1:11">
      <c r="A13" s="1338"/>
      <c r="B13" s="1338"/>
      <c r="C13" s="1356" t="s">
        <v>1901</v>
      </c>
      <c r="D13" s="1356"/>
      <c r="E13" s="1416">
        <f>Application!BX635+Application!BX644+Application!DC658</f>
        <v>58</v>
      </c>
      <c r="G13" s="1363">
        <v>1.25</v>
      </c>
      <c r="H13" s="1364"/>
      <c r="I13" s="1365">
        <f>E13*G13</f>
        <v>72.5</v>
      </c>
      <c r="J13" s="1356"/>
    </row>
    <row r="14" spans="1:11">
      <c r="A14" s="1338"/>
      <c r="B14" s="1338"/>
      <c r="C14" s="1356" t="s">
        <v>1902</v>
      </c>
      <c r="D14" s="1356"/>
      <c r="E14" s="1416">
        <f>Application!CC635+Application!CC644+Application!DH658</f>
        <v>42</v>
      </c>
      <c r="G14" s="1363">
        <f>1.5+0.25*0</f>
        <v>1.5</v>
      </c>
      <c r="H14" s="1364"/>
      <c r="I14" s="1365">
        <f>IF(E14/E16&lt;=30%,E14*G14,TRUNC(0.3*E16)*G14+(E14-TRUNC(0.3*E16))*G13)</f>
        <v>63</v>
      </c>
      <c r="J14" s="1356"/>
    </row>
    <row r="15" spans="1:11">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164</v>
      </c>
      <c r="G16" s="1339"/>
      <c r="I16" s="1420">
        <f>SUM(I11:I15)</f>
        <v>199.5</v>
      </c>
    </row>
    <row r="17" spans="1:9">
      <c r="A17" s="1338"/>
      <c r="B17" s="1338"/>
      <c r="E17" s="1339"/>
      <c r="I17" s="1367"/>
    </row>
    <row r="18" spans="1:9">
      <c r="A18" s="1343" t="s">
        <v>1603</v>
      </c>
      <c r="B18" s="1343"/>
      <c r="C18" s="1368" t="s">
        <v>1904</v>
      </c>
      <c r="D18" s="1340"/>
      <c r="E18" s="1369">
        <f>E7/I16</f>
        <v>142288.41754385966</v>
      </c>
      <c r="F18" s="1370"/>
      <c r="G18" s="1371"/>
      <c r="H18" s="1372"/>
      <c r="I18" s="1367"/>
    </row>
    <row r="21" spans="1:9" ht="14.25" customHeight="1">
      <c r="A21" s="3248" t="s">
        <v>2195</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9" zoomScaleNormal="100" zoomScaleSheetLayoutView="100" workbookViewId="0">
      <selection activeCell="AB78" sqref="AB78:AF78"/>
    </sheetView>
  </sheetViews>
  <sheetFormatPr defaultColWidth="0" defaultRowHeight="0" customHeight="1" zeroHeight="1"/>
  <cols>
    <col min="1" max="1" width="1.5546875" style="791" customWidth="1"/>
    <col min="2" max="2" width="0.6640625" style="791" customWidth="1"/>
    <col min="3" max="18" width="2.5546875" style="791" customWidth="1"/>
    <col min="19" max="19" width="4" style="791" customWidth="1"/>
    <col min="20" max="39" width="2.5546875" style="791" customWidth="1"/>
    <col min="40" max="40" width="1.5546875" style="791" customWidth="1"/>
    <col min="41" max="76" width="2.5546875" style="791" hidden="1"/>
    <col min="77" max="256" width="2.5546875" style="618" hidden="1"/>
    <col min="257" max="257" width="1.5546875" style="618" hidden="1" customWidth="1"/>
    <col min="258" max="258" width="0.664062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664062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664062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664062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664062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664062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664062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664062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664062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664062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664062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664062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664062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664062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664062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664062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664062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664062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664062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664062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664062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664062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664062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664062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664062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664062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664062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664062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664062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664062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664062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664062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664062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664062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664062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664062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664062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664062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664062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664062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664062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664062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664062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664062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664062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664062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664062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664062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664062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664062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664062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664062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664062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664062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664062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664062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664062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664062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664062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664062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664062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664062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664062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291" t="s">
        <v>1532</v>
      </c>
      <c r="B1" s="3291"/>
      <c r="C1" s="3291"/>
      <c r="D1" s="3291"/>
      <c r="E1" s="3291"/>
      <c r="F1" s="3291"/>
      <c r="G1" s="3291"/>
      <c r="H1" s="3291"/>
      <c r="I1" s="3291"/>
      <c r="J1" s="3291"/>
      <c r="K1" s="3291"/>
      <c r="L1" s="3291"/>
      <c r="M1" s="3291"/>
      <c r="N1" s="3291"/>
      <c r="O1" s="3291"/>
      <c r="P1" s="3291"/>
      <c r="Q1" s="3291"/>
      <c r="R1" s="3291"/>
      <c r="S1" s="3291"/>
      <c r="T1" s="3291"/>
      <c r="U1" s="3291"/>
      <c r="V1" s="3291"/>
      <c r="W1" s="3291"/>
      <c r="X1" s="3291"/>
      <c r="Y1" s="3291"/>
      <c r="Z1" s="3291"/>
      <c r="AA1" s="3291"/>
      <c r="AB1" s="3291"/>
      <c r="AC1" s="3291"/>
      <c r="AD1" s="3291"/>
      <c r="AE1" s="3291"/>
      <c r="AF1" s="3291"/>
      <c r="AG1" s="3291"/>
      <c r="AH1" s="3291"/>
      <c r="AI1" s="3291"/>
      <c r="AJ1" s="3291"/>
      <c r="AK1" s="3291"/>
      <c r="AL1" s="3291"/>
      <c r="AM1" s="3291"/>
      <c r="AN1" s="329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29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3" t="str">
        <f xml:space="preserve"> IF(T25=100%,'Sources and Basis Breakdown'!G2,'Sources and Basis Breakdown'!F2)</f>
        <v>30% PVC for New Const/
Rehabilitation
NON-DDA/
NON-QCT Building(s)</v>
      </c>
      <c r="U7" s="3293"/>
      <c r="V7" s="3293"/>
      <c r="W7" s="3293"/>
      <c r="X7" s="3293"/>
      <c r="Y7" s="3293" t="str">
        <f>IF(T25=100%," ",'Sources and Basis Breakdown'!G2)</f>
        <v xml:space="preserve"> </v>
      </c>
      <c r="Z7" s="3293"/>
      <c r="AA7" s="3293"/>
      <c r="AB7" s="3293"/>
      <c r="AC7" s="3293"/>
      <c r="AD7" s="3293" t="str">
        <f xml:space="preserve"> IF(T25=100%, 'Sources and Basis Breakdown'!J2,'Sources and Basis Breakdown'!I2)</f>
        <v>30% PVC for Acquisition
NON-DDA/
NON-QCT Building(s)</v>
      </c>
      <c r="AE7" s="3293"/>
      <c r="AF7" s="3293"/>
      <c r="AG7" s="3293"/>
      <c r="AH7" s="3293"/>
      <c r="AI7" s="3293" t="str">
        <f>IF(T25=100%," ",'Sources and Basis Breakdown'!J2)</f>
        <v xml:space="preserve"> </v>
      </c>
      <c r="AJ7" s="3293"/>
      <c r="AK7" s="3293"/>
      <c r="AL7" s="3293"/>
      <c r="AM7" s="329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3"/>
      <c r="U8" s="3293"/>
      <c r="V8" s="3293"/>
      <c r="W8" s="3293"/>
      <c r="X8" s="3293"/>
      <c r="Y8" s="3293"/>
      <c r="Z8" s="3293"/>
      <c r="AA8" s="3293"/>
      <c r="AB8" s="3293"/>
      <c r="AC8" s="3293"/>
      <c r="AD8" s="3293"/>
      <c r="AE8" s="3293"/>
      <c r="AF8" s="3293"/>
      <c r="AG8" s="3293"/>
      <c r="AH8" s="3293"/>
      <c r="AI8" s="3293"/>
      <c r="AJ8" s="3293"/>
      <c r="AK8" s="3293"/>
      <c r="AL8" s="3293"/>
      <c r="AM8" s="329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93"/>
      <c r="U9" s="3293"/>
      <c r="V9" s="3293"/>
      <c r="W9" s="3293"/>
      <c r="X9" s="3293"/>
      <c r="Y9" s="3293"/>
      <c r="Z9" s="3293"/>
      <c r="AA9" s="3293"/>
      <c r="AB9" s="3293"/>
      <c r="AC9" s="3293"/>
      <c r="AD9" s="3293"/>
      <c r="AE9" s="3293"/>
      <c r="AF9" s="3293"/>
      <c r="AG9" s="3293"/>
      <c r="AH9" s="3293"/>
      <c r="AI9" s="3293"/>
      <c r="AJ9" s="3293"/>
      <c r="AK9" s="3293"/>
      <c r="AL9" s="3293"/>
      <c r="AM9" s="329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1" t="s">
        <v>395</v>
      </c>
      <c r="C11" s="3262"/>
      <c r="D11" s="3262"/>
      <c r="E11" s="3262"/>
      <c r="F11" s="3262"/>
      <c r="G11" s="3262"/>
      <c r="H11" s="3262"/>
      <c r="I11" s="3262"/>
      <c r="J11" s="3262"/>
      <c r="K11" s="3262"/>
      <c r="L11" s="3262"/>
      <c r="M11" s="3262"/>
      <c r="N11" s="3262"/>
      <c r="O11" s="3262"/>
      <c r="P11" s="3262"/>
      <c r="Q11" s="3262"/>
      <c r="R11" s="3262"/>
      <c r="S11" s="3263"/>
      <c r="T11" s="3294">
        <f>IF('Sources and Basis Breakdown'!F107=0,'Sources and Basis Breakdown'!E107,'Sources and Basis Breakdown'!F107)</f>
        <v>57053417</v>
      </c>
      <c r="U11" s="3295"/>
      <c r="V11" s="3295"/>
      <c r="W11" s="3295"/>
      <c r="X11" s="3295"/>
      <c r="Y11" s="3294">
        <f>IF(Y7=" ",0,IF('Sources and Basis Breakdown'!G107+'Sources and Basis Breakdown'!F107='Sources and Basis Breakdown'!E107,'Sources and Basis Breakdown'!G107,0))</f>
        <v>0</v>
      </c>
      <c r="Z11" s="3295"/>
      <c r="AA11" s="3295"/>
      <c r="AB11" s="3295"/>
      <c r="AC11" s="3295"/>
      <c r="AD11" s="3295">
        <f>IF('Sources and Basis Breakdown'!I107=0,'Sources and Basis Breakdown'!H107,'Sources and Basis Breakdown'!I107)</f>
        <v>0</v>
      </c>
      <c r="AE11" s="3295"/>
      <c r="AF11" s="3295"/>
      <c r="AG11" s="3295"/>
      <c r="AH11" s="3295"/>
      <c r="AI11" s="3295">
        <f>IF(Y7=" ",0,IF('Sources and Basis Breakdown'!I107+'Sources and Basis Breakdown'!J107='Sources and Basis Breakdown'!H107,'Sources and Basis Breakdown'!J107,0))</f>
        <v>0</v>
      </c>
      <c r="AJ11" s="3295"/>
      <c r="AK11" s="3295"/>
      <c r="AL11" s="3295"/>
      <c r="AM11" s="329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286" t="s">
        <v>531</v>
      </c>
      <c r="C12" s="3287"/>
      <c r="D12" s="3287"/>
      <c r="E12" s="3287"/>
      <c r="F12" s="3287"/>
      <c r="G12" s="3287"/>
      <c r="H12" s="3287"/>
      <c r="I12" s="3287"/>
      <c r="J12" s="3287"/>
      <c r="K12" s="3287"/>
      <c r="L12" s="3287"/>
      <c r="M12" s="3287"/>
      <c r="N12" s="3287"/>
      <c r="O12" s="3287"/>
      <c r="P12" s="3287"/>
      <c r="Q12" s="3287"/>
      <c r="R12" s="3287"/>
      <c r="S12" s="3288"/>
      <c r="T12" s="3249"/>
      <c r="U12" s="3250"/>
      <c r="V12" s="3250"/>
      <c r="W12" s="3250"/>
      <c r="X12" s="3251"/>
      <c r="Y12" s="3249"/>
      <c r="Z12" s="3250"/>
      <c r="AA12" s="3250"/>
      <c r="AB12" s="3250"/>
      <c r="AC12" s="3251"/>
      <c r="AD12" s="3249"/>
      <c r="AE12" s="3250"/>
      <c r="AF12" s="3250"/>
      <c r="AG12" s="3250"/>
      <c r="AH12" s="3251"/>
      <c r="AI12" s="3249"/>
      <c r="AJ12" s="3250"/>
      <c r="AK12" s="3250"/>
      <c r="AL12" s="3250"/>
      <c r="AM12" s="325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289" t="s">
        <v>532</v>
      </c>
      <c r="D13" s="3289"/>
      <c r="E13" s="3289"/>
      <c r="F13" s="3289"/>
      <c r="G13" s="3289"/>
      <c r="H13" s="3289"/>
      <c r="I13" s="3289"/>
      <c r="J13" s="3289"/>
      <c r="K13" s="3289"/>
      <c r="L13" s="3289"/>
      <c r="M13" s="3289"/>
      <c r="N13" s="3289"/>
      <c r="O13" s="3289"/>
      <c r="P13" s="3289"/>
      <c r="Q13" s="3289"/>
      <c r="R13" s="3289"/>
      <c r="S13" s="3290"/>
      <c r="T13" s="3296"/>
      <c r="U13" s="3297"/>
      <c r="V13" s="3297"/>
      <c r="W13" s="3297"/>
      <c r="X13" s="3297"/>
      <c r="Y13" s="3296"/>
      <c r="Z13" s="3297"/>
      <c r="AA13" s="3297"/>
      <c r="AB13" s="3297"/>
      <c r="AC13" s="3297"/>
      <c r="AD13" s="3297"/>
      <c r="AE13" s="3297"/>
      <c r="AF13" s="3297"/>
      <c r="AG13" s="3297"/>
      <c r="AH13" s="3297"/>
      <c r="AI13" s="3297"/>
      <c r="AJ13" s="3297"/>
      <c r="AK13" s="3297"/>
      <c r="AL13" s="3297"/>
      <c r="AM13" s="329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289" t="s">
        <v>533</v>
      </c>
      <c r="D14" s="3289"/>
      <c r="E14" s="3289"/>
      <c r="F14" s="3289"/>
      <c r="G14" s="3289"/>
      <c r="H14" s="3289"/>
      <c r="I14" s="3289"/>
      <c r="J14" s="3289"/>
      <c r="K14" s="3289"/>
      <c r="L14" s="3289"/>
      <c r="M14" s="3289"/>
      <c r="N14" s="3289"/>
      <c r="O14" s="3289"/>
      <c r="P14" s="3289"/>
      <c r="Q14" s="3289"/>
      <c r="R14" s="3289"/>
      <c r="S14" s="3290"/>
      <c r="T14" s="3252"/>
      <c r="U14" s="3253"/>
      <c r="V14" s="3253"/>
      <c r="W14" s="3253"/>
      <c r="X14" s="3253"/>
      <c r="Y14" s="3252"/>
      <c r="Z14" s="3253"/>
      <c r="AA14" s="3253"/>
      <c r="AB14" s="3253"/>
      <c r="AC14" s="3253"/>
      <c r="AD14" s="3253"/>
      <c r="AE14" s="3253"/>
      <c r="AF14" s="3253"/>
      <c r="AG14" s="3253"/>
      <c r="AH14" s="3253"/>
      <c r="AI14" s="3253"/>
      <c r="AJ14" s="3253"/>
      <c r="AK14" s="3253"/>
      <c r="AL14" s="3253"/>
      <c r="AM14" s="325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289" t="s">
        <v>534</v>
      </c>
      <c r="D15" s="3289"/>
      <c r="E15" s="3289"/>
      <c r="F15" s="3289"/>
      <c r="G15" s="3289"/>
      <c r="H15" s="3289"/>
      <c r="I15" s="3289"/>
      <c r="J15" s="3289"/>
      <c r="K15" s="3289"/>
      <c r="L15" s="3289"/>
      <c r="M15" s="3289"/>
      <c r="N15" s="3289"/>
      <c r="O15" s="3289"/>
      <c r="P15" s="3289"/>
      <c r="Q15" s="3289"/>
      <c r="R15" s="3289"/>
      <c r="S15" s="3290"/>
      <c r="T15" s="3252"/>
      <c r="U15" s="3253"/>
      <c r="V15" s="3253"/>
      <c r="W15" s="3253"/>
      <c r="X15" s="3253"/>
      <c r="Y15" s="3252"/>
      <c r="Z15" s="3253"/>
      <c r="AA15" s="3253"/>
      <c r="AB15" s="3253"/>
      <c r="AC15" s="3253"/>
      <c r="AD15" s="3253"/>
      <c r="AE15" s="3253"/>
      <c r="AF15" s="3253"/>
      <c r="AG15" s="3253"/>
      <c r="AH15" s="3253"/>
      <c r="AI15" s="3253"/>
      <c r="AJ15" s="3253"/>
      <c r="AK15" s="3253"/>
      <c r="AL15" s="3253"/>
      <c r="AM15" s="325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289" t="s">
        <v>867</v>
      </c>
      <c r="D16" s="3289"/>
      <c r="E16" s="3289"/>
      <c r="F16" s="3289"/>
      <c r="G16" s="3289"/>
      <c r="H16" s="3289"/>
      <c r="I16" s="3289"/>
      <c r="J16" s="3289"/>
      <c r="K16" s="3289"/>
      <c r="L16" s="3289"/>
      <c r="M16" s="3289"/>
      <c r="N16" s="3289"/>
      <c r="O16" s="3289"/>
      <c r="P16" s="3289"/>
      <c r="Q16" s="3289"/>
      <c r="R16" s="3289"/>
      <c r="S16" s="3290"/>
      <c r="T16" s="3252"/>
      <c r="U16" s="3253"/>
      <c r="V16" s="3253"/>
      <c r="W16" s="3253"/>
      <c r="X16" s="3253"/>
      <c r="Y16" s="3252"/>
      <c r="Z16" s="3253"/>
      <c r="AA16" s="3253"/>
      <c r="AB16" s="3253"/>
      <c r="AC16" s="3253"/>
      <c r="AD16" s="3253"/>
      <c r="AE16" s="3253"/>
      <c r="AF16" s="3253"/>
      <c r="AG16" s="3253"/>
      <c r="AH16" s="3253"/>
      <c r="AI16" s="3253"/>
      <c r="AJ16" s="3253"/>
      <c r="AK16" s="3253"/>
      <c r="AL16" s="3253"/>
      <c r="AM16" s="325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289" t="s">
        <v>535</v>
      </c>
      <c r="D17" s="3289"/>
      <c r="E17" s="3289"/>
      <c r="F17" s="3289"/>
      <c r="G17" s="3289"/>
      <c r="H17" s="3289"/>
      <c r="I17" s="3289"/>
      <c r="J17" s="3289"/>
      <c r="K17" s="3289"/>
      <c r="L17" s="3289"/>
      <c r="M17" s="3289"/>
      <c r="N17" s="3289"/>
      <c r="O17" s="3289"/>
      <c r="P17" s="3289"/>
      <c r="Q17" s="3289"/>
      <c r="R17" s="3289"/>
      <c r="S17" s="3290"/>
      <c r="T17" s="3252"/>
      <c r="U17" s="3253"/>
      <c r="V17" s="3253"/>
      <c r="W17" s="3253"/>
      <c r="X17" s="3253"/>
      <c r="Y17" s="3252"/>
      <c r="Z17" s="3253"/>
      <c r="AA17" s="3253"/>
      <c r="AB17" s="3253"/>
      <c r="AC17" s="3253"/>
      <c r="AD17" s="3253"/>
      <c r="AE17" s="3253"/>
      <c r="AF17" s="3253"/>
      <c r="AG17" s="3253"/>
      <c r="AH17" s="3253"/>
      <c r="AI17" s="3253"/>
      <c r="AJ17" s="3253"/>
      <c r="AK17" s="3253"/>
      <c r="AL17" s="3253"/>
      <c r="AM17" s="325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284" t="s">
        <v>1042</v>
      </c>
      <c r="D18" s="3284"/>
      <c r="E18" s="3284"/>
      <c r="F18" s="3284"/>
      <c r="G18" s="3284"/>
      <c r="H18" s="3284"/>
      <c r="I18" s="3284"/>
      <c r="J18" s="3284"/>
      <c r="K18" s="3284"/>
      <c r="L18" s="3284"/>
      <c r="M18" s="3284"/>
      <c r="N18" s="3284"/>
      <c r="O18" s="3284"/>
      <c r="P18" s="3284"/>
      <c r="Q18" s="3284"/>
      <c r="R18" s="3284"/>
      <c r="S18" s="3285"/>
      <c r="T18" s="3252"/>
      <c r="U18" s="3253"/>
      <c r="V18" s="3253"/>
      <c r="W18" s="3253"/>
      <c r="X18" s="3253"/>
      <c r="Y18" s="3252"/>
      <c r="Z18" s="3253"/>
      <c r="AA18" s="3253"/>
      <c r="AB18" s="3253"/>
      <c r="AC18" s="3253"/>
      <c r="AD18" s="3253"/>
      <c r="AE18" s="3253"/>
      <c r="AF18" s="3253"/>
      <c r="AG18" s="3253"/>
      <c r="AH18" s="3253"/>
      <c r="AI18" s="3253"/>
      <c r="AJ18" s="3253"/>
      <c r="AK18" s="3253"/>
      <c r="AL18" s="3253"/>
      <c r="AM18" s="325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284" t="s">
        <v>1042</v>
      </c>
      <c r="D19" s="3284"/>
      <c r="E19" s="3284"/>
      <c r="F19" s="3284"/>
      <c r="G19" s="3284"/>
      <c r="H19" s="3284"/>
      <c r="I19" s="3284"/>
      <c r="J19" s="3284"/>
      <c r="K19" s="3284"/>
      <c r="L19" s="3284"/>
      <c r="M19" s="3284"/>
      <c r="N19" s="3284"/>
      <c r="O19" s="3284"/>
      <c r="P19" s="3284"/>
      <c r="Q19" s="3284"/>
      <c r="R19" s="3284"/>
      <c r="S19" s="3285"/>
      <c r="T19" s="3252"/>
      <c r="U19" s="3253"/>
      <c r="V19" s="3253"/>
      <c r="W19" s="3253"/>
      <c r="X19" s="3253"/>
      <c r="Y19" s="3252"/>
      <c r="Z19" s="3253"/>
      <c r="AA19" s="3253"/>
      <c r="AB19" s="3253"/>
      <c r="AC19" s="3253"/>
      <c r="AD19" s="3253"/>
      <c r="AE19" s="3253"/>
      <c r="AF19" s="3253"/>
      <c r="AG19" s="3253"/>
      <c r="AH19" s="3253"/>
      <c r="AI19" s="3253"/>
      <c r="AJ19" s="3253"/>
      <c r="AK19" s="3253"/>
      <c r="AL19" s="3253"/>
      <c r="AM19" s="325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1" t="s">
        <v>536</v>
      </c>
      <c r="C20" s="3262"/>
      <c r="D20" s="3262"/>
      <c r="E20" s="3262"/>
      <c r="F20" s="3262"/>
      <c r="G20" s="3262"/>
      <c r="H20" s="3262"/>
      <c r="I20" s="3262"/>
      <c r="J20" s="3262"/>
      <c r="K20" s="3262"/>
      <c r="L20" s="3262"/>
      <c r="M20" s="3262"/>
      <c r="N20" s="3262"/>
      <c r="O20" s="3262"/>
      <c r="P20" s="3262"/>
      <c r="Q20" s="3262"/>
      <c r="R20" s="3262"/>
      <c r="S20" s="3263"/>
      <c r="T20" s="3254">
        <f>SUM(T13:X19)</f>
        <v>0</v>
      </c>
      <c r="U20" s="3255"/>
      <c r="V20" s="3255"/>
      <c r="W20" s="3255"/>
      <c r="X20" s="3255"/>
      <c r="Y20" s="3254">
        <f>SUM(Y13:AC19)</f>
        <v>0</v>
      </c>
      <c r="Z20" s="3255"/>
      <c r="AA20" s="3255"/>
      <c r="AB20" s="3255"/>
      <c r="AC20" s="3255"/>
      <c r="AD20" s="3256">
        <f>SUM(AD13:AH19)</f>
        <v>0</v>
      </c>
      <c r="AE20" s="3257"/>
      <c r="AF20" s="3257"/>
      <c r="AG20" s="3257"/>
      <c r="AH20" s="3254"/>
      <c r="AI20" s="3256">
        <f>SUM(AI13:AM19)</f>
        <v>0</v>
      </c>
      <c r="AJ20" s="3257"/>
      <c r="AK20" s="3257"/>
      <c r="AL20" s="3257"/>
      <c r="AM20" s="325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1" t="s">
        <v>1504</v>
      </c>
      <c r="C21" s="3262"/>
      <c r="D21" s="3262"/>
      <c r="E21" s="3262"/>
      <c r="F21" s="3262"/>
      <c r="G21" s="3262"/>
      <c r="H21" s="3262"/>
      <c r="I21" s="3262"/>
      <c r="J21" s="3262"/>
      <c r="K21" s="3262"/>
      <c r="L21" s="3262"/>
      <c r="M21" s="3262"/>
      <c r="N21" s="3262"/>
      <c r="O21" s="3262"/>
      <c r="P21" s="3262"/>
      <c r="Q21" s="3262"/>
      <c r="R21" s="3262"/>
      <c r="S21" s="3263"/>
      <c r="T21" s="3252"/>
      <c r="U21" s="3253"/>
      <c r="V21" s="3253"/>
      <c r="W21" s="3253"/>
      <c r="X21" s="3253"/>
      <c r="Y21" s="3252"/>
      <c r="Z21" s="3253"/>
      <c r="AA21" s="3253"/>
      <c r="AB21" s="3253"/>
      <c r="AC21" s="3253"/>
      <c r="AD21" s="3249"/>
      <c r="AE21" s="3250"/>
      <c r="AF21" s="3250"/>
      <c r="AG21" s="3250"/>
      <c r="AH21" s="3251"/>
      <c r="AI21" s="3249"/>
      <c r="AJ21" s="3250"/>
      <c r="AK21" s="3250"/>
      <c r="AL21" s="3250"/>
      <c r="AM21" s="325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1" t="s">
        <v>537</v>
      </c>
      <c r="C22" s="3262"/>
      <c r="D22" s="3262"/>
      <c r="E22" s="3262"/>
      <c r="F22" s="3262"/>
      <c r="G22" s="3262"/>
      <c r="H22" s="3262"/>
      <c r="I22" s="3262"/>
      <c r="J22" s="3262"/>
      <c r="K22" s="3262"/>
      <c r="L22" s="3262"/>
      <c r="M22" s="3262"/>
      <c r="N22" s="3262"/>
      <c r="O22" s="3262"/>
      <c r="P22" s="3262"/>
      <c r="Q22" s="3262"/>
      <c r="R22" s="3262"/>
      <c r="S22" s="3263"/>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264" t="s">
        <v>538</v>
      </c>
      <c r="C23" s="3265"/>
      <c r="D23" s="3265"/>
      <c r="E23" s="3265"/>
      <c r="F23" s="3265"/>
      <c r="G23" s="3265"/>
      <c r="H23" s="3265"/>
      <c r="I23" s="3265"/>
      <c r="J23" s="3265"/>
      <c r="K23" s="3265"/>
      <c r="L23" s="3265"/>
      <c r="M23" s="3265"/>
      <c r="N23" s="3265"/>
      <c r="O23" s="3265"/>
      <c r="P23" s="3265"/>
      <c r="Q23" s="3265"/>
      <c r="R23" s="3265"/>
      <c r="S23" s="3266"/>
      <c r="T23" s="3254">
        <f>T11+T22</f>
        <v>57053417</v>
      </c>
      <c r="U23" s="3255"/>
      <c r="V23" s="3255"/>
      <c r="W23" s="3255"/>
      <c r="X23" s="3255"/>
      <c r="Y23" s="3254">
        <f>Y11+Y22</f>
        <v>0</v>
      </c>
      <c r="Z23" s="3255"/>
      <c r="AA23" s="3255"/>
      <c r="AB23" s="3255"/>
      <c r="AC23" s="3255"/>
      <c r="AD23" s="3254">
        <f>AD11+AD22</f>
        <v>0</v>
      </c>
      <c r="AE23" s="3255"/>
      <c r="AF23" s="3255"/>
      <c r="AG23" s="3255"/>
      <c r="AH23" s="3255"/>
      <c r="AI23" s="3254">
        <f>AI11+AI22</f>
        <v>0</v>
      </c>
      <c r="AJ23" s="3255"/>
      <c r="AK23" s="3255"/>
      <c r="AL23" s="3255"/>
      <c r="AM23" s="325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1" t="s">
        <v>1043</v>
      </c>
      <c r="C24" s="3262"/>
      <c r="D24" s="3262"/>
      <c r="E24" s="3262"/>
      <c r="F24" s="3262"/>
      <c r="G24" s="3262"/>
      <c r="H24" s="3262"/>
      <c r="I24" s="3262"/>
      <c r="J24" s="3262"/>
      <c r="K24" s="3262"/>
      <c r="L24" s="3262"/>
      <c r="M24" s="3262"/>
      <c r="N24" s="3262"/>
      <c r="O24" s="3262"/>
      <c r="P24" s="3262"/>
      <c r="Q24" s="3262"/>
      <c r="R24" s="3262"/>
      <c r="S24" s="3263"/>
      <c r="T24" s="3256">
        <f>Application!AJ1032</f>
        <v>104469568.76000001</v>
      </c>
      <c r="U24" s="3257"/>
      <c r="V24" s="3257"/>
      <c r="W24" s="3257"/>
      <c r="X24" s="3257"/>
      <c r="Y24" s="3257"/>
      <c r="Z24" s="3257"/>
      <c r="AA24" s="3257"/>
      <c r="AB24" s="3257"/>
      <c r="AC24" s="3257"/>
      <c r="AD24" s="3257"/>
      <c r="AE24" s="3257"/>
      <c r="AF24" s="3257"/>
      <c r="AG24" s="3257"/>
      <c r="AH24" s="3257"/>
      <c r="AI24" s="3257"/>
      <c r="AJ24" s="3257"/>
      <c r="AK24" s="3257"/>
      <c r="AL24" s="3257"/>
      <c r="AM24" s="325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268" t="s">
        <v>1505</v>
      </c>
      <c r="C25" s="3269"/>
      <c r="D25" s="3269"/>
      <c r="E25" s="3269"/>
      <c r="F25" s="3269"/>
      <c r="G25" s="3269"/>
      <c r="H25" s="3269"/>
      <c r="I25" s="3269"/>
      <c r="J25" s="3269"/>
      <c r="K25" s="3269"/>
      <c r="L25" s="3269"/>
      <c r="M25" s="3269"/>
      <c r="N25" s="3269"/>
      <c r="O25" s="3269"/>
      <c r="P25" s="3269"/>
      <c r="Q25" s="3269"/>
      <c r="R25" s="3269"/>
      <c r="S25" s="3270"/>
      <c r="T25" s="3302">
        <f>IF(OR(Application!T195="yes",Application!T194="yes"),1.3,1)</f>
        <v>1</v>
      </c>
      <c r="U25" s="3303"/>
      <c r="V25" s="3303"/>
      <c r="W25" s="3303"/>
      <c r="X25" s="3303"/>
      <c r="Y25" s="3302">
        <v>1</v>
      </c>
      <c r="Z25" s="3303"/>
      <c r="AA25" s="3303"/>
      <c r="AB25" s="3303"/>
      <c r="AC25" s="3303"/>
      <c r="AD25" s="3302">
        <v>1</v>
      </c>
      <c r="AE25" s="3303"/>
      <c r="AF25" s="3303"/>
      <c r="AG25" s="3303"/>
      <c r="AH25" s="3304"/>
      <c r="AI25" s="3302">
        <v>1</v>
      </c>
      <c r="AJ25" s="3303"/>
      <c r="AK25" s="3303"/>
      <c r="AL25" s="3303"/>
      <c r="AM25" s="330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1" t="s">
        <v>539</v>
      </c>
      <c r="C26" s="3262"/>
      <c r="D26" s="3262"/>
      <c r="E26" s="3262"/>
      <c r="F26" s="3262"/>
      <c r="G26" s="3262"/>
      <c r="H26" s="3262"/>
      <c r="I26" s="3262"/>
      <c r="J26" s="3262"/>
      <c r="K26" s="3262"/>
      <c r="L26" s="3262"/>
      <c r="M26" s="3262"/>
      <c r="N26" s="3262"/>
      <c r="O26" s="3262"/>
      <c r="P26" s="3262"/>
      <c r="Q26" s="3262"/>
      <c r="R26" s="3262"/>
      <c r="S26" s="3263"/>
      <c r="T26" s="3305">
        <f>T23*T25</f>
        <v>57053417</v>
      </c>
      <c r="U26" s="3306"/>
      <c r="V26" s="3306"/>
      <c r="W26" s="3306"/>
      <c r="X26" s="3306"/>
      <c r="Y26" s="3305">
        <f>Y23*Y25</f>
        <v>0</v>
      </c>
      <c r="Z26" s="3306"/>
      <c r="AA26" s="3306"/>
      <c r="AB26" s="3306"/>
      <c r="AC26" s="3306"/>
      <c r="AD26" s="3305">
        <f>AD23*AD25</f>
        <v>0</v>
      </c>
      <c r="AE26" s="3306"/>
      <c r="AF26" s="3306"/>
      <c r="AG26" s="3306"/>
      <c r="AH26" s="3306"/>
      <c r="AI26" s="3305">
        <f>AI23*AI25</f>
        <v>0</v>
      </c>
      <c r="AJ26" s="3306"/>
      <c r="AK26" s="3306"/>
      <c r="AL26" s="3306"/>
      <c r="AM26" s="330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271" t="s">
        <v>449</v>
      </c>
      <c r="C27" s="3272"/>
      <c r="D27" s="3272"/>
      <c r="E27" s="3272"/>
      <c r="F27" s="3272"/>
      <c r="G27" s="3272"/>
      <c r="H27" s="3272"/>
      <c r="I27" s="3272"/>
      <c r="J27" s="3272"/>
      <c r="K27" s="3272"/>
      <c r="L27" s="3272"/>
      <c r="M27" s="3272"/>
      <c r="N27" s="3272"/>
      <c r="O27" s="3272"/>
      <c r="P27" s="3272"/>
      <c r="Q27" s="3272"/>
      <c r="R27" s="3272"/>
      <c r="S27" s="3273"/>
      <c r="T27" s="3282">
        <f>Application!$AG$444</f>
        <v>1</v>
      </c>
      <c r="U27" s="3283"/>
      <c r="V27" s="3283"/>
      <c r="W27" s="3283"/>
      <c r="X27" s="3283"/>
      <c r="Y27" s="3282">
        <f>Application!$AG$444</f>
        <v>1</v>
      </c>
      <c r="Z27" s="3283"/>
      <c r="AA27" s="3283"/>
      <c r="AB27" s="3283"/>
      <c r="AC27" s="3283"/>
      <c r="AD27" s="3282">
        <f>Application!$AG$444</f>
        <v>1</v>
      </c>
      <c r="AE27" s="3283"/>
      <c r="AF27" s="3283"/>
      <c r="AG27" s="3283"/>
      <c r="AH27" s="3283"/>
      <c r="AI27" s="3282">
        <f>Application!$AG$444</f>
        <v>1</v>
      </c>
      <c r="AJ27" s="3283"/>
      <c r="AK27" s="3283"/>
      <c r="AL27" s="3283"/>
      <c r="AM27" s="328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1" t="s">
        <v>540</v>
      </c>
      <c r="C28" s="3262"/>
      <c r="D28" s="3262"/>
      <c r="E28" s="3262"/>
      <c r="F28" s="3262"/>
      <c r="G28" s="3262"/>
      <c r="H28" s="3262"/>
      <c r="I28" s="3262"/>
      <c r="J28" s="3262"/>
      <c r="K28" s="3262"/>
      <c r="L28" s="3262"/>
      <c r="M28" s="3262"/>
      <c r="N28" s="3262"/>
      <c r="O28" s="3262"/>
      <c r="P28" s="3262"/>
      <c r="Q28" s="3262"/>
      <c r="R28" s="3262"/>
      <c r="S28" s="3263"/>
      <c r="T28" s="3274">
        <f>IF(ISERROR((T26*T27)),0,(T26*T27))</f>
        <v>57053417</v>
      </c>
      <c r="U28" s="3275"/>
      <c r="V28" s="3275"/>
      <c r="W28" s="3275"/>
      <c r="X28" s="3275"/>
      <c r="Y28" s="3274">
        <f>IF(ISERROR((Y26*Y27)),0,(Y26*Y27))</f>
        <v>0</v>
      </c>
      <c r="Z28" s="3275"/>
      <c r="AA28" s="3275"/>
      <c r="AB28" s="3275"/>
      <c r="AC28" s="3275"/>
      <c r="AD28" s="3274">
        <f>IF(ISERROR((AD26*AD27)),0,(AD26*AD27))</f>
        <v>0</v>
      </c>
      <c r="AE28" s="3275"/>
      <c r="AF28" s="3275"/>
      <c r="AG28" s="3275"/>
      <c r="AH28" s="3275"/>
      <c r="AI28" s="3274">
        <f>IF(ISERROR((AI26*AI27)),0,(AI26*AI27))</f>
        <v>0</v>
      </c>
      <c r="AJ28" s="3275"/>
      <c r="AK28" s="3275"/>
      <c r="AL28" s="3275"/>
      <c r="AM28" s="327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1" t="s">
        <v>557</v>
      </c>
      <c r="C29" s="3262"/>
      <c r="D29" s="3262"/>
      <c r="E29" s="3262"/>
      <c r="F29" s="3262"/>
      <c r="G29" s="3262"/>
      <c r="H29" s="3262"/>
      <c r="I29" s="3262"/>
      <c r="J29" s="3262"/>
      <c r="K29" s="3262"/>
      <c r="L29" s="3262"/>
      <c r="M29" s="3262"/>
      <c r="N29" s="3262"/>
      <c r="O29" s="3262"/>
      <c r="P29" s="3262"/>
      <c r="Q29" s="3262"/>
      <c r="R29" s="3262"/>
      <c r="S29" s="3263"/>
      <c r="T29" s="3256">
        <f>T28+Y28+AD28+AI28</f>
        <v>57053417</v>
      </c>
      <c r="U29" s="3257"/>
      <c r="V29" s="3257"/>
      <c r="W29" s="3257"/>
      <c r="X29" s="3257"/>
      <c r="Y29" s="3257"/>
      <c r="Z29" s="3257"/>
      <c r="AA29" s="3257"/>
      <c r="AB29" s="3257"/>
      <c r="AC29" s="3257"/>
      <c r="AD29" s="3257"/>
      <c r="AE29" s="3257"/>
      <c r="AF29" s="3257"/>
      <c r="AG29" s="3257"/>
      <c r="AH29" s="3257"/>
      <c r="AI29" s="3257"/>
      <c r="AJ29" s="3257"/>
      <c r="AK29" s="3257"/>
      <c r="AL29" s="3257"/>
      <c r="AM29" s="325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7" t="s">
        <v>1507</v>
      </c>
      <c r="C30" s="3267"/>
      <c r="D30" s="3267"/>
      <c r="E30" s="3267"/>
      <c r="F30" s="3267"/>
      <c r="G30" s="3267"/>
      <c r="H30" s="3267"/>
      <c r="I30" s="3267"/>
      <c r="J30" s="3267"/>
      <c r="K30" s="3267"/>
      <c r="L30" s="3267"/>
      <c r="M30" s="3267"/>
      <c r="N30" s="3267"/>
      <c r="O30" s="3267"/>
      <c r="P30" s="3267"/>
      <c r="Q30" s="3267"/>
      <c r="R30" s="3267"/>
      <c r="S30" s="3267"/>
      <c r="T30" s="3267"/>
      <c r="U30" s="3267"/>
      <c r="V30" s="3267"/>
      <c r="W30" s="3267"/>
      <c r="X30" s="3267"/>
      <c r="Y30" s="3267"/>
      <c r="Z30" s="3267"/>
      <c r="AA30" s="3267"/>
      <c r="AB30" s="3267"/>
      <c r="AC30" s="3267"/>
      <c r="AD30" s="3267"/>
      <c r="AE30" s="3267"/>
      <c r="AF30" s="3267"/>
      <c r="AG30" s="3267"/>
      <c r="AH30" s="3267"/>
      <c r="AI30" s="3267"/>
      <c r="AJ30" s="3267"/>
      <c r="AK30" s="3267"/>
      <c r="AL30" s="3267"/>
      <c r="AM30" s="326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7" t="s">
        <v>1506</v>
      </c>
      <c r="C31" s="3267"/>
      <c r="D31" s="3267"/>
      <c r="E31" s="3267"/>
      <c r="F31" s="3267"/>
      <c r="G31" s="3267"/>
      <c r="H31" s="3267"/>
      <c r="I31" s="3267"/>
      <c r="J31" s="3267"/>
      <c r="K31" s="3267"/>
      <c r="L31" s="3267"/>
      <c r="M31" s="3267"/>
      <c r="N31" s="3267"/>
      <c r="O31" s="3267"/>
      <c r="P31" s="3267"/>
      <c r="Q31" s="3267"/>
      <c r="R31" s="3267"/>
      <c r="S31" s="3267"/>
      <c r="T31" s="3267"/>
      <c r="U31" s="3267"/>
      <c r="V31" s="3267"/>
      <c r="W31" s="3267"/>
      <c r="X31" s="3267"/>
      <c r="Y31" s="3267"/>
      <c r="Z31" s="3267"/>
      <c r="AA31" s="3267"/>
      <c r="AB31" s="3267"/>
      <c r="AC31" s="3267"/>
      <c r="AD31" s="3267"/>
      <c r="AE31" s="3267"/>
      <c r="AF31" s="3267"/>
      <c r="AG31" s="3267"/>
      <c r="AH31" s="3267"/>
      <c r="AI31" s="3267"/>
      <c r="AJ31" s="3267"/>
      <c r="AK31" s="3267"/>
      <c r="AL31" s="3267"/>
      <c r="AM31" s="326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3" t="s">
        <v>1349</v>
      </c>
      <c r="Z35" s="3293"/>
      <c r="AA35" s="3293"/>
      <c r="AB35" s="3293"/>
      <c r="AC35" s="3293"/>
      <c r="AD35" s="3319" t="s">
        <v>382</v>
      </c>
      <c r="AE35" s="3319"/>
      <c r="AF35" s="3319"/>
      <c r="AG35" s="3319"/>
      <c r="AH35" s="331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3"/>
      <c r="Z36" s="3293"/>
      <c r="AA36" s="3293"/>
      <c r="AB36" s="3293"/>
      <c r="AC36" s="3293"/>
      <c r="AD36" s="3319"/>
      <c r="AE36" s="3319"/>
      <c r="AF36" s="3319"/>
      <c r="AG36" s="3319"/>
      <c r="AH36" s="331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3"/>
      <c r="Z37" s="3293"/>
      <c r="AA37" s="3293"/>
      <c r="AB37" s="3293"/>
      <c r="AC37" s="3293"/>
      <c r="AD37" s="3319"/>
      <c r="AE37" s="3319"/>
      <c r="AF37" s="3319"/>
      <c r="AG37" s="3319"/>
      <c r="AH37" s="331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1" t="s">
        <v>540</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55">
        <f>IF(T24&gt;=(T23+Y23+AD23+AI23),T28+Y28,0)</f>
        <v>57053417</v>
      </c>
      <c r="Z38" s="3255"/>
      <c r="AA38" s="3255"/>
      <c r="AB38" s="3255"/>
      <c r="AC38" s="3255"/>
      <c r="AD38" s="3255">
        <f>IF(T24&gt;=(T23+Y23+AD23+AI23),AD28+AI28,0)</f>
        <v>0</v>
      </c>
      <c r="AE38" s="3255"/>
      <c r="AF38" s="3255"/>
      <c r="AG38" s="3255"/>
      <c r="AH38" s="325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1" t="s">
        <v>2194</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320">
        <v>0.04</v>
      </c>
      <c r="Z39" s="3320"/>
      <c r="AA39" s="3320"/>
      <c r="AB39" s="3320"/>
      <c r="AC39" s="3320"/>
      <c r="AD39" s="3320">
        <v>0.04</v>
      </c>
      <c r="AE39" s="3320"/>
      <c r="AF39" s="3320"/>
      <c r="AG39" s="3320"/>
      <c r="AH39" s="332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1" t="s">
        <v>678</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55">
        <f>ROUND(Y38*Y39,0)</f>
        <v>2282137</v>
      </c>
      <c r="Z40" s="3255"/>
      <c r="AA40" s="3255"/>
      <c r="AB40" s="3255"/>
      <c r="AC40" s="3255"/>
      <c r="AD40" s="3254">
        <f>ROUND(AD38*AD39,0)</f>
        <v>0</v>
      </c>
      <c r="AE40" s="3255"/>
      <c r="AF40" s="3255"/>
      <c r="AG40" s="3255"/>
      <c r="AH40" s="325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1" t="s">
        <v>679</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276">
        <f>Y40+AD40</f>
        <v>2282137</v>
      </c>
      <c r="Z41" s="3277"/>
      <c r="AA41" s="3277"/>
      <c r="AB41" s="3277"/>
      <c r="AC41" s="3277"/>
      <c r="AD41" s="3277"/>
      <c r="AE41" s="3277"/>
      <c r="AF41" s="3277"/>
      <c r="AG41" s="3277"/>
      <c r="AH41" s="327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59" t="s">
        <v>1520</v>
      </c>
      <c r="B44" s="3259"/>
      <c r="C44" s="3259"/>
      <c r="D44" s="3259"/>
      <c r="E44" s="3259"/>
      <c r="F44" s="3259"/>
      <c r="G44" s="3259"/>
      <c r="H44" s="3259"/>
      <c r="I44" s="3259"/>
      <c r="J44" s="3259"/>
      <c r="K44" s="3259"/>
      <c r="L44" s="3259"/>
      <c r="M44" s="3259"/>
      <c r="N44" s="3259"/>
      <c r="O44" s="3259"/>
      <c r="P44" s="3259"/>
      <c r="Q44" s="3259"/>
      <c r="R44" s="3259"/>
      <c r="S44" s="3259"/>
      <c r="T44" s="3259"/>
      <c r="U44" s="3259"/>
      <c r="V44" s="3259"/>
      <c r="W44" s="3259"/>
      <c r="X44" s="3259"/>
      <c r="Y44" s="3259"/>
      <c r="Z44" s="3259"/>
      <c r="AA44" s="3259"/>
      <c r="AB44" s="3259"/>
      <c r="AC44" s="3259"/>
      <c r="AD44" s="3259"/>
      <c r="AE44" s="3259"/>
      <c r="AF44" s="3259"/>
      <c r="AG44" s="3259"/>
      <c r="AH44" s="3259"/>
      <c r="AI44" s="3259"/>
      <c r="AJ44" s="3259"/>
      <c r="AK44" s="3259"/>
      <c r="AL44" s="3259"/>
      <c r="AM44" s="3259"/>
      <c r="AN44" s="3259"/>
      <c r="AO44" s="3259"/>
      <c r="AP44" s="3259"/>
      <c r="AQ44" s="3259"/>
      <c r="AR44" s="3259"/>
      <c r="AS44" s="3259"/>
      <c r="AT44" s="3259"/>
      <c r="AU44" s="3259"/>
      <c r="AV44" s="3259"/>
      <c r="AW44" s="3259"/>
      <c r="AX44" s="3259"/>
      <c r="AY44" s="3259"/>
      <c r="AZ44" s="3259"/>
      <c r="BA44" s="3259"/>
      <c r="BB44" s="3259"/>
      <c r="BC44" s="3259"/>
      <c r="BD44" s="3259"/>
      <c r="BE44" s="3259"/>
      <c r="BF44" s="3259"/>
      <c r="BG44" s="3259"/>
      <c r="BH44" s="3259"/>
      <c r="BI44" s="3259"/>
      <c r="BJ44" s="3259"/>
      <c r="BK44" s="3259"/>
      <c r="BL44" s="3259"/>
      <c r="BM44" s="3259"/>
      <c r="BN44" s="3259"/>
      <c r="BO44" s="3259"/>
      <c r="BP44" s="3259"/>
      <c r="BQ44" s="3259"/>
      <c r="BR44" s="3259"/>
      <c r="BS44" s="3259"/>
      <c r="BT44" s="3259"/>
      <c r="BU44" s="3259"/>
      <c r="BV44" s="3259"/>
      <c r="BW44" s="3259"/>
      <c r="BX44" s="325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9">
        <f>'Sources and Uses Budget'!B105-'Sources and Uses Budget'!B15</f>
        <v>65206059</v>
      </c>
      <c r="AC47" s="3280"/>
      <c r="AD47" s="3280"/>
      <c r="AE47" s="3280"/>
      <c r="AF47" s="328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9">
        <f>Application!AO649-MIN('Sources and Uses Budget'!B15,Application!AG394)</f>
        <v>39346604</v>
      </c>
      <c r="AC48" s="3280"/>
      <c r="AD48" s="3280"/>
      <c r="AE48" s="3280"/>
      <c r="AF48" s="328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9">
        <f>AB47-AB48</f>
        <v>25859455</v>
      </c>
      <c r="AC49" s="3280"/>
      <c r="AD49" s="3280"/>
      <c r="AE49" s="3280"/>
      <c r="AF49" s="328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2">
        <v>0.88</v>
      </c>
      <c r="AC50" s="3313"/>
      <c r="AD50" s="3313"/>
      <c r="AE50" s="3313"/>
      <c r="AF50" s="331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5" t="s">
        <v>2441</v>
      </c>
      <c r="F51" s="3315"/>
      <c r="G51" s="3315"/>
      <c r="H51" s="3315"/>
      <c r="I51" s="3315"/>
      <c r="J51" s="3315"/>
      <c r="K51" s="3315"/>
      <c r="L51" s="3315"/>
      <c r="M51" s="3315"/>
      <c r="N51" s="3315"/>
      <c r="O51" s="3315"/>
      <c r="P51" s="3315"/>
      <c r="Q51" s="3315"/>
      <c r="R51" s="3315"/>
      <c r="S51" s="3315"/>
      <c r="T51" s="3315"/>
      <c r="U51" s="3315"/>
      <c r="V51" s="3315"/>
      <c r="W51" s="3315"/>
      <c r="X51" s="3315"/>
      <c r="Y51" s="3315"/>
      <c r="Z51" s="331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5"/>
      <c r="F52" s="3315"/>
      <c r="G52" s="3315"/>
      <c r="H52" s="3315"/>
      <c r="I52" s="3315"/>
      <c r="J52" s="3315"/>
      <c r="K52" s="3315"/>
      <c r="L52" s="3315"/>
      <c r="M52" s="3315"/>
      <c r="N52" s="3315"/>
      <c r="O52" s="3315"/>
      <c r="P52" s="3315"/>
      <c r="Q52" s="3315"/>
      <c r="R52" s="3315"/>
      <c r="S52" s="3315"/>
      <c r="T52" s="3315"/>
      <c r="U52" s="3315"/>
      <c r="V52" s="3315"/>
      <c r="W52" s="3315"/>
      <c r="X52" s="3315"/>
      <c r="Y52" s="3315"/>
      <c r="Z52" s="331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9">
        <f>ROUND(IF(ISERROR((AB49/AB50)),0,(AB49/AB50)),0)</f>
        <v>29385744</v>
      </c>
      <c r="AC54" s="3280"/>
      <c r="AD54" s="3280"/>
      <c r="AE54" s="3280"/>
      <c r="AF54" s="328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9">
        <f>(AB54/10)</f>
        <v>2938574.4</v>
      </c>
      <c r="AC55" s="3280"/>
      <c r="AD55" s="3280"/>
      <c r="AE55" s="3280"/>
      <c r="AF55" s="328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6">
        <f>(IF((Y41&lt;AB55),Y41,AB55))</f>
        <v>2282137</v>
      </c>
      <c r="AC56" s="3317"/>
      <c r="AD56" s="3317"/>
      <c r="AE56" s="3317"/>
      <c r="AF56" s="331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9">
        <f>ROUND((10*AB56*AB50),0)</f>
        <v>20082806</v>
      </c>
      <c r="AC57" s="3280"/>
      <c r="AD57" s="3280"/>
      <c r="AE57" s="3280"/>
      <c r="AF57" s="328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7">
        <f>AB49-AB57</f>
        <v>5776649</v>
      </c>
      <c r="AC59" s="3307"/>
      <c r="AD59" s="3307"/>
      <c r="AE59" s="3307"/>
      <c r="AF59" s="330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59" t="str">
        <f>IF(Application!AP204="yes","Farmworker State Credit", "State Credit" )</f>
        <v>State Credit</v>
      </c>
      <c r="B61" s="3259"/>
      <c r="C61" s="3259"/>
      <c r="D61" s="3259"/>
      <c r="E61" s="3259"/>
      <c r="F61" s="3259"/>
      <c r="G61" s="3259"/>
      <c r="H61" s="3259"/>
      <c r="I61" s="3259"/>
      <c r="J61" s="3259"/>
      <c r="K61" s="3259"/>
      <c r="L61" s="3259"/>
      <c r="M61" s="3259"/>
      <c r="N61" s="3259"/>
      <c r="O61" s="3259"/>
      <c r="P61" s="3259"/>
      <c r="Q61" s="3259"/>
      <c r="R61" s="3259"/>
      <c r="S61" s="3259"/>
      <c r="T61" s="3259"/>
      <c r="U61" s="3259"/>
      <c r="V61" s="3259"/>
      <c r="W61" s="3259"/>
      <c r="X61" s="3259"/>
      <c r="Y61" s="3259"/>
      <c r="Z61" s="3259"/>
      <c r="AA61" s="3259"/>
      <c r="AB61" s="3259"/>
      <c r="AC61" s="3259"/>
      <c r="AD61" s="3259"/>
      <c r="AE61" s="3259"/>
      <c r="AF61" s="3259"/>
      <c r="AG61" s="3259"/>
      <c r="AH61" s="3259"/>
      <c r="AI61" s="3259"/>
      <c r="AJ61" s="3259"/>
      <c r="AK61" s="3259"/>
      <c r="AL61" s="3259"/>
      <c r="AM61" s="3259"/>
      <c r="AN61" s="3259"/>
      <c r="AO61" s="3259"/>
      <c r="AP61" s="3259"/>
      <c r="AQ61" s="3259"/>
      <c r="AR61" s="3259"/>
      <c r="AS61" s="3259"/>
      <c r="AT61" s="3259"/>
      <c r="AU61" s="3259"/>
      <c r="AV61" s="3259"/>
      <c r="AW61" s="3259"/>
      <c r="AX61" s="3259"/>
      <c r="AY61" s="3259"/>
      <c r="AZ61" s="3259"/>
      <c r="BA61" s="3259"/>
      <c r="BB61" s="3259"/>
      <c r="BC61" s="3259"/>
      <c r="BD61" s="3259"/>
      <c r="BE61" s="3259"/>
      <c r="BF61" s="3259"/>
      <c r="BG61" s="3259"/>
      <c r="BH61" s="3259"/>
      <c r="BI61" s="3259"/>
      <c r="BJ61" s="3259"/>
      <c r="BK61" s="3259"/>
      <c r="BL61" s="3259"/>
      <c r="BM61" s="3259"/>
      <c r="BN61" s="3259"/>
      <c r="BO61" s="3259"/>
      <c r="BP61" s="3259"/>
      <c r="BQ61" s="3259"/>
      <c r="BR61" s="3259"/>
      <c r="BS61" s="3259"/>
      <c r="BT61" s="3259"/>
      <c r="BU61" s="3259"/>
      <c r="BV61" s="3259"/>
      <c r="BW61" s="3259"/>
      <c r="BX61" s="325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08" t="s">
        <v>1071</v>
      </c>
      <c r="Z63" s="3308"/>
      <c r="AA63" s="3308"/>
      <c r="AB63" s="3308"/>
      <c r="AC63" s="3308"/>
      <c r="AD63" s="3308" t="s">
        <v>382</v>
      </c>
      <c r="AE63" s="3308"/>
      <c r="AF63" s="3308"/>
      <c r="AG63" s="3308"/>
      <c r="AH63" s="330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09">
        <f>IF(Application!Z204="(select)",0,((T23*T27)+Y28))</f>
        <v>57053417</v>
      </c>
      <c r="Z64" s="3310"/>
      <c r="AA64" s="3310"/>
      <c r="AB64" s="3310"/>
      <c r="AC64" s="3311"/>
      <c r="AD64" s="3309">
        <f>IF(AND(Application!AP204="yes",Application!M357="yes"),AD28+AI28,0)</f>
        <v>0</v>
      </c>
      <c r="AE64" s="3310"/>
      <c r="AF64" s="3310"/>
      <c r="AG64" s="3310"/>
      <c r="AH64" s="331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6">
        <f>IF(Application!AP204="yes",0.75,IF(Application!Z203="15% set-aside",0.13,IF(Application!Z203="15% set-aside with qualifying low value rehab",0.95,0.3)))</f>
        <v>0.3</v>
      </c>
      <c r="Z67" s="3326"/>
      <c r="AA67" s="3326"/>
      <c r="AB67" s="3326"/>
      <c r="AC67" s="3326"/>
      <c r="AD67" s="3326">
        <f>IF(Application!AP204="yes",0.75,IF(Application!Z203="15% set-aside with qualifying low value rehab", 0.95,0.13))</f>
        <v>0.13</v>
      </c>
      <c r="AE67" s="3326"/>
      <c r="AF67" s="3326"/>
      <c r="AG67" s="3326"/>
      <c r="AH67" s="332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27">
        <f>ROUND(Y64*Y67,0)</f>
        <v>17116025</v>
      </c>
      <c r="Z68" s="3328"/>
      <c r="AA68" s="3328"/>
      <c r="AB68" s="3328"/>
      <c r="AC68" s="3328"/>
      <c r="AD68" s="3327" t="str">
        <f>IF(Application!D210="At-Risk",AD64*AD67,"$0")</f>
        <v>$0</v>
      </c>
      <c r="AE68" s="3328"/>
      <c r="AF68" s="3328"/>
      <c r="AG68" s="3328"/>
      <c r="AH68" s="332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2">
        <v>0.75</v>
      </c>
      <c r="AC71" s="3313"/>
      <c r="AD71" s="3313"/>
      <c r="AE71" s="3313"/>
      <c r="AF71" s="331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29" t="s">
        <v>1492</v>
      </c>
      <c r="F72" s="3329"/>
      <c r="G72" s="3329"/>
      <c r="H72" s="3329"/>
      <c r="I72" s="3329"/>
      <c r="J72" s="3329"/>
      <c r="K72" s="3329"/>
      <c r="L72" s="3329"/>
      <c r="M72" s="3329"/>
      <c r="N72" s="3329"/>
      <c r="O72" s="3329"/>
      <c r="P72" s="3329"/>
      <c r="Q72" s="3329"/>
      <c r="R72" s="3329"/>
      <c r="S72" s="3329"/>
      <c r="T72" s="3329"/>
      <c r="U72" s="3329"/>
      <c r="V72" s="3329"/>
      <c r="W72" s="3329"/>
      <c r="X72" s="3329"/>
      <c r="Y72" s="3329"/>
      <c r="Z72" s="3329"/>
      <c r="AA72" s="332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29"/>
      <c r="F73" s="3329"/>
      <c r="G73" s="3329"/>
      <c r="H73" s="3329"/>
      <c r="I73" s="3329"/>
      <c r="J73" s="3329"/>
      <c r="K73" s="3329"/>
      <c r="L73" s="3329"/>
      <c r="M73" s="3329"/>
      <c r="N73" s="3329"/>
      <c r="O73" s="3329"/>
      <c r="P73" s="3329"/>
      <c r="Q73" s="3329"/>
      <c r="R73" s="3329"/>
      <c r="S73" s="3329"/>
      <c r="T73" s="3329"/>
      <c r="U73" s="3329"/>
      <c r="V73" s="3329"/>
      <c r="W73" s="3329"/>
      <c r="X73" s="3329"/>
      <c r="Y73" s="3329"/>
      <c r="Z73" s="3329"/>
      <c r="AA73" s="332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29"/>
      <c r="F74" s="3329"/>
      <c r="G74" s="3329"/>
      <c r="H74" s="3329"/>
      <c r="I74" s="3329"/>
      <c r="J74" s="3329"/>
      <c r="K74" s="3329"/>
      <c r="L74" s="3329"/>
      <c r="M74" s="3329"/>
      <c r="N74" s="3329"/>
      <c r="O74" s="3329"/>
      <c r="P74" s="3329"/>
      <c r="Q74" s="3329"/>
      <c r="R74" s="3329"/>
      <c r="S74" s="3329"/>
      <c r="T74" s="3329"/>
      <c r="U74" s="3329"/>
      <c r="V74" s="3329"/>
      <c r="W74" s="3329"/>
      <c r="X74" s="3329"/>
      <c r="Y74" s="3329"/>
      <c r="Z74" s="3329"/>
      <c r="AA74" s="332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1">
        <f>ROUND(IF(ISERROR((AB59/AB71)),0,(AB59/AB71)),0)</f>
        <v>7702199</v>
      </c>
      <c r="AC76" s="3321"/>
      <c r="AD76" s="3321"/>
      <c r="AE76" s="3321"/>
      <c r="AF76" s="332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2">
        <f>IF((Y68+AD68&lt;AB76),Y68+AD68,AB76)</f>
        <v>7702199</v>
      </c>
      <c r="AC77" s="3323"/>
      <c r="AD77" s="3323"/>
      <c r="AE77" s="3323"/>
      <c r="AF77" s="332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5">
        <f>AB77*AB71</f>
        <v>5776649.25</v>
      </c>
      <c r="AC78" s="3325"/>
      <c r="AD78" s="3325"/>
      <c r="AE78" s="3325"/>
      <c r="AF78" s="332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7">
        <f>AB49-(AB57+AB78)</f>
        <v>-0.25</v>
      </c>
      <c r="AC80" s="3307"/>
      <c r="AD80" s="3307"/>
      <c r="AE80" s="3307"/>
      <c r="AF80" s="330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59"/>
      <c r="B83" s="3259"/>
      <c r="C83" s="3259"/>
      <c r="D83" s="3259"/>
      <c r="E83" s="3259"/>
      <c r="F83" s="3259"/>
      <c r="G83" s="3259"/>
      <c r="H83" s="3259"/>
      <c r="I83" s="3259"/>
      <c r="J83" s="3259"/>
      <c r="K83" s="3259"/>
      <c r="L83" s="3259"/>
      <c r="M83" s="3259"/>
      <c r="N83" s="3259"/>
      <c r="O83" s="3259"/>
      <c r="P83" s="3259"/>
      <c r="Q83" s="3259"/>
      <c r="R83" s="3259"/>
      <c r="S83" s="3259"/>
      <c r="T83" s="3259"/>
      <c r="U83" s="3259"/>
      <c r="V83" s="3259"/>
      <c r="W83" s="3259"/>
      <c r="X83" s="3259"/>
      <c r="Y83" s="3259"/>
      <c r="Z83" s="3259"/>
      <c r="AA83" s="3259"/>
      <c r="AB83" s="3259"/>
      <c r="AC83" s="3259"/>
      <c r="AD83" s="3259"/>
      <c r="AE83" s="3259"/>
      <c r="AF83" s="3259"/>
      <c r="AG83" s="3259"/>
      <c r="AH83" s="3259"/>
      <c r="AI83" s="3259"/>
      <c r="AJ83" s="3259"/>
      <c r="AK83" s="3259"/>
      <c r="AL83" s="3259"/>
      <c r="AM83" s="3259"/>
      <c r="AN83" s="3259"/>
      <c r="AO83" s="3259"/>
      <c r="AP83" s="3259"/>
      <c r="AQ83" s="3259"/>
      <c r="AR83" s="3259"/>
      <c r="AS83" s="3259"/>
      <c r="AT83" s="3259"/>
      <c r="AU83" s="3259"/>
      <c r="AV83" s="3259"/>
      <c r="AW83" s="3259"/>
      <c r="AX83" s="3259"/>
      <c r="AY83" s="3259"/>
      <c r="AZ83" s="3259"/>
      <c r="BA83" s="3259"/>
      <c r="BB83" s="3259"/>
      <c r="BC83" s="3259"/>
      <c r="BD83" s="3259"/>
      <c r="BE83" s="3259"/>
      <c r="BF83" s="3259"/>
      <c r="BG83" s="3259"/>
      <c r="BH83" s="3259"/>
      <c r="BI83" s="3259"/>
      <c r="BJ83" s="3259"/>
      <c r="BK83" s="3259"/>
      <c r="BL83" s="3259"/>
      <c r="BM83" s="3259"/>
      <c r="BN83" s="3259"/>
      <c r="BO83" s="3259"/>
      <c r="BP83" s="3259"/>
      <c r="BQ83" s="3259"/>
      <c r="BR83" s="3259"/>
      <c r="BS83" s="3259"/>
      <c r="BT83" s="3259"/>
      <c r="BU83" s="3259"/>
      <c r="BV83" s="3259"/>
      <c r="BW83" s="3259"/>
      <c r="BX83" s="3259"/>
    </row>
    <row r="84" spans="1:98" ht="13.8" thickTop="1"/>
    <row r="85" spans="1:98" ht="13.2">
      <c r="A85" s="795"/>
      <c r="C85" s="335"/>
      <c r="Z85" s="620"/>
      <c r="AA85" s="620"/>
      <c r="AB85" s="620"/>
      <c r="AC85" s="620"/>
      <c r="AD85" s="620"/>
      <c r="AE85" s="620"/>
      <c r="AF85" s="620"/>
      <c r="AG85" s="620"/>
      <c r="AH85" s="620"/>
    </row>
    <row r="86" spans="1:98" ht="13.2">
      <c r="D86" s="335"/>
      <c r="Z86" s="620"/>
      <c r="AA86" s="620"/>
      <c r="AB86" s="3260"/>
      <c r="AC86" s="3260"/>
      <c r="AD86" s="3260"/>
      <c r="AE86" s="3260"/>
      <c r="AF86" s="3260"/>
      <c r="AG86" s="620"/>
      <c r="AH86" s="620"/>
    </row>
    <row r="87" spans="1:98" ht="13.8" thickBot="1">
      <c r="D87" s="335"/>
      <c r="Z87" s="620"/>
      <c r="AA87" s="620"/>
      <c r="AB87" s="3258"/>
      <c r="AC87" s="3258"/>
      <c r="AD87" s="3258"/>
      <c r="AE87" s="3258"/>
      <c r="AF87" s="325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28" sqref="J28"/>
    </sheetView>
  </sheetViews>
  <sheetFormatPr defaultColWidth="9" defaultRowHeight="13.8" zeroHeight="1"/>
  <cols>
    <col min="1" max="2" width="2.5546875" style="1426" customWidth="1"/>
    <col min="3" max="3" width="3.664062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5546875" style="1426" customWidth="1"/>
    <col min="15" max="24" width="2.5546875" style="1426" customWidth="1"/>
    <col min="25" max="33" width="9" style="1426" customWidth="1"/>
    <col min="34" max="16384" width="9" style="1426"/>
  </cols>
  <sheetData>
    <row r="1" spans="1:33">
      <c r="A1" s="3332" t="s">
        <v>1949</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1950</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1951</v>
      </c>
      <c r="D7" s="1428"/>
      <c r="E7" s="3334" t="str">
        <f>Application!H16</f>
        <v>USA Properties Fund, Inc.</v>
      </c>
      <c r="F7" s="3334"/>
      <c r="G7" s="3334"/>
      <c r="H7" s="1428"/>
      <c r="I7" s="1429" t="s">
        <v>1952</v>
      </c>
      <c r="J7" s="1430">
        <f>Application!AG437+Application!AG439</f>
        <v>163</v>
      </c>
    </row>
    <row r="8" spans="1:33">
      <c r="C8" s="1429" t="s">
        <v>1953</v>
      </c>
      <c r="D8" s="1428"/>
      <c r="E8" s="3334" t="str">
        <f>Application!H18</f>
        <v>College Creek Apartments</v>
      </c>
      <c r="F8" s="3334"/>
      <c r="G8" s="3334"/>
      <c r="H8" s="1428"/>
      <c r="I8" s="1429" t="s">
        <v>1954</v>
      </c>
      <c r="J8" s="1431">
        <f>Application!CS663</f>
        <v>304</v>
      </c>
    </row>
    <row r="9" spans="1:33" ht="14.25" customHeight="1">
      <c r="C9" s="1429" t="s">
        <v>1955</v>
      </c>
      <c r="D9" s="1428"/>
      <c r="E9" s="3335" t="str">
        <f>Application!D210</f>
        <v>Non-Targeted</v>
      </c>
      <c r="F9" s="3335"/>
      <c r="G9" s="3335"/>
      <c r="H9" s="1428"/>
      <c r="I9" s="1429" t="s">
        <v>1956</v>
      </c>
      <c r="J9" s="1432"/>
      <c r="N9" s="1433"/>
    </row>
    <row r="10" spans="1:33" ht="26.85" customHeight="1">
      <c r="C10" s="3333" t="s">
        <v>1957</v>
      </c>
      <c r="D10" s="3333"/>
      <c r="E10" s="3336" t="str">
        <f>Application!D213</f>
        <v>N/A</v>
      </c>
      <c r="F10" s="3336"/>
      <c r="G10" s="3336"/>
      <c r="H10" s="1428"/>
      <c r="I10" s="1434" t="s">
        <v>1958</v>
      </c>
      <c r="J10" s="1435">
        <f>IF(J9&gt;0,J8-J9,J8)</f>
        <v>304</v>
      </c>
      <c r="N10" s="1433"/>
    </row>
    <row r="11" spans="1:33">
      <c r="C11" s="1436"/>
      <c r="N11" s="1433"/>
    </row>
    <row r="12" spans="1:33" ht="15" customHeight="1">
      <c r="C12" s="3337" t="s">
        <v>1959</v>
      </c>
      <c r="D12" s="3338"/>
      <c r="E12" s="3339"/>
      <c r="F12" s="3330" t="s">
        <v>1960</v>
      </c>
      <c r="G12" s="3330" t="s">
        <v>1961</v>
      </c>
      <c r="H12" s="3343" t="s">
        <v>2176</v>
      </c>
      <c r="I12" s="3330" t="s">
        <v>2175</v>
      </c>
      <c r="J12" s="3330" t="s">
        <v>1962</v>
      </c>
      <c r="N12" s="1433"/>
    </row>
    <row r="13" spans="1:33" ht="68.25" customHeight="1">
      <c r="C13" s="3340"/>
      <c r="D13" s="3341"/>
      <c r="E13" s="3342"/>
      <c r="F13" s="3331"/>
      <c r="G13" s="3331"/>
      <c r="H13" s="3344"/>
      <c r="I13" s="3331"/>
      <c r="J13" s="3331"/>
    </row>
    <row r="14" spans="1:33" ht="1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2593</v>
      </c>
      <c r="G17" s="1445">
        <v>6884</v>
      </c>
      <c r="H17" s="1444" t="s">
        <v>2237</v>
      </c>
      <c r="I17" s="1444" t="s">
        <v>2595</v>
      </c>
      <c r="J17" s="1444" t="s">
        <v>2596</v>
      </c>
    </row>
    <row r="18" spans="3:10">
      <c r="C18" s="1441" t="s">
        <v>1969</v>
      </c>
      <c r="D18" s="1427" t="s">
        <v>1970</v>
      </c>
      <c r="E18" s="1427"/>
      <c r="F18" s="1442" t="s">
        <v>2594</v>
      </c>
      <c r="G18" s="1445">
        <v>14916</v>
      </c>
      <c r="H18" s="1444" t="s">
        <v>2237</v>
      </c>
      <c r="I18" s="1444" t="s">
        <v>2595</v>
      </c>
      <c r="J18" s="1444" t="s">
        <v>2596</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971</v>
      </c>
      <c r="D35" s="1465"/>
      <c r="E35" s="1465"/>
      <c r="F35" s="1466"/>
      <c r="G35" s="1467">
        <f>SUM(G15:G33)</f>
        <v>21800</v>
      </c>
      <c r="H35" s="1468"/>
      <c r="I35" s="1468"/>
      <c r="J35" s="1468"/>
    </row>
    <row r="36" spans="3:10"/>
    <row r="37" spans="3:10" ht="16.2">
      <c r="C37" s="1469" t="s">
        <v>1986</v>
      </c>
    </row>
    <row r="38" spans="3:10" s="1471" customFormat="1" ht="17.25" customHeight="1">
      <c r="C38" s="1470" t="s">
        <v>1987</v>
      </c>
    </row>
    <row r="39" spans="3:10" s="1471" customFormat="1" ht="14.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Normal="100" zoomScaleSheetLayoutView="100" workbookViewId="0">
      <selection activeCell="E52" sqref="E52"/>
    </sheetView>
  </sheetViews>
  <sheetFormatPr defaultColWidth="0" defaultRowHeight="13.2" zeroHeight="1"/>
  <cols>
    <col min="1" max="1" width="3.5546875" customWidth="1"/>
    <col min="2" max="2" width="27.5546875" customWidth="1"/>
    <col min="3" max="3" width="9.33203125" style="348"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6640625" hidden="1"/>
  </cols>
  <sheetData>
    <row r="1" spans="1:34" ht="17.399999999999999">
      <c r="A1" s="341" t="s">
        <v>940</v>
      </c>
      <c r="B1" s="341"/>
    </row>
    <row r="2" spans="1:34"/>
    <row r="3" spans="1:34" ht="15.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1.0249999999999999</v>
      </c>
      <c r="E4" s="355">
        <f>Application!Y799</f>
        <v>2735652</v>
      </c>
      <c r="G4" s="355">
        <f>E4*$C$4</f>
        <v>2804043.3</v>
      </c>
      <c r="I4" s="355">
        <f>G4*$C$4</f>
        <v>2874144.3824999994</v>
      </c>
      <c r="K4" s="355">
        <f>I4*$C$4</f>
        <v>2945997.9920624993</v>
      </c>
      <c r="M4" s="355">
        <f>K4*$C$4</f>
        <v>3019647.9418640616</v>
      </c>
      <c r="O4" s="355">
        <f>M4*$C$4</f>
        <v>3095139.1404106631</v>
      </c>
      <c r="Q4" s="355">
        <f>O4*$C$4</f>
        <v>3172517.6189209293</v>
      </c>
      <c r="S4" s="355">
        <f>Q4*$C$4</f>
        <v>3251830.5593939521</v>
      </c>
      <c r="U4" s="355">
        <f>S4*$C$4</f>
        <v>3333126.3233788009</v>
      </c>
      <c r="W4" s="355">
        <f>U4*$C$4</f>
        <v>3416454.4814632707</v>
      </c>
      <c r="Y4" s="355">
        <f>W4*$C$4</f>
        <v>3501865.8434998523</v>
      </c>
      <c r="AA4" s="355">
        <f>Y4*$C$4</f>
        <v>3589412.4895873484</v>
      </c>
      <c r="AC4" s="355">
        <f>AA4*$C$4</f>
        <v>3679147.8018270317</v>
      </c>
      <c r="AE4" s="355">
        <f>AC4*$C$4</f>
        <v>3771126.4968727073</v>
      </c>
      <c r="AG4" s="355">
        <f>AE4*$C$4</f>
        <v>3865404.6592945247</v>
      </c>
    </row>
    <row r="5" spans="1:34" s="340" customFormat="1" ht="13.8">
      <c r="B5" s="340" t="s">
        <v>904</v>
      </c>
      <c r="C5" s="376">
        <f>IF(Application!$D$210="Special Needs",0.1,0.05)</f>
        <v>0.05</v>
      </c>
      <c r="E5" s="357">
        <f>-E4*$C$5</f>
        <v>-136782.6</v>
      </c>
      <c r="F5" s="357"/>
      <c r="G5" s="357">
        <f>-G4*$C$5</f>
        <v>-140202.16500000001</v>
      </c>
      <c r="H5" s="357"/>
      <c r="I5" s="357">
        <f>-I4*$C$5</f>
        <v>-143707.21912499997</v>
      </c>
      <c r="J5" s="357"/>
      <c r="K5" s="357">
        <f>-K4*$C$5</f>
        <v>-147299.89960312497</v>
      </c>
      <c r="L5" s="357"/>
      <c r="M5" s="357">
        <f>-M4*$C$5</f>
        <v>-150982.39709320309</v>
      </c>
      <c r="N5" s="357"/>
      <c r="O5" s="357">
        <f>-O4*$C$5</f>
        <v>-154756.95702053315</v>
      </c>
      <c r="P5" s="357"/>
      <c r="Q5" s="357">
        <f>-Q4*$C$5</f>
        <v>-158625.88094604647</v>
      </c>
      <c r="R5" s="357"/>
      <c r="S5" s="357">
        <f>-S4*$C$5</f>
        <v>-162591.52796969761</v>
      </c>
      <c r="T5" s="357"/>
      <c r="U5" s="357">
        <f>-U4*$C$5</f>
        <v>-166656.31616894004</v>
      </c>
      <c r="V5" s="357"/>
      <c r="W5" s="357">
        <f>-W4*$C$5</f>
        <v>-170822.72407316355</v>
      </c>
      <c r="X5" s="357"/>
      <c r="Y5" s="357">
        <f>-Y4*$C$5</f>
        <v>-175093.29217499262</v>
      </c>
      <c r="Z5" s="357"/>
      <c r="AA5" s="357">
        <f>-AA4*$C$5</f>
        <v>-179470.62447936743</v>
      </c>
      <c r="AB5" s="357"/>
      <c r="AC5" s="357">
        <f>-AC4*$C$5</f>
        <v>-183957.39009135158</v>
      </c>
      <c r="AD5" s="357"/>
      <c r="AE5" s="357">
        <f>-AE4*$C$5</f>
        <v>-188556.32484363538</v>
      </c>
      <c r="AF5" s="357"/>
      <c r="AG5" s="357">
        <f>-AG4*$C$5</f>
        <v>-193270.23296472625</v>
      </c>
    </row>
    <row r="6" spans="1:34" s="340" customFormat="1" ht="13.8">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26240</v>
      </c>
      <c r="F8" s="358"/>
      <c r="G8" s="358">
        <f>E8*$C$8</f>
        <v>26895.999999999996</v>
      </c>
      <c r="H8" s="358"/>
      <c r="I8" s="358">
        <f>G8*$C$8</f>
        <v>27568.399999999994</v>
      </c>
      <c r="J8" s="358"/>
      <c r="K8" s="358">
        <f>I8*$C$8</f>
        <v>28257.609999999993</v>
      </c>
      <c r="L8" s="358"/>
      <c r="M8" s="358">
        <f>K8*$C$8</f>
        <v>28964.050249999989</v>
      </c>
      <c r="N8" s="358"/>
      <c r="O8" s="358">
        <f>M8*$C$8</f>
        <v>29688.151506249986</v>
      </c>
      <c r="P8" s="358"/>
      <c r="Q8" s="358">
        <f>O8*$C$8</f>
        <v>30430.355293906232</v>
      </c>
      <c r="R8" s="358"/>
      <c r="S8" s="358">
        <f>Q8*$C$8</f>
        <v>31191.114176253886</v>
      </c>
      <c r="T8" s="358"/>
      <c r="U8" s="358">
        <f>S8*$C$8</f>
        <v>31970.89203066023</v>
      </c>
      <c r="V8" s="358"/>
      <c r="W8" s="358">
        <f>U8*$C$8</f>
        <v>32770.164331426735</v>
      </c>
      <c r="X8" s="358"/>
      <c r="Y8" s="358">
        <f>W8*$C$8</f>
        <v>33589.418439712397</v>
      </c>
      <c r="Z8" s="358"/>
      <c r="AA8" s="358">
        <f>Y8*$C$8</f>
        <v>34429.153900705205</v>
      </c>
      <c r="AB8" s="358"/>
      <c r="AC8" s="358">
        <f>AA8*$C$8</f>
        <v>35289.88274822283</v>
      </c>
      <c r="AD8" s="358"/>
      <c r="AE8" s="358">
        <f>AC8*$C$8</f>
        <v>36172.129816928398</v>
      </c>
      <c r="AF8" s="358"/>
      <c r="AG8" s="358">
        <f>AE8*$C$8</f>
        <v>37076.433062351607</v>
      </c>
    </row>
    <row r="9" spans="1:34" s="340" customFormat="1" ht="13.8">
      <c r="B9" s="340" t="s">
        <v>904</v>
      </c>
      <c r="C9" s="376">
        <f>IF(Application!$D$210="Special Needs",0.1,0.05)</f>
        <v>0.05</v>
      </c>
      <c r="E9" s="374">
        <f>-E8*$C$9</f>
        <v>-1312</v>
      </c>
      <c r="F9" s="357"/>
      <c r="G9" s="374">
        <f>-G8*$C$9</f>
        <v>-1344.8</v>
      </c>
      <c r="H9" s="357"/>
      <c r="I9" s="374">
        <f>-I8*$C$9</f>
        <v>-1378.4199999999998</v>
      </c>
      <c r="J9" s="357"/>
      <c r="K9" s="374">
        <f>-K8*$C$9</f>
        <v>-1412.8804999999998</v>
      </c>
      <c r="L9" s="357"/>
      <c r="M9" s="374">
        <f>-M8*$C$9</f>
        <v>-1448.2025124999996</v>
      </c>
      <c r="N9" s="357"/>
      <c r="O9" s="374">
        <f>-O8*$C$9</f>
        <v>-1484.4075753124994</v>
      </c>
      <c r="P9" s="357"/>
      <c r="Q9" s="374">
        <f>-Q8*$C$9</f>
        <v>-1521.5177646953116</v>
      </c>
      <c r="R9" s="357"/>
      <c r="S9" s="374">
        <f>-S8*$C$9</f>
        <v>-1559.5557088126943</v>
      </c>
      <c r="T9" s="357"/>
      <c r="U9" s="374">
        <f>-U8*$C$9</f>
        <v>-1598.5446015330117</v>
      </c>
      <c r="V9" s="357"/>
      <c r="W9" s="374">
        <f>-W8*$C$9</f>
        <v>-1638.5082165713368</v>
      </c>
      <c r="X9" s="357"/>
      <c r="Y9" s="374">
        <f>-Y8*$C$9</f>
        <v>-1679.47092198562</v>
      </c>
      <c r="Z9" s="357"/>
      <c r="AA9" s="374">
        <f>-AA8*$C$9</f>
        <v>-1721.4576950352603</v>
      </c>
      <c r="AB9" s="357"/>
      <c r="AC9" s="374">
        <f>-AC8*$C$9</f>
        <v>-1764.4941374111415</v>
      </c>
      <c r="AD9" s="357"/>
      <c r="AE9" s="374">
        <f>-AE8*$C$9</f>
        <v>-1808.60649084642</v>
      </c>
      <c r="AF9" s="357"/>
      <c r="AG9" s="374">
        <f>-AG8*$C$9</f>
        <v>-1853.8216531175804</v>
      </c>
    </row>
    <row r="10" spans="1:34" s="359" customFormat="1" ht="13.8">
      <c r="A10" s="359" t="s">
        <v>925</v>
      </c>
      <c r="C10" s="350"/>
      <c r="E10" s="359">
        <f>SUM(E4:E9)</f>
        <v>2623797.4</v>
      </c>
      <c r="G10" s="359">
        <f>SUM(G4:G9)</f>
        <v>2689392.335</v>
      </c>
      <c r="I10" s="359">
        <f>SUM(I4:I9)</f>
        <v>2756627.1433749995</v>
      </c>
      <c r="K10" s="359">
        <f>SUM(K4:K9)</f>
        <v>2825542.821959374</v>
      </c>
      <c r="M10" s="359">
        <f>SUM(M4:M9)</f>
        <v>2896181.3925083587</v>
      </c>
      <c r="O10" s="359">
        <f>SUM(O4:O9)</f>
        <v>2968585.9273210671</v>
      </c>
      <c r="Q10" s="359">
        <f>SUM(Q4:Q9)</f>
        <v>3042800.5755040934</v>
      </c>
      <c r="S10" s="359">
        <f>SUM(S4:S9)</f>
        <v>3118870.5898916959</v>
      </c>
      <c r="U10" s="359">
        <f>SUM(U4:U9)</f>
        <v>3196842.3546389877</v>
      </c>
      <c r="W10" s="359">
        <f>SUM(W4:W9)</f>
        <v>3276763.4135049623</v>
      </c>
      <c r="Y10" s="359">
        <f>SUM(Y4:Y9)</f>
        <v>3358682.4988425863</v>
      </c>
      <c r="AA10" s="359">
        <f>SUM(AA4:AA9)</f>
        <v>3442649.561313651</v>
      </c>
      <c r="AC10" s="359">
        <f>SUM(AC4:AC9)</f>
        <v>3528715.8003464919</v>
      </c>
      <c r="AE10" s="359">
        <f>SUM(AE4:AE9)</f>
        <v>3616933.6953551541</v>
      </c>
      <c r="AG10" s="359">
        <f>SUM(AG4:AG9)</f>
        <v>3707357.0377390329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58384</v>
      </c>
      <c r="G14" s="355">
        <f>E14*$C$13</f>
        <v>60427.439999999995</v>
      </c>
      <c r="I14" s="355">
        <f>G14*$C$13</f>
        <v>62542.400399999991</v>
      </c>
      <c r="K14" s="355">
        <f>I14*$C$13</f>
        <v>64731.384413999986</v>
      </c>
      <c r="M14" s="355">
        <f>K14*$C$13</f>
        <v>66996.982868489984</v>
      </c>
      <c r="O14" s="355">
        <f>M14*$C$13</f>
        <v>69341.877268887125</v>
      </c>
      <c r="Q14" s="355">
        <f>O14*$C$13</f>
        <v>71768.842973298175</v>
      </c>
      <c r="S14" s="355">
        <f>Q14*$C$13</f>
        <v>74280.752477363611</v>
      </c>
      <c r="U14" s="355">
        <f>S14*$C$13</f>
        <v>76880.578814071327</v>
      </c>
      <c r="W14" s="355">
        <f>U14*$C$13</f>
        <v>79571.399072563814</v>
      </c>
      <c r="Y14" s="355">
        <f>W14*$C$13</f>
        <v>82356.398040103537</v>
      </c>
      <c r="AA14" s="355">
        <f>Y14*$C$13</f>
        <v>85238.871971507149</v>
      </c>
      <c r="AC14" s="355">
        <f>AA14*$C$13</f>
        <v>88222.232490509894</v>
      </c>
      <c r="AE14" s="355">
        <f>AC14*$C$13</f>
        <v>91310.010627677737</v>
      </c>
      <c r="AG14" s="355">
        <f>AE14*$C$13</f>
        <v>94505.860999646451</v>
      </c>
    </row>
    <row r="15" spans="1:34" s="340" customFormat="1" ht="13.8">
      <c r="A15" s="340" t="s">
        <v>356</v>
      </c>
      <c r="C15" s="369"/>
      <c r="E15" s="358">
        <f>Application!W847</f>
        <v>104952</v>
      </c>
      <c r="F15" s="358"/>
      <c r="G15" s="358">
        <f t="shared" ref="G15:AG20" si="0">E15*$C$13</f>
        <v>108625.31999999999</v>
      </c>
      <c r="H15" s="358"/>
      <c r="I15" s="358">
        <f t="shared" si="0"/>
        <v>112427.20619999999</v>
      </c>
      <c r="J15" s="358"/>
      <c r="K15" s="358">
        <f t="shared" si="0"/>
        <v>116362.15841699997</v>
      </c>
      <c r="L15" s="358"/>
      <c r="M15" s="358">
        <f t="shared" si="0"/>
        <v>120434.83396159497</v>
      </c>
      <c r="N15" s="358"/>
      <c r="O15" s="358">
        <f t="shared" si="0"/>
        <v>124650.05315025078</v>
      </c>
      <c r="P15" s="358"/>
      <c r="Q15" s="358">
        <f t="shared" si="0"/>
        <v>129012.80501050955</v>
      </c>
      <c r="R15" s="358"/>
      <c r="S15" s="358">
        <f t="shared" si="0"/>
        <v>133528.25318587737</v>
      </c>
      <c r="T15" s="358"/>
      <c r="U15" s="358">
        <f t="shared" si="0"/>
        <v>138201.74204738307</v>
      </c>
      <c r="V15" s="358"/>
      <c r="W15" s="358">
        <f t="shared" si="0"/>
        <v>143038.80301904146</v>
      </c>
      <c r="X15" s="358"/>
      <c r="Y15" s="358">
        <f t="shared" si="0"/>
        <v>148045.1611247079</v>
      </c>
      <c r="Z15" s="358"/>
      <c r="AA15" s="358">
        <f t="shared" si="0"/>
        <v>153226.74176407265</v>
      </c>
      <c r="AB15" s="358"/>
      <c r="AC15" s="358">
        <f t="shared" si="0"/>
        <v>158589.67772581519</v>
      </c>
      <c r="AD15" s="358"/>
      <c r="AE15" s="358">
        <f t="shared" si="0"/>
        <v>164140.3164462187</v>
      </c>
      <c r="AF15" s="358"/>
      <c r="AG15" s="358">
        <f t="shared" si="0"/>
        <v>169885.22752183635</v>
      </c>
    </row>
    <row r="16" spans="1:34" s="340" customFormat="1" ht="13.8">
      <c r="A16" s="340" t="s">
        <v>595</v>
      </c>
      <c r="C16" s="369"/>
      <c r="E16" s="358">
        <f>Application!W853</f>
        <v>226484</v>
      </c>
      <c r="F16" s="358"/>
      <c r="G16" s="358">
        <f t="shared" si="0"/>
        <v>234410.93999999997</v>
      </c>
      <c r="H16" s="358"/>
      <c r="I16" s="358">
        <f t="shared" si="0"/>
        <v>242615.32289999994</v>
      </c>
      <c r="J16" s="358"/>
      <c r="K16" s="358">
        <f t="shared" si="0"/>
        <v>251106.85920149993</v>
      </c>
      <c r="L16" s="358"/>
      <c r="M16" s="358">
        <f t="shared" si="0"/>
        <v>259895.59927355242</v>
      </c>
      <c r="N16" s="358"/>
      <c r="O16" s="358">
        <f t="shared" si="0"/>
        <v>268991.94524812675</v>
      </c>
      <c r="P16" s="358"/>
      <c r="Q16" s="358">
        <f t="shared" si="0"/>
        <v>278406.66333181114</v>
      </c>
      <c r="R16" s="358"/>
      <c r="S16" s="358">
        <f t="shared" si="0"/>
        <v>288150.8965484245</v>
      </c>
      <c r="T16" s="358"/>
      <c r="U16" s="358">
        <f t="shared" si="0"/>
        <v>298236.17792761931</v>
      </c>
      <c r="V16" s="358"/>
      <c r="W16" s="358">
        <f t="shared" si="0"/>
        <v>308674.44415508595</v>
      </c>
      <c r="X16" s="358"/>
      <c r="Y16" s="358">
        <f t="shared" si="0"/>
        <v>319478.04970051395</v>
      </c>
      <c r="Z16" s="358"/>
      <c r="AA16" s="358">
        <f t="shared" si="0"/>
        <v>330659.78144003189</v>
      </c>
      <c r="AB16" s="358"/>
      <c r="AC16" s="358">
        <f t="shared" si="0"/>
        <v>342232.87379043299</v>
      </c>
      <c r="AD16" s="358"/>
      <c r="AE16" s="358">
        <f t="shared" si="0"/>
        <v>354211.0243730981</v>
      </c>
      <c r="AF16" s="358"/>
      <c r="AG16" s="358">
        <f t="shared" si="0"/>
        <v>366608.41022615653</v>
      </c>
    </row>
    <row r="17" spans="1:33" s="340" customFormat="1" ht="13.8">
      <c r="A17" s="340" t="s">
        <v>908</v>
      </c>
      <c r="C17" s="369"/>
      <c r="E17" s="358">
        <f>Application!W860</f>
        <v>334430</v>
      </c>
      <c r="F17" s="358"/>
      <c r="G17" s="358">
        <f t="shared" si="0"/>
        <v>346135.05</v>
      </c>
      <c r="H17" s="358"/>
      <c r="I17" s="358">
        <f t="shared" si="0"/>
        <v>358249.77674999996</v>
      </c>
      <c r="J17" s="358"/>
      <c r="K17" s="358">
        <f t="shared" si="0"/>
        <v>370788.51893624995</v>
      </c>
      <c r="L17" s="358"/>
      <c r="M17" s="358">
        <f t="shared" si="0"/>
        <v>383766.11709901865</v>
      </c>
      <c r="N17" s="358"/>
      <c r="O17" s="358">
        <f t="shared" si="0"/>
        <v>397197.93119748426</v>
      </c>
      <c r="P17" s="358"/>
      <c r="Q17" s="358">
        <f t="shared" si="0"/>
        <v>411099.85878939618</v>
      </c>
      <c r="R17" s="358"/>
      <c r="S17" s="358">
        <f t="shared" si="0"/>
        <v>425488.35384702502</v>
      </c>
      <c r="T17" s="358"/>
      <c r="U17" s="358">
        <f t="shared" si="0"/>
        <v>440380.44623167085</v>
      </c>
      <c r="V17" s="358"/>
      <c r="W17" s="358">
        <f t="shared" si="0"/>
        <v>455793.76184977929</v>
      </c>
      <c r="X17" s="358"/>
      <c r="Y17" s="358">
        <f t="shared" si="0"/>
        <v>471746.5435145215</v>
      </c>
      <c r="Z17" s="358"/>
      <c r="AA17" s="358">
        <f t="shared" si="0"/>
        <v>488257.67253752972</v>
      </c>
      <c r="AB17" s="358"/>
      <c r="AC17" s="358">
        <f t="shared" si="0"/>
        <v>505346.69107634324</v>
      </c>
      <c r="AD17" s="358"/>
      <c r="AE17" s="358">
        <f t="shared" si="0"/>
        <v>523033.82526401524</v>
      </c>
      <c r="AF17" s="358"/>
      <c r="AG17" s="358">
        <f t="shared" si="0"/>
        <v>541340.00914825569</v>
      </c>
    </row>
    <row r="18" spans="1:33" s="340" customFormat="1" ht="13.8">
      <c r="A18" s="340" t="s">
        <v>160</v>
      </c>
      <c r="C18" s="369"/>
      <c r="E18" s="358">
        <f>Application!W861</f>
        <v>61008</v>
      </c>
      <c r="F18" s="358"/>
      <c r="G18" s="358">
        <f t="shared" si="0"/>
        <v>63143.279999999992</v>
      </c>
      <c r="H18" s="358"/>
      <c r="I18" s="358">
        <f t="shared" si="0"/>
        <v>65353.294799999989</v>
      </c>
      <c r="J18" s="358"/>
      <c r="K18" s="358">
        <f t="shared" si="0"/>
        <v>67640.660117999985</v>
      </c>
      <c r="L18" s="358"/>
      <c r="M18" s="358">
        <f t="shared" si="0"/>
        <v>70008.083222129979</v>
      </c>
      <c r="N18" s="358"/>
      <c r="O18" s="358">
        <f t="shared" si="0"/>
        <v>72458.366134904529</v>
      </c>
      <c r="P18" s="358"/>
      <c r="Q18" s="358">
        <f t="shared" si="0"/>
        <v>74994.408949626188</v>
      </c>
      <c r="R18" s="358"/>
      <c r="S18" s="358">
        <f t="shared" si="0"/>
        <v>77619.213262863093</v>
      </c>
      <c r="T18" s="358"/>
      <c r="U18" s="358">
        <f t="shared" si="0"/>
        <v>80335.885727063302</v>
      </c>
      <c r="V18" s="358"/>
      <c r="W18" s="358">
        <f t="shared" si="0"/>
        <v>83147.641727510505</v>
      </c>
      <c r="X18" s="358"/>
      <c r="Y18" s="358">
        <f t="shared" si="0"/>
        <v>86057.809187973369</v>
      </c>
      <c r="Z18" s="358"/>
      <c r="AA18" s="358">
        <f t="shared" si="0"/>
        <v>89069.832509552434</v>
      </c>
      <c r="AB18" s="358"/>
      <c r="AC18" s="358">
        <f t="shared" si="0"/>
        <v>92187.276647386767</v>
      </c>
      <c r="AD18" s="358"/>
      <c r="AE18" s="358">
        <f t="shared" si="0"/>
        <v>95413.831330045301</v>
      </c>
      <c r="AF18" s="358"/>
      <c r="AG18" s="358">
        <f t="shared" si="0"/>
        <v>98753.315426596877</v>
      </c>
    </row>
    <row r="19" spans="1:33" s="340" customFormat="1" ht="13.8">
      <c r="A19" s="340" t="s">
        <v>411</v>
      </c>
      <c r="C19" s="369"/>
      <c r="E19" s="358">
        <f>Application!W870</f>
        <v>91676</v>
      </c>
      <c r="F19" s="358"/>
      <c r="G19" s="358">
        <f t="shared" si="0"/>
        <v>94884.659999999989</v>
      </c>
      <c r="H19" s="358"/>
      <c r="I19" s="358">
        <f t="shared" si="0"/>
        <v>98205.623099999983</v>
      </c>
      <c r="J19" s="358"/>
      <c r="K19" s="358">
        <f t="shared" si="0"/>
        <v>101642.81990849998</v>
      </c>
      <c r="L19" s="358"/>
      <c r="M19" s="358">
        <f t="shared" si="0"/>
        <v>105200.31860529748</v>
      </c>
      <c r="N19" s="358"/>
      <c r="O19" s="358">
        <f t="shared" si="0"/>
        <v>108882.32975648288</v>
      </c>
      <c r="P19" s="358"/>
      <c r="Q19" s="358">
        <f t="shared" si="0"/>
        <v>112693.21129795977</v>
      </c>
      <c r="R19" s="358"/>
      <c r="S19" s="358">
        <f t="shared" si="0"/>
        <v>116637.47369338835</v>
      </c>
      <c r="T19" s="358"/>
      <c r="U19" s="358">
        <f t="shared" si="0"/>
        <v>120719.78527265694</v>
      </c>
      <c r="V19" s="358"/>
      <c r="W19" s="358">
        <f t="shared" si="0"/>
        <v>124944.97775719993</v>
      </c>
      <c r="X19" s="358"/>
      <c r="Y19" s="358">
        <f t="shared" si="0"/>
        <v>129318.05197870191</v>
      </c>
      <c r="Z19" s="358"/>
      <c r="AA19" s="358">
        <f t="shared" si="0"/>
        <v>133844.18379795647</v>
      </c>
      <c r="AB19" s="358"/>
      <c r="AC19" s="358">
        <f t="shared" si="0"/>
        <v>138528.73023088495</v>
      </c>
      <c r="AD19" s="358"/>
      <c r="AE19" s="358">
        <f t="shared" si="0"/>
        <v>143377.23578896592</v>
      </c>
      <c r="AF19" s="358"/>
      <c r="AG19" s="358">
        <f t="shared" si="0"/>
        <v>148395.43904157972</v>
      </c>
    </row>
    <row r="20" spans="1:33" s="340" customFormat="1" ht="13.8">
      <c r="A20" s="362" t="s">
        <v>1044</v>
      </c>
      <c r="B20" s="362"/>
      <c r="C20" s="369"/>
      <c r="E20" s="368">
        <f>Application!W877</f>
        <v>8036</v>
      </c>
      <c r="F20" s="358"/>
      <c r="G20" s="368">
        <f t="shared" si="0"/>
        <v>8317.26</v>
      </c>
      <c r="H20" s="358"/>
      <c r="I20" s="368">
        <f t="shared" si="0"/>
        <v>8608.3640999999989</v>
      </c>
      <c r="J20" s="358"/>
      <c r="K20" s="368">
        <f t="shared" si="0"/>
        <v>8909.656843499999</v>
      </c>
      <c r="L20" s="358"/>
      <c r="M20" s="368">
        <f t="shared" si="0"/>
        <v>9221.4948330224979</v>
      </c>
      <c r="N20" s="358"/>
      <c r="O20" s="368">
        <f t="shared" si="0"/>
        <v>9544.2471521782845</v>
      </c>
      <c r="P20" s="358"/>
      <c r="Q20" s="368">
        <f t="shared" si="0"/>
        <v>9878.2958025045245</v>
      </c>
      <c r="R20" s="358"/>
      <c r="S20" s="368">
        <f t="shared" si="0"/>
        <v>10224.036155592183</v>
      </c>
      <c r="T20" s="358"/>
      <c r="U20" s="368">
        <f t="shared" si="0"/>
        <v>10581.877421037909</v>
      </c>
      <c r="V20" s="358"/>
      <c r="W20" s="368">
        <f t="shared" si="0"/>
        <v>10952.243130774235</v>
      </c>
      <c r="X20" s="358"/>
      <c r="Y20" s="368">
        <f t="shared" si="0"/>
        <v>11335.571640351332</v>
      </c>
      <c r="Z20" s="358"/>
      <c r="AA20" s="368">
        <f t="shared" si="0"/>
        <v>11732.316647763628</v>
      </c>
      <c r="AB20" s="358"/>
      <c r="AC20" s="368">
        <f t="shared" si="0"/>
        <v>12142.947730435353</v>
      </c>
      <c r="AD20" s="358"/>
      <c r="AE20" s="368">
        <f t="shared" si="0"/>
        <v>12567.95090100059</v>
      </c>
      <c r="AF20" s="358"/>
      <c r="AG20" s="368">
        <f t="shared" si="0"/>
        <v>13007.82918253561</v>
      </c>
    </row>
    <row r="21" spans="1:33" s="359" customFormat="1" ht="13.8">
      <c r="A21" s="359" t="s">
        <v>909</v>
      </c>
      <c r="C21" s="369"/>
      <c r="E21" s="359">
        <f>SUM(E14:E20)</f>
        <v>884970</v>
      </c>
      <c r="G21" s="359">
        <f>SUM(G14:G20)</f>
        <v>915943.95000000007</v>
      </c>
      <c r="I21" s="359">
        <f>SUM(I14:I20)</f>
        <v>948001.98824999982</v>
      </c>
      <c r="K21" s="359">
        <f>SUM(K14:K20)</f>
        <v>981182.05783874972</v>
      </c>
      <c r="M21" s="359">
        <f>SUM(M14:M20)</f>
        <v>1015523.429863106</v>
      </c>
      <c r="O21" s="359">
        <f>SUM(O14:O20)</f>
        <v>1051066.7499083146</v>
      </c>
      <c r="Q21" s="359">
        <f>SUM(Q14:Q20)</f>
        <v>1087854.0861551054</v>
      </c>
      <c r="S21" s="359">
        <f>SUM(S14:S20)</f>
        <v>1125928.9791705341</v>
      </c>
      <c r="U21" s="359">
        <f>SUM(U14:U20)</f>
        <v>1165336.4934415028</v>
      </c>
      <c r="W21" s="359">
        <f>SUM(W14:W20)</f>
        <v>1206123.2707119551</v>
      </c>
      <c r="Y21" s="359">
        <f>SUM(Y14:Y20)</f>
        <v>1248337.5851868736</v>
      </c>
      <c r="AA21" s="359">
        <f>SUM(AA14:AA20)</f>
        <v>1292029.4006684138</v>
      </c>
      <c r="AC21" s="359">
        <f>SUM(AC14:AC20)</f>
        <v>1337250.4296918083</v>
      </c>
      <c r="AE21" s="359">
        <f>SUM(AE14:AE20)</f>
        <v>1384054.1947310215</v>
      </c>
      <c r="AG21" s="359">
        <f>SUM(AG14:AG20)</f>
        <v>1432496.0915466074</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911</v>
      </c>
      <c r="C26" s="377">
        <v>1.0349999999999999</v>
      </c>
      <c r="E26" s="358">
        <f>Application!AC886</f>
        <v>21800</v>
      </c>
      <c r="F26" s="358"/>
      <c r="G26" s="358">
        <f>E26*$C$26</f>
        <v>22563</v>
      </c>
      <c r="H26" s="358"/>
      <c r="I26" s="358">
        <f>G26*$C$26</f>
        <v>23352.704999999998</v>
      </c>
      <c r="J26" s="358"/>
      <c r="K26" s="358">
        <f>I26*$C$26</f>
        <v>24170.049674999995</v>
      </c>
      <c r="L26" s="358"/>
      <c r="M26" s="358">
        <f>K26*$C$26</f>
        <v>25016.001413624992</v>
      </c>
      <c r="N26" s="358"/>
      <c r="O26" s="358">
        <f>M26*$C$26</f>
        <v>25891.561463101865</v>
      </c>
      <c r="P26" s="358"/>
      <c r="Q26" s="358">
        <f>O26*$C$26</f>
        <v>26797.766114310427</v>
      </c>
      <c r="R26" s="358"/>
      <c r="S26" s="358">
        <f>Q26*$C$26</f>
        <v>27735.68792831129</v>
      </c>
      <c r="T26" s="358"/>
      <c r="U26" s="358">
        <f>S26*$C$26</f>
        <v>28706.437005802185</v>
      </c>
      <c r="V26" s="358"/>
      <c r="W26" s="358">
        <f>U26*$C$26</f>
        <v>29711.162301005261</v>
      </c>
      <c r="X26" s="358"/>
      <c r="Y26" s="358">
        <f>W26*$C$26</f>
        <v>30751.052981540444</v>
      </c>
      <c r="Z26" s="358"/>
      <c r="AA26" s="358">
        <f>Y26*$C$26</f>
        <v>31827.339835894356</v>
      </c>
      <c r="AB26" s="358"/>
      <c r="AC26" s="358">
        <f>AA26*$C$26</f>
        <v>32941.296730150658</v>
      </c>
      <c r="AD26" s="358"/>
      <c r="AE26" s="358">
        <f>AC26*$C$26</f>
        <v>34094.242115705929</v>
      </c>
      <c r="AF26" s="358"/>
      <c r="AG26" s="358">
        <f>AE26*$C$26</f>
        <v>35287.540589755634</v>
      </c>
    </row>
    <row r="27" spans="1:33" s="340" customFormat="1" ht="13.8">
      <c r="A27" s="340" t="s">
        <v>912</v>
      </c>
      <c r="C27" s="377"/>
      <c r="E27" s="358">
        <f>Application!AC887</f>
        <v>49200</v>
      </c>
      <c r="F27" s="358"/>
      <c r="G27" s="358">
        <f>$E$27</f>
        <v>49200</v>
      </c>
      <c r="H27" s="358"/>
      <c r="I27" s="358">
        <f>$E$27</f>
        <v>49200</v>
      </c>
      <c r="J27" s="358"/>
      <c r="K27" s="358">
        <f>$E$27</f>
        <v>49200</v>
      </c>
      <c r="L27" s="358"/>
      <c r="M27" s="358">
        <f>$E$27</f>
        <v>49200</v>
      </c>
      <c r="N27" s="358"/>
      <c r="O27" s="358">
        <f>$E$27</f>
        <v>49200</v>
      </c>
      <c r="P27" s="358"/>
      <c r="Q27" s="358">
        <f>$E$27</f>
        <v>49200</v>
      </c>
      <c r="R27" s="358"/>
      <c r="S27" s="358">
        <f>$E$27</f>
        <v>49200</v>
      </c>
      <c r="T27" s="358"/>
      <c r="U27" s="358">
        <f>$E$27</f>
        <v>49200</v>
      </c>
      <c r="V27" s="358"/>
      <c r="W27" s="358">
        <f>$E$27</f>
        <v>49200</v>
      </c>
      <c r="X27" s="358"/>
      <c r="Y27" s="358">
        <f>$E$27</f>
        <v>49200</v>
      </c>
      <c r="Z27" s="358"/>
      <c r="AA27" s="358">
        <f>$E$27</f>
        <v>49200</v>
      </c>
      <c r="AB27" s="358"/>
      <c r="AC27" s="358">
        <f>$E$27</f>
        <v>49200</v>
      </c>
      <c r="AD27" s="358"/>
      <c r="AE27" s="358">
        <f>$E$27</f>
        <v>49200</v>
      </c>
      <c r="AF27" s="358"/>
      <c r="AG27" s="358">
        <f>$E$27</f>
        <v>49200</v>
      </c>
    </row>
    <row r="28" spans="1:33" s="340" customFormat="1" ht="13.8">
      <c r="A28" s="340" t="s">
        <v>2172</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8">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2173</v>
      </c>
      <c r="C30" s="375">
        <v>1.02</v>
      </c>
      <c r="E30" s="358">
        <f>Application!AC890</f>
        <v>9840</v>
      </c>
      <c r="F30" s="358"/>
      <c r="G30" s="358">
        <f>E30*$C$30</f>
        <v>10036.799999999999</v>
      </c>
      <c r="H30" s="358"/>
      <c r="I30" s="358">
        <f>G30*$C$30</f>
        <v>10237.536</v>
      </c>
      <c r="J30" s="358"/>
      <c r="K30" s="358">
        <f>I30*$C$30</f>
        <v>10442.28672</v>
      </c>
      <c r="L30" s="358"/>
      <c r="M30" s="358">
        <f>K30*$C$30</f>
        <v>10651.1324544</v>
      </c>
      <c r="N30" s="358"/>
      <c r="O30" s="358">
        <f>M30*$C$30</f>
        <v>10864.155103487999</v>
      </c>
      <c r="P30" s="358"/>
      <c r="Q30" s="358">
        <f>O30*$C$30</f>
        <v>11081.438205557759</v>
      </c>
      <c r="R30" s="358"/>
      <c r="S30" s="358">
        <f>Q30*$C$30</f>
        <v>11303.066969668915</v>
      </c>
      <c r="T30" s="358"/>
      <c r="U30" s="358">
        <f>S30*$C$30</f>
        <v>11529.128309062293</v>
      </c>
      <c r="V30" s="358"/>
      <c r="W30" s="358">
        <f>U30*$C$30</f>
        <v>11759.71087524354</v>
      </c>
      <c r="X30" s="358"/>
      <c r="Y30" s="358">
        <f>W30*$C$30</f>
        <v>11994.905092748411</v>
      </c>
      <c r="Z30" s="358"/>
      <c r="AA30" s="358">
        <f>Y30*$C$30</f>
        <v>12234.803194603379</v>
      </c>
      <c r="AB30" s="358"/>
      <c r="AC30" s="358">
        <f>AA30*$C$30</f>
        <v>12479.499258495447</v>
      </c>
      <c r="AD30" s="358"/>
      <c r="AE30" s="358">
        <f>AC30*$C$30</f>
        <v>12729.089243665356</v>
      </c>
      <c r="AF30" s="358"/>
      <c r="AG30" s="358">
        <f>AE30*$C$30</f>
        <v>12983.671028538663</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965810</v>
      </c>
      <c r="G34" s="359">
        <f>SUM(G21:G32)</f>
        <v>997743.75000000012</v>
      </c>
      <c r="I34" s="359">
        <f>SUM(I21:I32)</f>
        <v>1030792.2292499997</v>
      </c>
      <c r="K34" s="359">
        <f>SUM(K21:K32)</f>
        <v>1064994.3942337497</v>
      </c>
      <c r="M34" s="359">
        <f>SUM(M21:M32)</f>
        <v>1100390.5637311309</v>
      </c>
      <c r="O34" s="359">
        <f>SUM(O21:O32)</f>
        <v>1137022.4664749042</v>
      </c>
      <c r="Q34" s="359">
        <f>SUM(Q21:Q32)</f>
        <v>1174933.2904749736</v>
      </c>
      <c r="S34" s="359">
        <f>SUM(S21:S32)</f>
        <v>1214167.7340685143</v>
      </c>
      <c r="U34" s="359">
        <f>SUM(U21:U32)</f>
        <v>1254772.0587563673</v>
      </c>
      <c r="W34" s="359">
        <f>SUM(W21:W32)</f>
        <v>1296794.1438882041</v>
      </c>
      <c r="Y34" s="359">
        <f>SUM(Y21:Y32)</f>
        <v>1340283.5432611625</v>
      </c>
      <c r="AA34" s="359">
        <f>SUM(AA21:AA32)</f>
        <v>1385291.5436989116</v>
      </c>
      <c r="AC34" s="359">
        <f>SUM(AC21:AC32)</f>
        <v>1431871.2256804544</v>
      </c>
      <c r="AE34" s="359">
        <f>SUM(AE21:AE32)</f>
        <v>1480077.5260903928</v>
      </c>
      <c r="AG34" s="359">
        <f>SUM(AG21:AG32)</f>
        <v>1529967.3031649017</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913</v>
      </c>
      <c r="C36" s="360"/>
      <c r="E36" s="359">
        <f>E10-E34</f>
        <v>1657987.4</v>
      </c>
      <c r="G36" s="359">
        <f>G10-G34</f>
        <v>1691648.585</v>
      </c>
      <c r="I36" s="359">
        <f>I10-I34</f>
        <v>1725834.9141249997</v>
      </c>
      <c r="K36" s="359">
        <f>K10-K34</f>
        <v>1760548.4277256243</v>
      </c>
      <c r="M36" s="359">
        <f>M10-M34</f>
        <v>1795790.8287772278</v>
      </c>
      <c r="O36" s="359">
        <f>O10-O34</f>
        <v>1831563.4608461629</v>
      </c>
      <c r="Q36" s="359">
        <f>Q10-Q34</f>
        <v>1867867.2850291198</v>
      </c>
      <c r="S36" s="359">
        <f>S10-S34</f>
        <v>1904702.8558231816</v>
      </c>
      <c r="U36" s="359">
        <f>U10-U34</f>
        <v>1942070.2958826204</v>
      </c>
      <c r="W36" s="359">
        <f>W10-W34</f>
        <v>1979969.2696167582</v>
      </c>
      <c r="Y36" s="359">
        <f>Y10-Y34</f>
        <v>2018398.9555814238</v>
      </c>
      <c r="AA36" s="359">
        <f>AA10-AA34</f>
        <v>2057358.0176147395</v>
      </c>
      <c r="AC36" s="359">
        <f>AC10-AC34</f>
        <v>2096844.5746660375</v>
      </c>
      <c r="AE36" s="359">
        <f>AE10-AE34</f>
        <v>2136856.1692647613</v>
      </c>
      <c r="AG36" s="359">
        <f>AG10-AG34</f>
        <v>2177389.7345741312</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Citibank, N.A.</v>
      </c>
      <c r="B39" s="362"/>
      <c r="C39" s="356"/>
      <c r="E39" s="358">
        <f>Application!AF637</f>
        <v>1430952</v>
      </c>
      <c r="F39" s="358"/>
      <c r="G39" s="358">
        <f>$E$39</f>
        <v>1430952</v>
      </c>
      <c r="H39" s="358"/>
      <c r="I39" s="358">
        <f>$E$39</f>
        <v>1430952</v>
      </c>
      <c r="J39" s="358"/>
      <c r="K39" s="358">
        <f>$E$39</f>
        <v>1430952</v>
      </c>
      <c r="L39" s="358"/>
      <c r="M39" s="358">
        <f>$E$39</f>
        <v>1430952</v>
      </c>
      <c r="N39" s="358"/>
      <c r="O39" s="358">
        <f>$E$39</f>
        <v>1430952</v>
      </c>
      <c r="P39" s="358"/>
      <c r="Q39" s="358">
        <f>$E$39</f>
        <v>1430952</v>
      </c>
      <c r="R39" s="358"/>
      <c r="S39" s="358">
        <f>$E$39</f>
        <v>1430952</v>
      </c>
      <c r="T39" s="358"/>
      <c r="U39" s="358">
        <f>$E$39</f>
        <v>1430952</v>
      </c>
      <c r="V39" s="358"/>
      <c r="W39" s="358">
        <f>$E$39</f>
        <v>1430952</v>
      </c>
      <c r="X39" s="358"/>
      <c r="Y39" s="358">
        <f>$E$39</f>
        <v>1430952</v>
      </c>
      <c r="Z39" s="358"/>
      <c r="AA39" s="358">
        <f>$E$39</f>
        <v>1430952</v>
      </c>
      <c r="AB39" s="358"/>
      <c r="AC39" s="358">
        <f>$E$39</f>
        <v>1430952</v>
      </c>
      <c r="AD39" s="358"/>
      <c r="AE39" s="358">
        <f>$E$39</f>
        <v>1430952</v>
      </c>
      <c r="AF39" s="358"/>
      <c r="AG39" s="358">
        <f>$E$39</f>
        <v>1430952</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914</v>
      </c>
      <c r="C42" s="360"/>
      <c r="E42" s="359">
        <f>SUM(E39:E41)</f>
        <v>1430952</v>
      </c>
      <c r="G42" s="359">
        <f>SUM(G39:G41)</f>
        <v>1430952</v>
      </c>
      <c r="I42" s="359">
        <f>SUM(I39:I41)</f>
        <v>1430952</v>
      </c>
      <c r="K42" s="359">
        <f>SUM(K39:K41)</f>
        <v>1430952</v>
      </c>
      <c r="M42" s="359">
        <f>SUM(M39:M41)</f>
        <v>1430952</v>
      </c>
      <c r="O42" s="359">
        <f>SUM(O39:O41)</f>
        <v>1430952</v>
      </c>
      <c r="Q42" s="359">
        <f>SUM(Q39:Q41)</f>
        <v>1430952</v>
      </c>
      <c r="S42" s="359">
        <f>SUM(S39:S41)</f>
        <v>1430952</v>
      </c>
      <c r="U42" s="359">
        <f>SUM(U39:U41)</f>
        <v>1430952</v>
      </c>
      <c r="W42" s="359">
        <f>SUM(W39:W41)</f>
        <v>1430952</v>
      </c>
      <c r="Y42" s="359">
        <f>SUM(Y39:Y41)</f>
        <v>1430952</v>
      </c>
      <c r="AA42" s="359">
        <f>SUM(AA39:AA41)</f>
        <v>1430952</v>
      </c>
      <c r="AC42" s="359">
        <f>SUM(AC39:AC41)</f>
        <v>1430952</v>
      </c>
      <c r="AE42" s="359">
        <f>SUM(AE39:AE41)</f>
        <v>1430952</v>
      </c>
      <c r="AG42" s="359">
        <f>SUM(AG39:AG41)</f>
        <v>1430952</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915</v>
      </c>
      <c r="C44" s="360"/>
      <c r="E44" s="359">
        <f>E36-E42</f>
        <v>227035.39999999991</v>
      </c>
      <c r="G44" s="359">
        <f>G36-G42</f>
        <v>260696.58499999996</v>
      </c>
      <c r="I44" s="359">
        <f>I36-I42</f>
        <v>294882.91412499966</v>
      </c>
      <c r="K44" s="359">
        <f>K36-K42</f>
        <v>329596.42772562429</v>
      </c>
      <c r="M44" s="359">
        <f>M36-M42</f>
        <v>364838.82877722778</v>
      </c>
      <c r="O44" s="359">
        <f>O36-O42</f>
        <v>400611.46084616287</v>
      </c>
      <c r="Q44" s="359">
        <f>Q36-Q42</f>
        <v>436915.28502911981</v>
      </c>
      <c r="S44" s="359">
        <f>S36-S42</f>
        <v>473750.85582318157</v>
      </c>
      <c r="U44" s="359">
        <f>U36-U42</f>
        <v>511118.29588262038</v>
      </c>
      <c r="W44" s="359">
        <f>W36-W42</f>
        <v>549017.26961675822</v>
      </c>
      <c r="Y44" s="359">
        <f>Y36-Y42</f>
        <v>587446.95558142383</v>
      </c>
      <c r="AA44" s="359">
        <f>AA36-AA42</f>
        <v>626406.01761473948</v>
      </c>
      <c r="AC44" s="359">
        <f>AC36-AC42</f>
        <v>665892.57466603746</v>
      </c>
      <c r="AE44" s="359">
        <f>AE36-AE42</f>
        <v>705904.16926476127</v>
      </c>
      <c r="AG44" s="359">
        <f>AG36-AG42</f>
        <v>746437.7345741312</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8.2202852247662078E-2</v>
      </c>
      <c r="G46" s="363">
        <f>G44/(G4+G6+G8)</f>
        <v>9.2088369750633642E-2</v>
      </c>
      <c r="I46" s="363">
        <f>I44/(I4+I6+I8)</f>
        <v>0.10162374301943847</v>
      </c>
      <c r="K46" s="363">
        <f>K44/(K4+K6+K8)</f>
        <v>0.11081644344792205</v>
      </c>
      <c r="M46" s="363">
        <f>M44/(M4+M6+M8)</f>
        <v>0.11967374979858625</v>
      </c>
      <c r="O46" s="363">
        <f>O44/(O4+O6+O8)</f>
        <v>0.12820275279931051</v>
      </c>
      <c r="Q46" s="363">
        <f>Q44/(Q4+Q6+Q8)</f>
        <v>0.13641035962696971</v>
      </c>
      <c r="S46" s="363">
        <f>S44/(S4+S6+S8)</f>
        <v>0.14430329828069308</v>
      </c>
      <c r="U46" s="363">
        <f>U44/(U4+U6+U8)</f>
        <v>0.15188812184744807</v>
      </c>
      <c r="W46" s="363">
        <f>W44/(W4+W6+W8)</f>
        <v>0.1591712126625679</v>
      </c>
      <c r="Y46" s="363">
        <f>Y44/(Y4+Y6+Y8)</f>
        <v>0.16615878636776982</v>
      </c>
      <c r="AA46" s="363">
        <f>AA44/(AA4+AA6+AA8)</f>
        <v>0.17285689586915981</v>
      </c>
      <c r="AC46" s="363">
        <f>AC44/(AC4+AC6+AC8)</f>
        <v>0.17927143519764882</v>
      </c>
      <c r="AE46" s="363">
        <f>AE44/(AE4+AE6+AE8)</f>
        <v>0.18540814327415386</v>
      </c>
      <c r="AG46" s="363">
        <f>AG44/(AG4+AG6+AG8)</f>
        <v>0.1912726075818923</v>
      </c>
    </row>
    <row r="47" spans="1:33" s="363" customFormat="1" ht="13.8">
      <c r="A47" s="363" t="s">
        <v>918</v>
      </c>
      <c r="C47" s="356"/>
      <c r="E47" s="363">
        <f>E44/E42</f>
        <v>0.15866038832888868</v>
      </c>
      <c r="G47" s="363">
        <f>G44/G42</f>
        <v>0.1821840180523176</v>
      </c>
      <c r="I47" s="363">
        <f>I44/I42</f>
        <v>0.20607463711221596</v>
      </c>
      <c r="K47" s="363">
        <f>K44/K42</f>
        <v>0.2303336713779528</v>
      </c>
      <c r="M47" s="363">
        <f>M44/M42</f>
        <v>0.25496231094909388</v>
      </c>
      <c r="O47" s="363">
        <f>O44/O42</f>
        <v>0.27996149475745019</v>
      </c>
      <c r="Q47" s="363">
        <f>Q44/Q42</f>
        <v>0.30533189445146997</v>
      </c>
      <c r="S47" s="363">
        <f>S44/S42</f>
        <v>0.33107389753337746</v>
      </c>
      <c r="U47" s="363">
        <f>U44/U42</f>
        <v>0.35718758971832765</v>
      </c>
      <c r="W47" s="363">
        <f>W44/W42</f>
        <v>0.38367273648365441</v>
      </c>
      <c r="Y47" s="363">
        <f>Y44/Y42</f>
        <v>0.41052876377504194</v>
      </c>
      <c r="AA47" s="363">
        <f>AA44/AA42</f>
        <v>0.43775473783518909</v>
      </c>
      <c r="AC47" s="363">
        <f>AC44/AC42</f>
        <v>0.46534934411918599</v>
      </c>
      <c r="AE47" s="363">
        <f>AE44/AE42</f>
        <v>0.49331086525946449</v>
      </c>
      <c r="AG47" s="363">
        <f>AG44/AG42</f>
        <v>0.52163715804173105</v>
      </c>
    </row>
    <row r="48" spans="1:33" s="364" customFormat="1" ht="13.8">
      <c r="A48" s="364" t="s">
        <v>916</v>
      </c>
      <c r="C48" s="365"/>
      <c r="E48" s="364">
        <f>E36/E42</f>
        <v>1.1586603883288886</v>
      </c>
      <c r="G48" s="364">
        <f>G36/G42</f>
        <v>1.1821840180523175</v>
      </c>
      <c r="I48" s="364">
        <f>I36/I42</f>
        <v>1.206074637112216</v>
      </c>
      <c r="K48" s="364">
        <f>K36/K42</f>
        <v>1.2303336713779527</v>
      </c>
      <c r="M48" s="364">
        <f>M36/M42</f>
        <v>1.2549623109490939</v>
      </c>
      <c r="O48" s="364">
        <f>O36/O42</f>
        <v>1.2799614947574502</v>
      </c>
      <c r="Q48" s="364">
        <f>Q36/Q42</f>
        <v>1.30533189445147</v>
      </c>
      <c r="S48" s="364">
        <f>S36/S42</f>
        <v>1.3310738975333776</v>
      </c>
      <c r="U48" s="364">
        <f>U36/U42</f>
        <v>1.3571875897183276</v>
      </c>
      <c r="W48" s="364">
        <f>W36/W42</f>
        <v>1.3836727364836543</v>
      </c>
      <c r="Y48" s="364">
        <f>Y36/Y42</f>
        <v>1.4105287637750419</v>
      </c>
      <c r="AA48" s="364">
        <f>AA36/AA42</f>
        <v>1.4377547378351891</v>
      </c>
      <c r="AC48" s="364">
        <f>AC36/AC42</f>
        <v>1.465349344119186</v>
      </c>
      <c r="AE48" s="364">
        <f>AE36/AE42</f>
        <v>1.4933108652594644</v>
      </c>
      <c r="AG48" s="364">
        <f>AG36/AG42</f>
        <v>1.5216371580417312</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2527</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1.03</v>
      </c>
      <c r="E52" s="1682">
        <v>4500</v>
      </c>
      <c r="G52" s="1678">
        <f>E52*$C$52</f>
        <v>4635</v>
      </c>
      <c r="I52" s="1678">
        <f>G52*$C$52</f>
        <v>4774.05</v>
      </c>
      <c r="K52" s="1678">
        <f>I52*$C$52</f>
        <v>4917.2715000000007</v>
      </c>
      <c r="M52" s="1678">
        <f>K52*$C$52</f>
        <v>5064.7896450000007</v>
      </c>
      <c r="O52" s="1678">
        <f>M52*$C$52</f>
        <v>5216.7333343500013</v>
      </c>
      <c r="Q52" s="1678">
        <f>O52*$C$52</f>
        <v>5373.2353343805016</v>
      </c>
      <c r="S52" s="1678">
        <f>Q52*$C$52</f>
        <v>5534.4323944119169</v>
      </c>
      <c r="U52" s="1678">
        <f>S52*$C$52</f>
        <v>5700.4653662442743</v>
      </c>
      <c r="W52" s="1678">
        <f>U52*$C$52</f>
        <v>5871.4793272316028</v>
      </c>
      <c r="Y52" s="1678">
        <f>W52*$C$52</f>
        <v>6047.6237070485513</v>
      </c>
      <c r="AA52" s="1678">
        <f>Y52*$C$52</f>
        <v>6229.0524182600084</v>
      </c>
      <c r="AC52" s="1678">
        <f>AA52*$C$52</f>
        <v>6415.9239908078089</v>
      </c>
      <c r="AE52" s="1678">
        <f>AC52*$C$52</f>
        <v>6608.4017105320436</v>
      </c>
      <c r="AG52" s="1678">
        <f>AE52*$C$52</f>
        <v>6806.6537618480052</v>
      </c>
    </row>
    <row r="53" spans="1:35" s="6" customFormat="1">
      <c r="A53" s="6" t="s">
        <v>921</v>
      </c>
      <c r="C53" s="1676"/>
      <c r="E53" s="1683">
        <v>7500</v>
      </c>
      <c r="F53" s="1678"/>
      <c r="G53" s="1678">
        <f t="shared" ref="G53:AG56" si="1">E53*$C$52</f>
        <v>7725</v>
      </c>
      <c r="H53" s="1678"/>
      <c r="I53" s="1678">
        <f t="shared" si="1"/>
        <v>7956.75</v>
      </c>
      <c r="J53" s="1678"/>
      <c r="K53" s="1678">
        <f t="shared" si="1"/>
        <v>8195.4524999999994</v>
      </c>
      <c r="L53" s="1678"/>
      <c r="M53" s="1678">
        <f t="shared" si="1"/>
        <v>8441.3160749999988</v>
      </c>
      <c r="N53" s="1678"/>
      <c r="O53" s="1678">
        <f t="shared" si="1"/>
        <v>8694.5555572499998</v>
      </c>
      <c r="P53" s="1678"/>
      <c r="Q53" s="1678">
        <f t="shared" si="1"/>
        <v>8955.3922239674994</v>
      </c>
      <c r="R53" s="1678"/>
      <c r="S53" s="1678">
        <f t="shared" si="1"/>
        <v>9224.0539906865251</v>
      </c>
      <c r="T53" s="1678"/>
      <c r="U53" s="1678">
        <f t="shared" si="1"/>
        <v>9500.7756104071213</v>
      </c>
      <c r="V53" s="1678"/>
      <c r="W53" s="1678">
        <f t="shared" si="1"/>
        <v>9785.7988787193353</v>
      </c>
      <c r="X53" s="1678"/>
      <c r="Y53" s="1678">
        <f t="shared" si="1"/>
        <v>10079.372845080916</v>
      </c>
      <c r="Z53" s="1678"/>
      <c r="AA53" s="1678">
        <f t="shared" si="1"/>
        <v>10381.754030433343</v>
      </c>
      <c r="AB53" s="1678"/>
      <c r="AC53" s="1678">
        <f t="shared" si="1"/>
        <v>10693.206651346343</v>
      </c>
      <c r="AD53" s="1678"/>
      <c r="AE53" s="1678">
        <f t="shared" si="1"/>
        <v>11014.002850886734</v>
      </c>
      <c r="AF53" s="1678"/>
      <c r="AG53" s="1678">
        <f t="shared" si="1"/>
        <v>11344.422936413337</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t="s">
        <v>2528</v>
      </c>
      <c r="B55" s="1684"/>
      <c r="C55" s="1676"/>
      <c r="E55" s="1683">
        <v>16550</v>
      </c>
      <c r="F55" s="1678"/>
      <c r="G55" s="1678">
        <f t="shared" si="1"/>
        <v>17046.5</v>
      </c>
      <c r="H55" s="1678"/>
      <c r="I55" s="1678">
        <f t="shared" si="1"/>
        <v>17557.895</v>
      </c>
      <c r="J55" s="1678"/>
      <c r="K55" s="1678">
        <f t="shared" si="1"/>
        <v>18084.631850000002</v>
      </c>
      <c r="L55" s="1678"/>
      <c r="M55" s="1678">
        <f t="shared" si="1"/>
        <v>18627.170805500002</v>
      </c>
      <c r="N55" s="1678"/>
      <c r="O55" s="1678">
        <f t="shared" si="1"/>
        <v>19185.985929665003</v>
      </c>
      <c r="P55" s="1678"/>
      <c r="Q55" s="1678">
        <f t="shared" si="1"/>
        <v>19761.565507554955</v>
      </c>
      <c r="R55" s="1678"/>
      <c r="S55" s="1678">
        <f t="shared" si="1"/>
        <v>20354.412472781605</v>
      </c>
      <c r="T55" s="1678"/>
      <c r="U55" s="1678">
        <f t="shared" si="1"/>
        <v>20965.044846965055</v>
      </c>
      <c r="V55" s="1678"/>
      <c r="W55" s="1678">
        <f t="shared" si="1"/>
        <v>21593.996192374008</v>
      </c>
      <c r="X55" s="1678"/>
      <c r="Y55" s="1678">
        <f t="shared" si="1"/>
        <v>22241.816078145228</v>
      </c>
      <c r="Z55" s="1678"/>
      <c r="AA55" s="1678">
        <f t="shared" si="1"/>
        <v>22909.070560489585</v>
      </c>
      <c r="AB55" s="1678"/>
      <c r="AC55" s="1678">
        <f t="shared" si="1"/>
        <v>23596.342677304274</v>
      </c>
      <c r="AD55" s="1678"/>
      <c r="AE55" s="1678">
        <f t="shared" si="1"/>
        <v>24304.232957623404</v>
      </c>
      <c r="AF55" s="1678"/>
      <c r="AG55" s="1678">
        <f t="shared" si="1"/>
        <v>25033.359946352106</v>
      </c>
      <c r="AH55" s="1678"/>
      <c r="AI55" s="1678"/>
    </row>
    <row r="56" spans="1:35" s="6" customFormat="1">
      <c r="A56" s="1684" t="s">
        <v>2599</v>
      </c>
      <c r="B56" s="1684"/>
      <c r="C56" s="1676"/>
      <c r="E56" s="1685">
        <v>27844</v>
      </c>
      <c r="F56" s="1678"/>
      <c r="G56" s="1686">
        <f t="shared" si="1"/>
        <v>28679.32</v>
      </c>
      <c r="H56" s="1678"/>
      <c r="I56" s="1686">
        <f t="shared" si="1"/>
        <v>29539.6996</v>
      </c>
      <c r="J56" s="1678"/>
      <c r="K56" s="1686">
        <f t="shared" si="1"/>
        <v>30425.890588000002</v>
      </c>
      <c r="L56" s="1678"/>
      <c r="M56" s="1686">
        <f t="shared" si="1"/>
        <v>31338.667305640003</v>
      </c>
      <c r="N56" s="1678"/>
      <c r="O56" s="1686">
        <f t="shared" si="1"/>
        <v>32278.827324809205</v>
      </c>
      <c r="P56" s="1678"/>
      <c r="Q56" s="1686">
        <f t="shared" si="1"/>
        <v>33247.192144553483</v>
      </c>
      <c r="R56" s="1678"/>
      <c r="S56" s="1686">
        <f t="shared" si="1"/>
        <v>34244.607908890088</v>
      </c>
      <c r="T56" s="1678"/>
      <c r="U56" s="1686">
        <f t="shared" si="1"/>
        <v>35271.946146156792</v>
      </c>
      <c r="V56" s="1678"/>
      <c r="W56" s="1686">
        <f t="shared" si="1"/>
        <v>36330.104530541495</v>
      </c>
      <c r="X56" s="1678"/>
      <c r="Y56" s="1686">
        <f t="shared" si="1"/>
        <v>37420.007666457743</v>
      </c>
      <c r="Z56" s="1678"/>
      <c r="AA56" s="1686">
        <f t="shared" si="1"/>
        <v>38542.607896451475</v>
      </c>
      <c r="AB56" s="1678"/>
      <c r="AC56" s="1686">
        <f t="shared" si="1"/>
        <v>39698.886133345019</v>
      </c>
      <c r="AD56" s="1678"/>
      <c r="AE56" s="1686">
        <f t="shared" si="1"/>
        <v>40889.852717345369</v>
      </c>
      <c r="AF56" s="1678"/>
      <c r="AG56" s="1686">
        <f t="shared" si="1"/>
        <v>42116.548298865731</v>
      </c>
      <c r="AH56" s="1678"/>
      <c r="AI56" s="1678"/>
    </row>
    <row r="57" spans="1:35" s="6" customFormat="1">
      <c r="A57" s="1680" t="s">
        <v>919</v>
      </c>
      <c r="C57" s="1679"/>
      <c r="E57" s="1678">
        <f>SUM(E52:E56)</f>
        <v>56394</v>
      </c>
      <c r="F57" s="1678"/>
      <c r="G57" s="1678">
        <f>SUM(G52:G56)</f>
        <v>58085.82</v>
      </c>
      <c r="H57" s="1678"/>
      <c r="I57" s="1678">
        <f>SUM(I52:I56)</f>
        <v>59828.3946</v>
      </c>
      <c r="J57" s="1678"/>
      <c r="K57" s="1678">
        <f>SUM(K52:K56)</f>
        <v>61623.246438000002</v>
      </c>
      <c r="L57" s="1678"/>
      <c r="M57" s="1678">
        <f>SUM(M52:M56)</f>
        <v>63471.943831140001</v>
      </c>
      <c r="N57" s="1678"/>
      <c r="O57" s="1678">
        <f>SUM(O52:O56)</f>
        <v>65376.102146074205</v>
      </c>
      <c r="P57" s="1678"/>
      <c r="Q57" s="1678">
        <f>SUM(Q52:Q56)</f>
        <v>67337.385210456443</v>
      </c>
      <c r="R57" s="1678"/>
      <c r="S57" s="1678">
        <f>SUM(S52:S56)</f>
        <v>69357.506766770137</v>
      </c>
      <c r="T57" s="1678"/>
      <c r="U57" s="1678">
        <f>SUM(U52:U56)</f>
        <v>71438.231969773246</v>
      </c>
      <c r="V57" s="1678"/>
      <c r="W57" s="1678">
        <f>SUM(W52:W56)</f>
        <v>73581.378928866441</v>
      </c>
      <c r="X57" s="1678"/>
      <c r="Y57" s="1678">
        <f>SUM(Y52:Y56)</f>
        <v>75788.820296732447</v>
      </c>
      <c r="Z57" s="1678"/>
      <c r="AA57" s="1678">
        <f>SUM(AA52:AA56)</f>
        <v>78062.48490563441</v>
      </c>
      <c r="AB57" s="1678"/>
      <c r="AC57" s="1678">
        <f>SUM(AC52:AC56)</f>
        <v>80404.359452803445</v>
      </c>
      <c r="AD57" s="1678"/>
      <c r="AE57" s="1678">
        <f>SUM(AE52:AE56)</f>
        <v>82816.490236387559</v>
      </c>
      <c r="AF57" s="1678"/>
      <c r="AG57" s="1678">
        <f>SUM(AG52:AG56)</f>
        <v>85300.984943479183</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170641.39999999991</v>
      </c>
      <c r="G59" s="1680">
        <f>G44-G57</f>
        <v>202610.76499999996</v>
      </c>
      <c r="I59" s="1680">
        <f>I44-I57</f>
        <v>235054.51952499966</v>
      </c>
      <c r="K59" s="1680">
        <f>K44-K57</f>
        <v>267973.18128762429</v>
      </c>
      <c r="M59" s="1680">
        <f>M44-M57</f>
        <v>301366.88494608778</v>
      </c>
      <c r="O59" s="1680">
        <f>O44-O57</f>
        <v>335235.35870008869</v>
      </c>
      <c r="Q59" s="1680">
        <f>Q44-Q57</f>
        <v>369577.89981866337</v>
      </c>
      <c r="S59" s="1680">
        <f>S44-S57</f>
        <v>404393.34905641142</v>
      </c>
      <c r="U59" s="1680">
        <f>U44-U57</f>
        <v>439680.06391284714</v>
      </c>
      <c r="W59" s="1680">
        <f>W44-W57</f>
        <v>475435.89068789175</v>
      </c>
      <c r="Y59" s="1680">
        <f>Y44-Y57</f>
        <v>511658.13528469135</v>
      </c>
      <c r="AA59" s="1680">
        <f>AA44-AA57</f>
        <v>548343.53270910506</v>
      </c>
      <c r="AC59" s="1680">
        <f>AC44-AC57</f>
        <v>585488.21521323407</v>
      </c>
      <c r="AE59" s="1680">
        <f>AE44-AE57</f>
        <v>623087.67902837368</v>
      </c>
      <c r="AG59" s="1680">
        <f>AG44-AG57</f>
        <v>661136.74963065202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170641.39999999991</v>
      </c>
      <c r="G61" s="1688">
        <f>G59*$C$61</f>
        <v>202610.76499999996</v>
      </c>
      <c r="H61" s="1688"/>
      <c r="I61" s="1688">
        <f>I59*$C$61</f>
        <v>235054.51952499966</v>
      </c>
      <c r="J61" s="1688"/>
      <c r="K61" s="1688">
        <f>K59*$C$61</f>
        <v>267973.18128762429</v>
      </c>
      <c r="L61" s="1688"/>
      <c r="M61" s="1688">
        <f>M59*$C$61</f>
        <v>301366.88494608778</v>
      </c>
      <c r="N61" s="1688"/>
      <c r="O61" s="1688">
        <f>O59*$C$61</f>
        <v>335235.35870008869</v>
      </c>
      <c r="P61" s="1688"/>
      <c r="Q61" s="1688">
        <f>Q59*$C$61</f>
        <v>369577.89981866337</v>
      </c>
      <c r="R61" s="1688"/>
      <c r="S61" s="1688">
        <f>S59*$C$61</f>
        <v>404393.34905641142</v>
      </c>
      <c r="T61" s="1688"/>
      <c r="U61" s="1688">
        <f>U59*$C$61</f>
        <v>439680.06391284714</v>
      </c>
      <c r="V61" s="1688"/>
      <c r="W61" s="1688">
        <f>W59*$C$61</f>
        <v>475435.89068789175</v>
      </c>
      <c r="Y61" s="1688">
        <f>Y59*$C$61</f>
        <v>511658.13528469135</v>
      </c>
      <c r="AA61" s="1688">
        <f>AA59*$C$61</f>
        <v>548343.53270910506</v>
      </c>
      <c r="AC61" s="1688">
        <f>AC59*$C$61</f>
        <v>585488.21521323407</v>
      </c>
      <c r="AE61" s="1688">
        <f>AE59*$C$61</f>
        <v>623087.67902837368</v>
      </c>
      <c r="AG61" s="1688">
        <f>AG59*$C$61</f>
        <v>661136.74963065202</v>
      </c>
    </row>
    <row r="62" spans="1:35" s="1688" customFormat="1">
      <c r="A62" s="3347" t="s">
        <v>2527</v>
      </c>
      <c r="B62" s="3347"/>
      <c r="C62" s="3347"/>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2512</v>
      </c>
      <c r="B65" s="1682"/>
      <c r="C65" s="1681"/>
      <c r="E65" s="1682"/>
      <c r="G65" s="1678"/>
      <c r="I65" s="1678"/>
      <c r="K65" s="1678"/>
      <c r="M65" s="1678"/>
      <c r="O65" s="1678"/>
      <c r="Q65" s="1678"/>
      <c r="S65" s="1678"/>
      <c r="U65" s="1678"/>
      <c r="W65" s="1678"/>
      <c r="Y65" s="1678"/>
      <c r="AA65" s="1678"/>
      <c r="AC65" s="1678"/>
      <c r="AE65" s="1678"/>
      <c r="AG65" s="1678"/>
    </row>
    <row r="66" spans="1:33" s="1678" customFormat="1">
      <c r="A66" s="1683"/>
      <c r="B66" s="1683"/>
      <c r="C66" s="1689"/>
      <c r="E66" s="1682"/>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45" t="s">
        <v>2235</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5546875" style="473" customWidth="1"/>
    <col min="4" max="4" width="3.5546875" style="473" customWidth="1"/>
    <col min="5" max="6" width="15.5546875" style="473" customWidth="1"/>
    <col min="7" max="7" width="3.5546875" style="473" customWidth="1"/>
    <col min="8" max="9" width="15.5546875" style="473" customWidth="1"/>
    <col min="10" max="16" width="15.5546875" style="473" hidden="1" customWidth="1"/>
    <col min="17" max="16383" width="9.33203125" style="473" hidden="1"/>
    <col min="16384" max="16384" width="0.44140625" style="473" customWidth="1"/>
  </cols>
  <sheetData>
    <row r="1" spans="1:11">
      <c r="A1" s="3348" t="s">
        <v>982</v>
      </c>
      <c r="B1" s="3348"/>
      <c r="C1" s="3348"/>
      <c r="D1" s="3348"/>
      <c r="E1" s="3348"/>
      <c r="F1" s="3348"/>
      <c r="G1" s="3348"/>
      <c r="H1" s="3348"/>
      <c r="I1" s="3348"/>
      <c r="J1" s="326"/>
      <c r="K1" s="326"/>
    </row>
    <row r="2" spans="1:11">
      <c r="A2" s="656"/>
      <c r="B2" s="656"/>
      <c r="C2" s="656"/>
      <c r="D2" s="656"/>
      <c r="E2" s="656"/>
      <c r="F2" s="656"/>
      <c r="G2" s="656"/>
      <c r="H2" s="656"/>
      <c r="I2" s="656"/>
    </row>
    <row r="3" spans="1:11" ht="82.8">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6</v>
      </c>
      <c r="C4" s="659">
        <f>Application!O728</f>
        <v>600</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16</v>
      </c>
      <c r="C5" s="659">
        <f>Application!O729</f>
        <v>1026</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16</v>
      </c>
      <c r="C6" s="659">
        <f>Application!O730</f>
        <v>1239</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26</v>
      </c>
      <c r="C7" s="659">
        <f>Application!O731</f>
        <v>1452</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6</v>
      </c>
      <c r="C8" s="659">
        <f>Application!O732</f>
        <v>712</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16</v>
      </c>
      <c r="C9" s="659">
        <f>Application!O733</f>
        <v>1223</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16</v>
      </c>
      <c r="C10" s="659">
        <f>Application!O734</f>
        <v>1479</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19</v>
      </c>
      <c r="C11" s="659">
        <f>Application!O735</f>
        <v>1734</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5</v>
      </c>
      <c r="C12" s="659">
        <f>Application!O736</f>
        <v>815</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11</v>
      </c>
      <c r="C13" s="659">
        <f>Application!O737</f>
        <v>1405</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10</v>
      </c>
      <c r="C14" s="659">
        <f>Application!O738</f>
        <v>1700</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16</v>
      </c>
      <c r="C15" s="659">
        <f>Application!O739</f>
        <v>1995</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226492</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5546875" customWidth="1"/>
    <col min="2" max="16384" width="8.6640625" hidden="1"/>
  </cols>
  <sheetData>
    <row r="1" spans="1:1" ht="46.8">
      <c r="A1" s="489" t="s">
        <v>1053</v>
      </c>
    </row>
    <row r="2" spans="1:1" ht="15.6">
      <c r="A2" s="490"/>
    </row>
    <row r="3" spans="1:1" ht="15.6">
      <c r="A3" s="491" t="s">
        <v>1048</v>
      </c>
    </row>
    <row r="4" spans="1:1" ht="15.6">
      <c r="A4" s="491" t="s">
        <v>1049</v>
      </c>
    </row>
    <row r="5" spans="1:1" ht="15.6">
      <c r="A5" s="491" t="s">
        <v>1050</v>
      </c>
    </row>
    <row r="6" spans="1:1" ht="15.6">
      <c r="A6" s="491" t="s">
        <v>1052</v>
      </c>
    </row>
    <row r="7" spans="1:1" ht="15.6">
      <c r="A7" s="491" t="s">
        <v>1051</v>
      </c>
    </row>
    <row r="8" spans="1:1" ht="15.6">
      <c r="A8" s="539" t="s">
        <v>1140</v>
      </c>
    </row>
    <row r="9" spans="1:1" ht="15.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5546875" style="326" customWidth="1"/>
    <col min="2" max="4" width="14.5546875" style="326" customWidth="1"/>
    <col min="5" max="5" width="50.5546875" style="326" customWidth="1"/>
    <col min="6" max="6" width="9.33203125" style="326" customWidth="1"/>
    <col min="7" max="253" width="0" style="501" hidden="1" customWidth="1"/>
    <col min="254" max="16384" width="9.332031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4428000</v>
      </c>
      <c r="C5" s="422">
        <f>'Sources and Uses Budget'!$C4</f>
        <v>4428000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416248</v>
      </c>
      <c r="C6" s="422">
        <f>'Sources and Uses Budget'!$C5</f>
        <v>416248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4844248</v>
      </c>
      <c r="C9" s="426">
        <f>SUM(C5:C8)</f>
        <v>4844248</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335233</v>
      </c>
      <c r="C11" s="422">
        <f>'Sources and Uses Budget'!$C10</f>
        <v>335233</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335233</v>
      </c>
      <c r="C12" s="426">
        <f>SUM(C10:C11)</f>
        <v>335233</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5179481</v>
      </c>
      <c r="C13" s="426">
        <f>SUM(C9+C12)</f>
        <v>5179481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4296268</v>
      </c>
      <c r="C30" s="422">
        <f>'Sources and Uses Budget'!$C29</f>
        <v>4296268</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26987450</v>
      </c>
      <c r="C31" s="422">
        <f>'Sources and Uses Budget'!$C30</f>
        <v>26987450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1700000</v>
      </c>
      <c r="C32" s="422">
        <f>'Sources and Uses Budget'!$C31</f>
        <v>1700000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1392464</v>
      </c>
      <c r="C33" s="422">
        <f>'Sources and Uses Budget'!$C32</f>
        <v>1392464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1392463</v>
      </c>
      <c r="C34" s="422">
        <f>'Sources and Uses Budget'!$C33</f>
        <v>1392463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817378</v>
      </c>
      <c r="C36" s="422">
        <f>'Sources and Uses Budget'!$C35</f>
        <v>817378</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36586023</v>
      </c>
      <c r="C39" s="426">
        <f>SUM(C30:C38)</f>
        <v>36586023</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1848359</v>
      </c>
      <c r="C41" s="422">
        <f>'Sources and Uses Budget'!$C40</f>
        <v>1848359</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1848359</v>
      </c>
      <c r="C43" s="426">
        <f>SUM(C41:C42)</f>
        <v>1848359</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443162</v>
      </c>
      <c r="C44" s="422">
        <f>'Sources and Uses Budget'!$C43</f>
        <v>443162</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1870425</v>
      </c>
      <c r="C46" s="422">
        <f>'Sources and Uses Budget'!$C45</f>
        <v>1870425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437300</v>
      </c>
      <c r="C47" s="422">
        <f>'Sources and Uses Budget'!$C46</f>
        <v>437300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37500</v>
      </c>
      <c r="C51" s="422">
        <f>'Sources and Uses Budget'!$C50</f>
        <v>37500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16400</v>
      </c>
      <c r="C52" s="422">
        <f>'Sources and Uses Budget'!$C51</f>
        <v>16400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Construction Inspections</v>
      </c>
      <c r="B54" s="422">
        <f>'Sources and Uses Budget'!$C53</f>
        <v>36000</v>
      </c>
      <c r="C54" s="422">
        <f>'Sources and Uses Budget'!$C53</f>
        <v>36000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2397625</v>
      </c>
      <c r="C55" s="429">
        <f>SUM(C46:C54)</f>
        <v>2397625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167267</v>
      </c>
      <c r="C57" s="422">
        <f>'Sources and Uses Budget'!$C56</f>
        <v>167267</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Interest prior to Conversion</v>
      </c>
      <c r="B62" s="422">
        <f>'Sources and Uses Budget'!$C61</f>
        <v>1915203</v>
      </c>
      <c r="C62" s="422">
        <f>'Sources and Uses Budget'!$C61</f>
        <v>1915203</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95" customHeight="1">
      <c r="A63" s="427" t="s">
        <v>311</v>
      </c>
      <c r="B63" s="426">
        <f>SUM(B57:B62)</f>
        <v>2082470</v>
      </c>
      <c r="C63" s="426">
        <f>SUM(C57:C62)</f>
        <v>2082470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48537120</v>
      </c>
      <c r="C64" s="426">
        <f>SUM(C9+C12+C14+C15+C17+C26+C28+C39+C43+C44+C55+C63)</f>
        <v>48537120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Developer Legal</v>
      </c>
      <c r="B70" s="422">
        <f>'Sources and Uses Budget'!$C69</f>
        <v>75000</v>
      </c>
      <c r="C70" s="422">
        <f>'Sources and Uses Budget'!$C69</f>
        <v>75000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75000</v>
      </c>
      <c r="C71" s="426">
        <f>SUM(C66:C70)</f>
        <v>75000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599189</v>
      </c>
      <c r="C76" s="422">
        <f>'Sources and Uses Budget'!$C75</f>
        <v>599189</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599189</v>
      </c>
      <c r="C78" s="426">
        <f>SUM(C73:C77)</f>
        <v>599189</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2402640</v>
      </c>
      <c r="C80" s="422">
        <f>'Sources and Uses Budget'!$C79</f>
        <v>2402640</v>
      </c>
      <c r="D80" s="426">
        <f t="shared" si="1"/>
        <v>0</v>
      </c>
      <c r="E80" s="424"/>
      <c r="F80" s="423"/>
      <c r="G80" s="554"/>
    </row>
    <row r="81" spans="1:7" s="548" customFormat="1">
      <c r="A81" s="863" t="s">
        <v>61</v>
      </c>
      <c r="B81" s="422">
        <f>'Sources and Uses Budget'!$C80</f>
        <v>248031</v>
      </c>
      <c r="C81" s="422">
        <f>'Sources and Uses Budget'!$C80</f>
        <v>248031</v>
      </c>
      <c r="D81" s="426">
        <f>C81-B81</f>
        <v>0</v>
      </c>
      <c r="E81" s="424"/>
      <c r="F81" s="423"/>
      <c r="G81" s="554"/>
    </row>
    <row r="82" spans="1:7" s="548" customFormat="1">
      <c r="A82" s="427" t="s">
        <v>1426</v>
      </c>
      <c r="B82" s="426">
        <f>SUM(B80:B81)</f>
        <v>2650671</v>
      </c>
      <c r="C82" s="426">
        <f>SUM(C80:C81)</f>
        <v>2650671</v>
      </c>
      <c r="D82" s="426">
        <f t="shared" si="1"/>
        <v>0</v>
      </c>
      <c r="E82" s="424"/>
      <c r="F82" s="423"/>
      <c r="G82" s="554"/>
    </row>
    <row r="83" spans="1:7" s="548" customFormat="1">
      <c r="A83" s="420" t="s">
        <v>826</v>
      </c>
      <c r="B83" s="420"/>
      <c r="C83" s="420"/>
      <c r="D83" s="420"/>
      <c r="E83" s="440"/>
      <c r="F83" s="420"/>
      <c r="G83" s="554"/>
    </row>
    <row r="84" spans="1:7" s="548" customFormat="1" ht="13.95" customHeight="1">
      <c r="A84" s="425" t="s">
        <v>827</v>
      </c>
      <c r="B84" s="422">
        <f>'Sources and Uses Budget'!$C83</f>
        <v>91061</v>
      </c>
      <c r="C84" s="422">
        <f>'Sources and Uses Budget'!$C83</f>
        <v>91061</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4366923</v>
      </c>
      <c r="C86" s="422">
        <f>'Sources and Uses Budget'!$C85</f>
        <v>4366923</v>
      </c>
      <c r="D86" s="426">
        <f t="shared" si="1"/>
        <v>0</v>
      </c>
      <c r="E86" s="424"/>
      <c r="F86" s="423"/>
      <c r="G86" s="554"/>
    </row>
    <row r="87" spans="1:7" s="548" customFormat="1">
      <c r="A87" s="425" t="s">
        <v>830</v>
      </c>
      <c r="B87" s="422">
        <f>'Sources and Uses Budget'!$C86</f>
        <v>1052845</v>
      </c>
      <c r="C87" s="422">
        <f>'Sources and Uses Budget'!$C86</f>
        <v>1052845</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50000</v>
      </c>
      <c r="C89" s="422">
        <f>'Sources and Uses Budget'!$C88</f>
        <v>50000</v>
      </c>
      <c r="D89" s="426">
        <f t="shared" si="1"/>
        <v>0</v>
      </c>
      <c r="E89" s="424"/>
      <c r="F89" s="423"/>
      <c r="G89" s="554"/>
    </row>
    <row r="90" spans="1:7" s="548" customFormat="1">
      <c r="A90" s="425" t="s">
        <v>833</v>
      </c>
      <c r="B90" s="422">
        <f>'Sources and Uses Budget'!$C89</f>
        <v>291500</v>
      </c>
      <c r="C90" s="422">
        <f>'Sources and Uses Budget'!$C89</f>
        <v>291500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392</v>
      </c>
      <c r="B92" s="422">
        <f>'Sources and Uses Budget'!$C91</f>
        <v>25000</v>
      </c>
      <c r="C92" s="422">
        <f>'Sources and Uses Budget'!$C91</f>
        <v>25000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5902329</v>
      </c>
      <c r="C97" s="426">
        <f>SUM(C84:C96)</f>
        <v>5902329</v>
      </c>
      <c r="D97" s="426">
        <f t="shared" si="1"/>
        <v>0</v>
      </c>
      <c r="E97" s="424"/>
      <c r="F97" s="423"/>
      <c r="G97" s="554"/>
    </row>
    <row r="98" spans="1:7" s="548" customFormat="1">
      <c r="A98" s="427" t="s">
        <v>836</v>
      </c>
      <c r="B98" s="426">
        <f>SUM(B64+B71+B78+B82+B97)</f>
        <v>57764309</v>
      </c>
      <c r="C98" s="426">
        <f>SUM(C64+C71+C78+C82+C97)</f>
        <v>57764309</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7441750</v>
      </c>
      <c r="C100" s="422">
        <f>'Sources and Uses Budget'!$C99</f>
        <v>7441750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7441750</v>
      </c>
      <c r="C105" s="426">
        <f>SUM(C100:C104)</f>
        <v>7441750</v>
      </c>
      <c r="D105" s="426">
        <f t="shared" si="1"/>
        <v>0</v>
      </c>
      <c r="E105" s="424"/>
      <c r="F105" s="423"/>
      <c r="G105" s="552"/>
    </row>
    <row r="106" spans="1:7" s="547" customFormat="1">
      <c r="A106" s="427" t="s">
        <v>841</v>
      </c>
      <c r="B106" s="429">
        <f>SUM(B98+B105)</f>
        <v>65206059</v>
      </c>
      <c r="C106" s="429">
        <f>SUM(C98+C105)</f>
        <v>65206059</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5546875" style="132" customWidth="1"/>
    <col min="2" max="2" width="13.5546875" style="677" customWidth="1"/>
    <col min="3" max="3" width="2.5546875" style="132" customWidth="1"/>
    <col min="4" max="5" width="3.5546875" style="7" customWidth="1"/>
    <col min="6" max="6" width="65.5546875" style="7" customWidth="1"/>
    <col min="7" max="7" width="1.5546875" style="7" customWidth="1"/>
    <col min="8" max="8" width="3.5546875" style="12" hidden="1" customWidth="1"/>
    <col min="9" max="9" width="14" style="12" hidden="1" customWidth="1"/>
    <col min="10" max="16384" width="8.6640625" style="12" hidden="1"/>
  </cols>
  <sheetData>
    <row r="1" spans="1:9"/>
    <row r="2" spans="1:9">
      <c r="A2" s="1898" t="s">
        <v>1161</v>
      </c>
      <c r="B2" s="1898"/>
      <c r="C2" s="1899"/>
      <c r="D2" s="1899"/>
      <c r="E2" s="1899"/>
      <c r="F2" s="1899"/>
      <c r="G2" s="1899"/>
    </row>
    <row r="3" spans="1:9" s="256" customFormat="1">
      <c r="A3" s="1898" t="s">
        <v>1091</v>
      </c>
      <c r="B3" s="1898"/>
      <c r="C3" s="1899"/>
      <c r="D3" s="1899"/>
      <c r="E3" s="1899"/>
      <c r="F3" s="1899"/>
      <c r="G3" s="1899"/>
      <c r="I3" s="678" t="s">
        <v>318</v>
      </c>
    </row>
    <row r="4" spans="1:9">
      <c r="I4" s="679" t="s">
        <v>1162</v>
      </c>
    </row>
    <row r="5" spans="1:9" s="39" customFormat="1">
      <c r="A5" s="1902" t="s">
        <v>1092</v>
      </c>
      <c r="B5" s="1902"/>
      <c r="C5" s="1903"/>
      <c r="D5" s="1903"/>
      <c r="E5" s="1903"/>
      <c r="F5" s="1903"/>
      <c r="G5" s="1903"/>
      <c r="I5" s="679" t="s">
        <v>1163</v>
      </c>
    </row>
    <row r="6" spans="1:9" s="39" customFormat="1">
      <c r="A6" s="1902" t="s">
        <v>883</v>
      </c>
      <c r="B6" s="1902"/>
      <c r="C6" s="1903"/>
      <c r="D6" s="1903"/>
      <c r="E6" s="1903"/>
      <c r="F6" s="1903"/>
      <c r="G6" s="1903"/>
      <c r="I6" s="678" t="s">
        <v>627</v>
      </c>
    </row>
    <row r="7" spans="1:9" ht="11.85" customHeight="1"/>
    <row r="8" spans="1:9" s="39" customFormat="1">
      <c r="A8" s="1900" t="s">
        <v>1258</v>
      </c>
      <c r="B8" s="1900"/>
      <c r="C8" s="1901"/>
      <c r="D8" s="1901"/>
      <c r="E8" s="1901"/>
      <c r="F8" s="1901"/>
      <c r="G8" s="1901"/>
    </row>
    <row r="9" spans="1:9" s="39" customFormat="1">
      <c r="A9" s="1900" t="s">
        <v>1259</v>
      </c>
      <c r="B9" s="1900"/>
      <c r="C9" s="1901"/>
      <c r="D9" s="1901"/>
      <c r="E9" s="1901"/>
      <c r="F9" s="1901"/>
      <c r="G9" s="1901"/>
    </row>
    <row r="10" spans="1:9">
      <c r="A10" s="258"/>
      <c r="B10" s="258"/>
      <c r="C10" s="255"/>
      <c r="D10" s="255"/>
      <c r="E10" s="255"/>
      <c r="F10" s="255"/>
    </row>
    <row r="11" spans="1:9">
      <c r="A11" s="1904" t="s">
        <v>1261</v>
      </c>
      <c r="B11" s="1904"/>
      <c r="C11" s="1904"/>
      <c r="D11" s="1904"/>
      <c r="E11" s="1904"/>
      <c r="F11" s="1904"/>
      <c r="G11" s="1904"/>
    </row>
    <row r="12" spans="1:9">
      <c r="A12" s="255"/>
      <c r="B12" s="674"/>
      <c r="E12" s="50"/>
    </row>
    <row r="13" spans="1:9" ht="13.35" customHeight="1">
      <c r="C13" s="255"/>
      <c r="D13" s="1876" t="s">
        <v>1260</v>
      </c>
      <c r="E13" s="1876"/>
      <c r="F13" s="1876"/>
    </row>
    <row r="14" spans="1:9">
      <c r="C14" s="255"/>
      <c r="D14" s="1876"/>
      <c r="E14" s="1876"/>
      <c r="F14" s="1876"/>
    </row>
    <row r="15" spans="1:9">
      <c r="A15" s="260"/>
      <c r="B15" s="260"/>
      <c r="C15" s="260"/>
      <c r="D15" s="1873" t="s">
        <v>1243</v>
      </c>
      <c r="E15" s="1873"/>
      <c r="F15" s="1873"/>
    </row>
    <row r="16" spans="1:9">
      <c r="A16" s="260"/>
      <c r="B16" s="260"/>
      <c r="C16" s="260"/>
      <c r="D16" s="328"/>
    </row>
    <row r="17" spans="1:7" ht="14.4">
      <c r="A17" s="261"/>
      <c r="B17" s="680" t="s">
        <v>318</v>
      </c>
      <c r="C17" s="314"/>
      <c r="D17" s="1848" t="s">
        <v>1244</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4">
      <c r="A21" s="261"/>
      <c r="B21" s="680" t="s">
        <v>318</v>
      </c>
      <c r="D21" s="1877" t="s">
        <v>1245</v>
      </c>
      <c r="E21" s="1877"/>
      <c r="F21" s="1877"/>
    </row>
    <row r="22" spans="1:7" ht="14.4">
      <c r="A22" s="261"/>
      <c r="B22" s="261"/>
      <c r="D22" s="135"/>
    </row>
    <row r="23" spans="1:7" ht="14.4">
      <c r="A23" s="261"/>
      <c r="B23" s="680" t="s">
        <v>318</v>
      </c>
      <c r="D23" s="1848" t="s">
        <v>1246</v>
      </c>
      <c r="E23" s="1848"/>
      <c r="F23" s="1848"/>
    </row>
    <row r="24" spans="1:7" ht="14.4">
      <c r="A24" s="261"/>
      <c r="B24" s="261"/>
      <c r="D24" s="1848"/>
      <c r="E24" s="1848"/>
      <c r="F24" s="1848"/>
    </row>
    <row r="25" spans="1:7"/>
    <row r="26" spans="1:7" ht="14.4">
      <c r="A26" s="261"/>
      <c r="B26" s="680" t="s">
        <v>318</v>
      </c>
      <c r="D26" s="1871" t="s">
        <v>1247</v>
      </c>
      <c r="E26" s="1871"/>
      <c r="F26" s="1871"/>
    </row>
    <row r="27" spans="1:7">
      <c r="D27" s="1871"/>
      <c r="E27" s="1871"/>
      <c r="F27" s="1871"/>
    </row>
    <row r="28" spans="1:7">
      <c r="D28" s="1871"/>
      <c r="E28" s="1871"/>
      <c r="F28" s="1871"/>
    </row>
    <row r="29" spans="1:7">
      <c r="A29" s="559"/>
      <c r="C29" s="559"/>
      <c r="D29" s="1871"/>
      <c r="E29" s="1871"/>
      <c r="F29" s="1871"/>
    </row>
    <row r="30" spans="1:7">
      <c r="A30" s="559"/>
      <c r="C30" s="559"/>
      <c r="D30" s="1871"/>
      <c r="E30" s="1871"/>
      <c r="F30" s="1871"/>
    </row>
    <row r="31" spans="1:7" s="39" customFormat="1">
      <c r="A31" s="273"/>
      <c r="B31" s="273"/>
      <c r="C31" s="273"/>
      <c r="D31" s="444"/>
      <c r="E31" s="130"/>
      <c r="F31" s="130"/>
      <c r="G31" s="130"/>
    </row>
    <row r="32" spans="1:7" s="39" customFormat="1">
      <c r="A32" s="273"/>
      <c r="B32" s="680" t="s">
        <v>318</v>
      </c>
      <c r="C32" s="273"/>
      <c r="D32" s="1850" t="s">
        <v>1248</v>
      </c>
      <c r="E32" s="1850"/>
      <c r="F32" s="1850"/>
      <c r="G32" s="130"/>
    </row>
    <row r="33" spans="1:7" s="39" customFormat="1">
      <c r="A33" s="273"/>
      <c r="B33" s="273"/>
      <c r="C33" s="273"/>
      <c r="D33" s="1850"/>
      <c r="E33" s="1850"/>
      <c r="F33" s="1850"/>
      <c r="G33" s="130"/>
    </row>
    <row r="34" spans="1:7" ht="14.4">
      <c r="A34" s="261"/>
      <c r="B34" s="261"/>
      <c r="D34" s="405"/>
    </row>
    <row r="35" spans="1:7" ht="14.7" customHeight="1">
      <c r="A35" s="261"/>
      <c r="B35" s="680" t="s">
        <v>318</v>
      </c>
      <c r="C35" s="555"/>
      <c r="D35" s="1850" t="s">
        <v>1249</v>
      </c>
      <c r="E35" s="1850"/>
      <c r="F35" s="1850"/>
    </row>
    <row r="36" spans="1:7" ht="14.4">
      <c r="A36" s="261"/>
      <c r="B36" s="261"/>
      <c r="C36" s="555"/>
      <c r="D36" s="1850"/>
      <c r="E36" s="1850"/>
      <c r="F36" s="1850"/>
    </row>
    <row r="37" spans="1:7" ht="14.4">
      <c r="A37" s="261"/>
      <c r="B37" s="261"/>
      <c r="C37" s="555"/>
      <c r="D37" s="1850"/>
      <c r="E37" s="1850"/>
      <c r="F37" s="1850"/>
    </row>
    <row r="38" spans="1:7" ht="14.4">
      <c r="A38" s="261"/>
      <c r="B38" s="261"/>
      <c r="C38" s="555"/>
      <c r="D38" s="12"/>
    </row>
    <row r="39" spans="1:7" s="683" customFormat="1" ht="14.4">
      <c r="A39" s="261"/>
      <c r="B39" s="680" t="s">
        <v>318</v>
      </c>
      <c r="C39" s="700"/>
      <c r="D39" s="1850" t="s">
        <v>1250</v>
      </c>
      <c r="E39" s="1850"/>
      <c r="F39" s="1850"/>
      <c r="G39" s="7"/>
    </row>
    <row r="40" spans="1:7" s="683" customFormat="1" ht="14.4">
      <c r="A40" s="261"/>
      <c r="B40" s="261"/>
      <c r="C40" s="700"/>
      <c r="D40" s="1850"/>
      <c r="E40" s="1850"/>
      <c r="F40" s="1850"/>
      <c r="G40" s="7"/>
    </row>
    <row r="41" spans="1:7" s="683" customFormat="1" ht="14.4">
      <c r="A41" s="261"/>
      <c r="B41" s="261"/>
      <c r="C41" s="700"/>
      <c r="D41" s="1850"/>
      <c r="E41" s="1850"/>
      <c r="F41" s="1850"/>
      <c r="G41" s="7"/>
    </row>
    <row r="42" spans="1:7" s="683" customFormat="1" ht="14.4">
      <c r="A42" s="261"/>
      <c r="B42" s="261"/>
      <c r="C42" s="700"/>
      <c r="D42" s="1850"/>
      <c r="E42" s="1850"/>
      <c r="F42" s="1850"/>
      <c r="G42" s="7"/>
    </row>
    <row r="43" spans="1:7" s="683" customFormat="1" ht="14.4">
      <c r="A43" s="261"/>
      <c r="B43" s="261"/>
      <c r="C43" s="700"/>
      <c r="D43" s="1850"/>
      <c r="E43" s="1850"/>
      <c r="F43" s="1850"/>
      <c r="G43" s="7"/>
    </row>
    <row r="44" spans="1:7" s="683" customFormat="1" ht="14.4">
      <c r="A44" s="261"/>
      <c r="B44" s="261"/>
      <c r="C44" s="700"/>
      <c r="D44" s="699"/>
      <c r="E44" s="699"/>
      <c r="F44" s="699"/>
      <c r="G44" s="7"/>
    </row>
    <row r="45" spans="1:7" ht="14.4">
      <c r="A45" s="261"/>
      <c r="B45" s="680" t="s">
        <v>318</v>
      </c>
      <c r="C45" s="555"/>
      <c r="D45" s="1850" t="s">
        <v>1251</v>
      </c>
      <c r="E45" s="1850"/>
      <c r="F45" s="1850"/>
    </row>
    <row r="46" spans="1:7" ht="14.4">
      <c r="A46" s="261"/>
      <c r="B46" s="261"/>
      <c r="C46" s="555"/>
      <c r="D46" s="1850"/>
      <c r="E46" s="1850"/>
      <c r="F46" s="1850"/>
    </row>
    <row r="47" spans="1:7" ht="14.4">
      <c r="A47" s="261"/>
      <c r="B47" s="261"/>
      <c r="C47" s="555"/>
      <c r="D47" s="1850"/>
      <c r="E47" s="1850"/>
      <c r="F47" s="1850"/>
    </row>
    <row r="48" spans="1:7" ht="23.25" customHeight="1">
      <c r="A48" s="261"/>
      <c r="B48" s="261"/>
      <c r="C48" s="555"/>
      <c r="D48" s="1850"/>
      <c r="E48" s="1850"/>
      <c r="F48" s="1850"/>
    </row>
    <row r="49" spans="1:7" ht="14.4">
      <c r="A49" s="261"/>
      <c r="B49" s="261"/>
      <c r="D49" s="151"/>
    </row>
    <row r="50" spans="1:7" ht="14.7" customHeight="1">
      <c r="A50" s="261"/>
      <c r="B50" s="680" t="s">
        <v>318</v>
      </c>
      <c r="D50" s="1850" t="s">
        <v>1252</v>
      </c>
      <c r="E50" s="1850"/>
      <c r="F50" s="1850"/>
    </row>
    <row r="51" spans="1:7" ht="14.4">
      <c r="A51" s="261"/>
      <c r="B51" s="261"/>
      <c r="D51" s="1850"/>
      <c r="E51" s="1850"/>
      <c r="F51" s="1850"/>
    </row>
    <row r="52" spans="1:7" ht="14.4">
      <c r="A52" s="261"/>
      <c r="B52" s="261"/>
      <c r="D52" s="1850"/>
      <c r="E52" s="1850"/>
      <c r="F52" s="1850"/>
    </row>
    <row r="53" spans="1:7" s="2" customFormat="1" ht="14.4">
      <c r="A53" s="261"/>
      <c r="B53" s="261"/>
      <c r="C53" s="557"/>
      <c r="D53" s="239"/>
      <c r="E53" s="22"/>
      <c r="F53" s="22"/>
      <c r="G53" s="22"/>
    </row>
    <row r="54" spans="1:7" s="2" customFormat="1" ht="14.4">
      <c r="A54" s="404"/>
      <c r="B54" s="680" t="s">
        <v>318</v>
      </c>
      <c r="C54" s="558"/>
      <c r="D54" s="1850" t="s">
        <v>1253</v>
      </c>
      <c r="E54" s="1850"/>
      <c r="F54" s="1850"/>
      <c r="G54" s="22"/>
    </row>
    <row r="55" spans="1:7" s="2" customFormat="1" ht="14.4">
      <c r="A55" s="404"/>
      <c r="B55" s="404"/>
      <c r="C55" s="558"/>
      <c r="D55" s="1850"/>
      <c r="E55" s="1850"/>
      <c r="F55" s="1850"/>
      <c r="G55" s="22"/>
    </row>
    <row r="56" spans="1:7" s="39" customFormat="1">
      <c r="A56" s="273"/>
      <c r="B56" s="273"/>
      <c r="C56" s="273"/>
      <c r="D56" s="444"/>
      <c r="E56" s="130"/>
      <c r="F56" s="130"/>
      <c r="G56" s="130"/>
    </row>
    <row r="57" spans="1:7" ht="14.4">
      <c r="A57" s="261"/>
      <c r="B57" s="680" t="s">
        <v>318</v>
      </c>
      <c r="D57" s="1850" t="s">
        <v>1254</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4">
      <c r="A61" s="261"/>
      <c r="B61" s="680" t="s">
        <v>318</v>
      </c>
      <c r="D61" s="1850" t="s">
        <v>1255</v>
      </c>
      <c r="E61" s="1850"/>
      <c r="F61" s="1850"/>
    </row>
    <row r="62" spans="1:7">
      <c r="D62" s="1850"/>
      <c r="E62" s="1850"/>
      <c r="F62" s="1850"/>
    </row>
    <row r="63" spans="1:7"/>
    <row r="64" spans="1:7" ht="14.4">
      <c r="A64" s="261"/>
      <c r="B64" s="680" t="s">
        <v>318</v>
      </c>
      <c r="D64" s="1850" t="s">
        <v>1256</v>
      </c>
      <c r="E64" s="1850"/>
      <c r="F64" s="1850"/>
    </row>
    <row r="65" spans="1:7">
      <c r="D65" s="1850"/>
      <c r="E65" s="1850"/>
      <c r="F65" s="1850"/>
    </row>
    <row r="66" spans="1:7">
      <c r="A66" s="556"/>
      <c r="C66" s="556"/>
      <c r="D66" s="1850"/>
      <c r="E66" s="1850"/>
      <c r="F66" s="1850"/>
    </row>
    <row r="67" spans="1:7">
      <c r="D67" s="12"/>
    </row>
    <row r="68" spans="1:7" ht="14.4">
      <c r="A68" s="261"/>
      <c r="B68" s="680" t="s">
        <v>318</v>
      </c>
      <c r="D68" s="1848" t="s">
        <v>1257</v>
      </c>
      <c r="E68" s="1848"/>
      <c r="F68" s="1848"/>
    </row>
    <row r="69" spans="1:7">
      <c r="D69" s="1848"/>
      <c r="E69" s="1848"/>
      <c r="F69" s="1848"/>
    </row>
    <row r="70" spans="1:7" ht="14.4">
      <c r="A70" s="261"/>
      <c r="B70" s="261"/>
      <c r="D70" s="135"/>
    </row>
    <row r="71" spans="1:7">
      <c r="A71" s="1874" t="s">
        <v>1164</v>
      </c>
      <c r="B71" s="1874"/>
      <c r="C71" s="1874"/>
      <c r="D71" s="1874"/>
      <c r="E71" s="1874"/>
      <c r="F71" s="1874"/>
      <c r="G71" s="1874"/>
    </row>
    <row r="72" spans="1:7"/>
    <row r="73" spans="1:7">
      <c r="C73" s="262"/>
      <c r="D73" s="1890" t="s">
        <v>1262</v>
      </c>
      <c r="E73" s="1890"/>
      <c r="F73" s="1890"/>
    </row>
    <row r="74" spans="1:7">
      <c r="A74" s="135"/>
      <c r="B74" s="135"/>
      <c r="D74" s="1848" t="s">
        <v>1289</v>
      </c>
      <c r="E74" s="1848"/>
      <c r="F74" s="1848"/>
    </row>
    <row r="75" spans="1:7">
      <c r="A75" s="135"/>
      <c r="B75" s="135"/>
    </row>
    <row r="76" spans="1:7" ht="14.4">
      <c r="A76" s="261"/>
      <c r="B76" s="680" t="s">
        <v>318</v>
      </c>
      <c r="D76" s="1848" t="s">
        <v>1263</v>
      </c>
      <c r="E76" s="1848"/>
      <c r="F76" s="1848"/>
    </row>
    <row r="77" spans="1:7" ht="14.4">
      <c r="A77" s="261"/>
      <c r="B77" s="261"/>
      <c r="D77" s="1848"/>
      <c r="E77" s="1848"/>
      <c r="F77" s="1848"/>
    </row>
    <row r="78" spans="1:7" ht="14.4">
      <c r="A78" s="261"/>
      <c r="B78" s="261"/>
      <c r="D78" s="1848"/>
      <c r="E78" s="1848"/>
      <c r="F78" s="1848"/>
    </row>
    <row r="79" spans="1:7" ht="14.4">
      <c r="A79" s="261"/>
      <c r="B79" s="261"/>
      <c r="D79" s="1848"/>
      <c r="E79" s="1848"/>
      <c r="F79" s="1848"/>
    </row>
    <row r="80" spans="1:7" ht="14.4">
      <c r="A80" s="261"/>
      <c r="B80" s="261"/>
      <c r="D80" s="1848"/>
      <c r="E80" s="1848"/>
      <c r="F80" s="1848"/>
    </row>
    <row r="81" spans="1:7" ht="14.4">
      <c r="A81" s="261"/>
      <c r="B81" s="261"/>
      <c r="D81" s="1848"/>
      <c r="E81" s="1848"/>
      <c r="F81" s="1848"/>
    </row>
    <row r="82" spans="1:7" s="707" customFormat="1" ht="14.4">
      <c r="A82" s="708"/>
      <c r="B82" s="708"/>
      <c r="C82" s="706"/>
      <c r="D82" s="710"/>
      <c r="E82" s="710"/>
      <c r="F82" s="710"/>
      <c r="G82" s="7"/>
    </row>
    <row r="83" spans="1:7" s="707" customFormat="1" ht="14.7" customHeight="1">
      <c r="A83" s="708"/>
      <c r="B83" s="713" t="s">
        <v>318</v>
      </c>
      <c r="C83" s="706"/>
      <c r="D83" s="1905" t="s">
        <v>1362</v>
      </c>
      <c r="E83" s="1905"/>
      <c r="F83" s="1905"/>
      <c r="G83" s="7"/>
    </row>
    <row r="84" spans="1:7" s="707" customFormat="1" ht="14.4">
      <c r="A84" s="708"/>
      <c r="B84" s="708"/>
      <c r="C84" s="706"/>
      <c r="D84" s="1905"/>
      <c r="E84" s="1905"/>
      <c r="F84" s="1905"/>
      <c r="G84" s="7"/>
    </row>
    <row r="85" spans="1:7" s="707" customFormat="1" ht="14.4">
      <c r="A85" s="708"/>
      <c r="B85" s="708"/>
      <c r="C85" s="706"/>
      <c r="D85" s="1905"/>
      <c r="E85" s="1905"/>
      <c r="F85" s="1905"/>
      <c r="G85" s="7"/>
    </row>
    <row r="86" spans="1:7" s="707" customFormat="1" ht="14.4">
      <c r="A86" s="708"/>
      <c r="B86" s="708"/>
      <c r="C86" s="706"/>
      <c r="D86" s="1905"/>
      <c r="E86" s="1905"/>
      <c r="F86" s="1905"/>
      <c r="G86" s="7"/>
    </row>
    <row r="87" spans="1:7" s="707" customFormat="1" ht="14.4">
      <c r="A87" s="708"/>
      <c r="B87" s="708"/>
      <c r="C87" s="706"/>
      <c r="D87" s="1905"/>
      <c r="E87" s="1905"/>
      <c r="F87" s="1905"/>
      <c r="G87" s="7"/>
    </row>
    <row r="88" spans="1:7" s="720" customFormat="1" ht="14.4">
      <c r="A88" s="715"/>
      <c r="B88" s="715"/>
      <c r="C88" s="746"/>
      <c r="D88" s="1905"/>
      <c r="E88" s="1905"/>
      <c r="F88" s="1905"/>
      <c r="G88" s="7"/>
    </row>
    <row r="89" spans="1:7" s="720" customFormat="1" ht="14.4">
      <c r="A89" s="715"/>
      <c r="B89" s="715"/>
      <c r="C89" s="746"/>
      <c r="D89" s="1905"/>
      <c r="E89" s="1905"/>
      <c r="F89" s="1905"/>
      <c r="G89" s="7"/>
    </row>
    <row r="90" spans="1:7" s="720" customFormat="1" ht="14.4">
      <c r="A90" s="715"/>
      <c r="B90" s="715"/>
      <c r="C90" s="746"/>
      <c r="D90" s="1905"/>
      <c r="E90" s="1905"/>
      <c r="F90" s="1905"/>
      <c r="G90" s="7"/>
    </row>
    <row r="91" spans="1:7" ht="14.4">
      <c r="A91" s="261"/>
      <c r="B91" s="261"/>
      <c r="D91" s="1905"/>
      <c r="E91" s="1905"/>
      <c r="F91" s="1905"/>
    </row>
    <row r="92" spans="1:7" ht="14.4">
      <c r="A92" s="261"/>
      <c r="B92" s="261"/>
      <c r="D92" s="1905"/>
      <c r="E92" s="1905"/>
      <c r="F92" s="1905"/>
    </row>
    <row r="93" spans="1:7" ht="14.4">
      <c r="A93" s="261"/>
      <c r="B93" s="261"/>
      <c r="D93" s="1905"/>
      <c r="E93" s="1905"/>
      <c r="F93" s="1905"/>
    </row>
    <row r="94" spans="1:7" ht="14.4">
      <c r="A94" s="261"/>
      <c r="B94" s="261"/>
      <c r="D94" s="1905"/>
      <c r="E94" s="1905"/>
      <c r="F94" s="1905"/>
    </row>
    <row r="95" spans="1:7" ht="14.4">
      <c r="A95" s="261"/>
      <c r="B95" s="261"/>
      <c r="D95" s="1905"/>
      <c r="E95" s="1905"/>
      <c r="F95" s="1905"/>
    </row>
    <row r="96" spans="1:7" ht="14.4">
      <c r="A96" s="261"/>
      <c r="B96" s="261"/>
      <c r="D96" s="1905"/>
      <c r="E96" s="1905"/>
      <c r="F96" s="1905"/>
    </row>
    <row r="97" spans="1:11" s="711" customFormat="1" ht="14.4">
      <c r="A97" s="712"/>
      <c r="B97" s="716" t="s">
        <v>318</v>
      </c>
      <c r="C97" s="706"/>
      <c r="D97" s="1848" t="s">
        <v>1264</v>
      </c>
      <c r="E97" s="1848"/>
      <c r="F97" s="1848"/>
      <c r="G97" s="7"/>
    </row>
    <row r="98" spans="1:11" s="711" customFormat="1" ht="14.4">
      <c r="A98" s="712"/>
      <c r="B98" s="712"/>
      <c r="C98" s="706"/>
      <c r="D98" s="1848"/>
      <c r="E98" s="1848"/>
      <c r="F98" s="1848"/>
      <c r="G98" s="7"/>
    </row>
    <row r="99" spans="1:11" s="711" customFormat="1" ht="14.4">
      <c r="A99" s="712"/>
      <c r="B99" s="712"/>
      <c r="C99" s="706"/>
      <c r="D99" s="1848"/>
      <c r="E99" s="1848"/>
      <c r="F99" s="1848"/>
      <c r="G99" s="7"/>
    </row>
    <row r="100" spans="1:11" s="711" customFormat="1" ht="14.4">
      <c r="A100" s="712"/>
      <c r="B100" s="712"/>
      <c r="C100" s="706"/>
      <c r="D100" s="1848"/>
      <c r="E100" s="1848"/>
      <c r="F100" s="1848"/>
      <c r="G100" s="7"/>
    </row>
    <row r="101" spans="1:11" s="711" customFormat="1" ht="14.4">
      <c r="A101" s="712"/>
      <c r="B101" s="712"/>
      <c r="C101" s="706"/>
      <c r="D101" s="1848"/>
      <c r="E101" s="1848"/>
      <c r="F101" s="1848"/>
      <c r="G101" s="7"/>
    </row>
    <row r="102" spans="1:11" s="711" customFormat="1" ht="14.4">
      <c r="A102" s="712"/>
      <c r="B102" s="712"/>
      <c r="C102" s="706"/>
      <c r="D102" s="1848"/>
      <c r="E102" s="1848"/>
      <c r="F102" s="1848"/>
      <c r="G102" s="7"/>
    </row>
    <row r="103" spans="1:11" s="711" customFormat="1" ht="14.4">
      <c r="A103" s="712"/>
      <c r="B103" s="712"/>
      <c r="C103" s="706"/>
      <c r="D103" s="1848"/>
      <c r="E103" s="1848"/>
      <c r="F103" s="1848"/>
      <c r="G103" s="7"/>
    </row>
    <row r="104" spans="1:11" s="711" customFormat="1" ht="14.4">
      <c r="A104" s="712"/>
      <c r="B104" s="712"/>
      <c r="C104" s="706"/>
      <c r="D104" s="1848"/>
      <c r="E104" s="1848"/>
      <c r="F104" s="1848"/>
      <c r="G104" s="7"/>
    </row>
    <row r="105" spans="1:11" s="714" customFormat="1" ht="14.4">
      <c r="A105" s="715"/>
      <c r="B105" s="715"/>
      <c r="C105" s="706"/>
      <c r="D105" s="717"/>
      <c r="E105" s="717"/>
      <c r="F105" s="717"/>
      <c r="G105" s="7"/>
    </row>
    <row r="106" spans="1:11" ht="14.4">
      <c r="A106" s="404"/>
      <c r="B106" s="709" t="s">
        <v>318</v>
      </c>
      <c r="C106" s="470"/>
      <c r="D106" s="1906" t="s">
        <v>1265</v>
      </c>
      <c r="E106" s="1906"/>
      <c r="F106" s="1906"/>
      <c r="G106" s="471"/>
      <c r="H106" s="469"/>
      <c r="I106" s="469"/>
      <c r="J106" s="469"/>
      <c r="K106" s="469"/>
    </row>
    <row r="107" spans="1:11" ht="14.4">
      <c r="A107" s="261"/>
      <c r="B107" s="261"/>
      <c r="C107" s="316"/>
      <c r="D107" s="1906"/>
      <c r="E107" s="1906"/>
      <c r="F107" s="1906"/>
      <c r="G107" s="471"/>
      <c r="H107" s="469"/>
      <c r="I107" s="469"/>
      <c r="J107" s="469"/>
      <c r="K107" s="469"/>
    </row>
    <row r="108" spans="1:11" ht="14.4">
      <c r="A108" s="261"/>
      <c r="B108" s="261"/>
      <c r="C108" s="316"/>
      <c r="D108" s="1906"/>
      <c r="E108" s="1906"/>
      <c r="F108" s="1906"/>
      <c r="G108" s="471"/>
      <c r="H108" s="469"/>
      <c r="I108" s="469"/>
      <c r="J108" s="469"/>
      <c r="K108" s="469"/>
    </row>
    <row r="109" spans="1:11" ht="14.4">
      <c r="A109" s="261"/>
      <c r="B109" s="261"/>
      <c r="C109" s="316"/>
      <c r="D109" s="1906"/>
      <c r="E109" s="1906"/>
      <c r="F109" s="1906"/>
      <c r="G109" s="471"/>
      <c r="H109" s="469"/>
      <c r="I109" s="469"/>
      <c r="J109" s="469"/>
      <c r="K109" s="469"/>
    </row>
    <row r="110" spans="1:11" ht="14.4">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4">
      <c r="A114" s="261"/>
      <c r="B114" s="680" t="s">
        <v>318</v>
      </c>
      <c r="C114"/>
      <c r="D114" s="1907" t="s">
        <v>1266</v>
      </c>
      <c r="E114" s="1907"/>
      <c r="F114" s="1907"/>
      <c r="G114"/>
      <c r="H114"/>
      <c r="I114"/>
      <c r="J114"/>
      <c r="K114"/>
    </row>
    <row r="115" spans="1:11" ht="14.4">
      <c r="A115" s="261"/>
      <c r="B115" s="261"/>
      <c r="C115"/>
      <c r="D115" s="1907"/>
      <c r="E115" s="1907"/>
      <c r="F115" s="1907"/>
      <c r="G115"/>
      <c r="H115"/>
      <c r="I115"/>
      <c r="J115"/>
      <c r="K115"/>
    </row>
    <row r="116" spans="1:11"/>
    <row r="117" spans="1:11" ht="14.4">
      <c r="A117" s="261"/>
      <c r="B117" s="680" t="s">
        <v>318</v>
      </c>
      <c r="C117" s="10"/>
      <c r="D117" s="1848" t="s">
        <v>1267</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4">
      <c r="A123" s="261"/>
      <c r="B123" s="680" t="s">
        <v>318</v>
      </c>
      <c r="C123" s="10"/>
      <c r="D123" s="1850" t="s">
        <v>1268</v>
      </c>
      <c r="E123" s="1850"/>
      <c r="F123" s="1850"/>
      <c r="G123" s="149"/>
    </row>
    <row r="124" spans="1:11" s="297" customFormat="1" ht="13.95" customHeight="1">
      <c r="A124" s="294"/>
      <c r="B124" s="294"/>
      <c r="C124" s="295"/>
      <c r="D124" s="1850"/>
      <c r="E124" s="1850"/>
      <c r="F124" s="1850"/>
      <c r="G124" s="296"/>
    </row>
    <row r="125" spans="1:11" customFormat="1" ht="13.95" customHeight="1">
      <c r="A125" s="132"/>
      <c r="B125" s="677"/>
      <c r="C125" s="10"/>
      <c r="D125" s="1850"/>
      <c r="E125" s="1850"/>
      <c r="F125" s="1850"/>
      <c r="G125" s="149"/>
    </row>
    <row r="126" spans="1:11" customFormat="1" ht="13.95" customHeight="1">
      <c r="A126" s="132"/>
      <c r="B126" s="677"/>
      <c r="C126" s="10"/>
      <c r="D126" s="1850"/>
      <c r="E126" s="1850"/>
      <c r="F126" s="1850"/>
      <c r="G126" s="149"/>
    </row>
    <row r="127" spans="1:11" customFormat="1" ht="13.95" customHeight="1">
      <c r="A127" s="132"/>
      <c r="B127" s="677"/>
      <c r="C127" s="10"/>
      <c r="D127" s="1850"/>
      <c r="E127" s="1850"/>
      <c r="F127" s="1850"/>
      <c r="G127" s="149"/>
    </row>
    <row r="128" spans="1:11" customFormat="1" ht="13.95" customHeight="1">
      <c r="A128" s="379"/>
      <c r="B128" s="379"/>
      <c r="C128" s="10"/>
      <c r="D128" s="1850"/>
      <c r="E128" s="1850"/>
      <c r="F128" s="1850"/>
      <c r="G128" s="149"/>
    </row>
    <row r="129" spans="1:7" s="2" customFormat="1" ht="13.95" customHeight="1">
      <c r="A129" s="273"/>
      <c r="B129" s="273"/>
      <c r="C129" s="443"/>
      <c r="D129" s="1850"/>
      <c r="E129" s="1850"/>
      <c r="F129" s="1850"/>
      <c r="G129" s="182"/>
    </row>
    <row r="130" spans="1:7" s="2" customFormat="1" ht="13.95" customHeight="1">
      <c r="A130" s="273"/>
      <c r="B130" s="273"/>
      <c r="C130" s="443"/>
      <c r="D130" s="1850"/>
      <c r="E130" s="1850"/>
      <c r="F130" s="1850"/>
      <c r="G130" s="182"/>
    </row>
    <row r="131" spans="1:7" customFormat="1" ht="13.95" customHeight="1">
      <c r="A131" s="132"/>
      <c r="B131" s="677"/>
      <c r="C131" s="10"/>
      <c r="D131" s="1850"/>
      <c r="E131" s="1850"/>
      <c r="F131" s="1850"/>
      <c r="G131" s="149"/>
    </row>
    <row r="132" spans="1:7" customFormat="1" ht="13.95" customHeight="1">
      <c r="A132" s="132"/>
      <c r="B132" s="677"/>
      <c r="C132" s="10"/>
      <c r="D132" s="1850"/>
      <c r="E132" s="1850"/>
      <c r="F132" s="1850"/>
      <c r="G132" s="149"/>
    </row>
    <row r="133" spans="1:7" customFormat="1" ht="13.95" customHeight="1">
      <c r="A133" s="132"/>
      <c r="B133" s="677"/>
      <c r="C133" s="10"/>
      <c r="D133" s="1850"/>
      <c r="E133" s="1850"/>
      <c r="F133" s="1850"/>
      <c r="G133" s="149"/>
    </row>
    <row r="134" spans="1:7" customFormat="1" ht="13.95" customHeight="1">
      <c r="A134" s="132"/>
      <c r="B134" s="677"/>
      <c r="C134" s="10"/>
      <c r="D134" s="1850"/>
      <c r="E134" s="1850"/>
      <c r="F134" s="1850"/>
      <c r="G134" s="149"/>
    </row>
    <row r="135" spans="1:7" customFormat="1" ht="13.95" customHeight="1">
      <c r="A135" s="132"/>
      <c r="B135" s="677"/>
      <c r="C135" s="10"/>
      <c r="D135" s="328"/>
      <c r="E135" s="151"/>
      <c r="F135" s="151"/>
      <c r="G135" s="149"/>
    </row>
    <row r="136" spans="1:7" s="718" customFormat="1" ht="13.95" customHeight="1">
      <c r="A136" s="706"/>
      <c r="B136" s="719" t="s">
        <v>318</v>
      </c>
      <c r="C136" s="10"/>
      <c r="D136" s="1848" t="s">
        <v>1376</v>
      </c>
      <c r="E136" s="1848"/>
      <c r="F136" s="1848"/>
      <c r="G136" s="149"/>
    </row>
    <row r="137" spans="1:7" s="718" customFormat="1" ht="13.95" customHeight="1">
      <c r="A137" s="706"/>
      <c r="B137" s="706"/>
      <c r="C137" s="10"/>
      <c r="D137" s="1848"/>
      <c r="E137" s="1848"/>
      <c r="F137" s="1848"/>
      <c r="G137" s="149"/>
    </row>
    <row r="138" spans="1:7" s="718" customFormat="1" ht="13.95" customHeight="1">
      <c r="A138" s="706"/>
      <c r="B138" s="706"/>
      <c r="C138" s="10"/>
      <c r="D138" s="1848"/>
      <c r="E138" s="1848"/>
      <c r="F138" s="1848"/>
      <c r="G138" s="149"/>
    </row>
    <row r="139" spans="1:7" s="718" customFormat="1" ht="13.95" customHeight="1">
      <c r="A139" s="706"/>
      <c r="B139" s="706"/>
      <c r="C139" s="10"/>
      <c r="D139" s="1848"/>
      <c r="E139" s="1848"/>
      <c r="F139" s="1848"/>
      <c r="G139" s="149"/>
    </row>
    <row r="140" spans="1:7" s="718" customFormat="1" ht="13.95" customHeight="1">
      <c r="A140" s="706"/>
      <c r="B140" s="706"/>
      <c r="C140" s="10"/>
      <c r="D140" s="1848"/>
      <c r="E140" s="1848"/>
      <c r="F140" s="1848"/>
      <c r="G140" s="149"/>
    </row>
    <row r="141" spans="1:7" s="718" customFormat="1" ht="13.95" customHeight="1">
      <c r="A141" s="706"/>
      <c r="B141" s="706"/>
      <c r="C141" s="10"/>
      <c r="D141" s="1848"/>
      <c r="E141" s="1848"/>
      <c r="F141" s="1848"/>
      <c r="G141" s="149"/>
    </row>
    <row r="142" spans="1:7" s="718" customFormat="1" ht="13.95" customHeight="1">
      <c r="A142" s="706"/>
      <c r="B142" s="706"/>
      <c r="C142" s="10"/>
      <c r="D142" s="1848"/>
      <c r="E142" s="1848"/>
      <c r="F142" s="1848"/>
      <c r="G142" s="149"/>
    </row>
    <row r="143" spans="1:7" s="718" customFormat="1" ht="13.95" customHeight="1">
      <c r="A143" s="706"/>
      <c r="B143" s="706"/>
      <c r="C143" s="10"/>
      <c r="D143" s="1848"/>
      <c r="E143" s="1848"/>
      <c r="F143" s="1848"/>
      <c r="G143" s="149"/>
    </row>
    <row r="144" spans="1:7" s="718" customFormat="1" ht="13.95" customHeight="1">
      <c r="A144" s="706"/>
      <c r="B144" s="706"/>
      <c r="C144" s="10"/>
      <c r="D144" s="1848"/>
      <c r="E144" s="1848"/>
      <c r="F144" s="1848"/>
      <c r="G144" s="149"/>
    </row>
    <row r="145" spans="1:7" s="718" customFormat="1" ht="13.95" customHeight="1">
      <c r="A145" s="706"/>
      <c r="B145" s="706"/>
      <c r="C145" s="10"/>
      <c r="D145" s="1848"/>
      <c r="E145" s="1848"/>
      <c r="F145" s="1848"/>
      <c r="G145" s="149"/>
    </row>
    <row r="146" spans="1:7" s="718" customFormat="1" ht="13.95" customHeight="1">
      <c r="A146" s="748"/>
      <c r="B146" s="748"/>
      <c r="C146" s="10"/>
      <c r="D146" s="1848"/>
      <c r="E146" s="1848"/>
      <c r="F146" s="1848"/>
      <c r="G146" s="149"/>
    </row>
    <row r="147" spans="1:7" s="718" customFormat="1" ht="13.95" customHeight="1">
      <c r="A147" s="748"/>
      <c r="B147" s="748"/>
      <c r="C147" s="10"/>
      <c r="D147" s="1848"/>
      <c r="E147" s="1848"/>
      <c r="F147" s="1848"/>
      <c r="G147" s="149"/>
    </row>
    <row r="148" spans="1:7" s="718" customFormat="1" ht="13.95" customHeight="1">
      <c r="A148" s="706"/>
      <c r="B148" s="706"/>
      <c r="C148" s="10"/>
      <c r="D148" s="1848"/>
      <c r="E148" s="1848"/>
      <c r="F148" s="1848"/>
      <c r="G148" s="149"/>
    </row>
    <row r="149" spans="1:7" s="718" customFormat="1" ht="13.95" customHeight="1">
      <c r="A149" s="706"/>
      <c r="B149" s="706"/>
      <c r="C149" s="10"/>
      <c r="D149" s="1848"/>
      <c r="E149" s="1848"/>
      <c r="F149" s="1848"/>
      <c r="G149" s="149"/>
    </row>
    <row r="150" spans="1:7" s="718" customFormat="1" ht="13.95" customHeight="1">
      <c r="A150" s="706"/>
      <c r="B150" s="706"/>
      <c r="C150" s="10"/>
      <c r="D150" s="1848"/>
      <c r="E150" s="1848"/>
      <c r="F150" s="1848"/>
      <c r="G150" s="149"/>
    </row>
    <row r="151" spans="1:7" s="718" customFormat="1" ht="13.95" customHeight="1">
      <c r="A151" s="706"/>
      <c r="B151" s="706"/>
      <c r="C151" s="10"/>
      <c r="D151" s="1848"/>
      <c r="E151" s="1848"/>
      <c r="F151" s="1848"/>
      <c r="G151" s="149"/>
    </row>
    <row r="152" spans="1:7" s="718" customFormat="1" ht="13.95" customHeight="1">
      <c r="A152" s="706"/>
      <c r="B152" s="706"/>
      <c r="C152" s="10"/>
      <c r="D152" s="1848"/>
      <c r="E152" s="1848"/>
      <c r="F152" s="1848"/>
      <c r="G152" s="149"/>
    </row>
    <row r="153" spans="1:7" s="718" customFormat="1" ht="13.95" customHeight="1">
      <c r="A153" s="706"/>
      <c r="B153" s="706"/>
      <c r="C153" s="10"/>
      <c r="D153" s="1848"/>
      <c r="E153" s="1848"/>
      <c r="F153" s="1848"/>
      <c r="G153" s="149"/>
    </row>
    <row r="154" spans="1:7" s="718" customFormat="1" ht="13.95" customHeight="1">
      <c r="A154" s="706"/>
      <c r="B154" s="706"/>
      <c r="C154" s="10"/>
      <c r="D154" s="1848"/>
      <c r="E154" s="1848"/>
      <c r="F154" s="1848"/>
      <c r="G154" s="149"/>
    </row>
    <row r="155" spans="1:7" s="718" customFormat="1" ht="13.95" customHeight="1">
      <c r="A155" s="706"/>
      <c r="B155" s="706"/>
      <c r="C155" s="10"/>
      <c r="D155" s="328"/>
      <c r="E155" s="151"/>
      <c r="F155" s="151"/>
      <c r="G155" s="149"/>
    </row>
    <row r="156" spans="1:7" customFormat="1" ht="13.95" customHeight="1">
      <c r="A156" s="379"/>
      <c r="B156" s="680" t="s">
        <v>318</v>
      </c>
      <c r="C156" s="326"/>
      <c r="D156" s="1908" t="s">
        <v>1269</v>
      </c>
      <c r="E156" s="1908"/>
      <c r="F156" s="1908"/>
      <c r="G156" s="445"/>
    </row>
    <row r="157" spans="1:7" customFormat="1" ht="13.95" customHeight="1">
      <c r="A157" s="379"/>
      <c r="B157" s="379"/>
      <c r="C157" s="326"/>
      <c r="D157" s="1908"/>
      <c r="E157" s="1908"/>
      <c r="F157" s="1908"/>
      <c r="G157" s="445"/>
    </row>
    <row r="158" spans="1:7" customFormat="1" ht="13.95" customHeight="1">
      <c r="A158" s="379"/>
      <c r="B158" s="379"/>
      <c r="C158" s="326"/>
      <c r="D158" s="328"/>
      <c r="E158" s="326"/>
      <c r="F158" s="326"/>
      <c r="G158" s="445"/>
    </row>
    <row r="159" spans="1:7" customFormat="1" ht="13.95" customHeight="1">
      <c r="A159" s="379"/>
      <c r="B159" s="680" t="s">
        <v>318</v>
      </c>
      <c r="C159" s="326"/>
      <c r="D159" s="1851" t="s">
        <v>1270</v>
      </c>
      <c r="E159" s="1851"/>
      <c r="F159" s="1851"/>
      <c r="G159" s="445"/>
    </row>
    <row r="160" spans="1:7" customFormat="1" ht="13.95" customHeight="1">
      <c r="A160" s="379"/>
      <c r="B160" s="379"/>
      <c r="C160" s="326"/>
      <c r="D160" s="1851"/>
      <c r="E160" s="1851"/>
      <c r="F160" s="1851"/>
      <c r="G160" s="445"/>
    </row>
    <row r="161" spans="1:7" customFormat="1" ht="13.95" customHeight="1">
      <c r="A161" s="379"/>
      <c r="B161" s="379"/>
      <c r="C161" s="326"/>
      <c r="D161" s="1851"/>
      <c r="E161" s="1851"/>
      <c r="F161" s="1851"/>
      <c r="G161" s="445"/>
    </row>
    <row r="162" spans="1:7" customFormat="1" ht="13.95" customHeight="1">
      <c r="A162" s="379"/>
      <c r="B162" s="379"/>
      <c r="C162" s="326"/>
      <c r="D162" s="1851"/>
      <c r="E162" s="1851"/>
      <c r="F162" s="1851"/>
      <c r="G162" s="445"/>
    </row>
    <row r="163" spans="1:7" customFormat="1" ht="13.95" customHeight="1">
      <c r="A163" s="132"/>
      <c r="B163" s="677"/>
      <c r="C163" s="10"/>
      <c r="D163" s="151"/>
      <c r="E163" s="151"/>
      <c r="F163" s="151"/>
      <c r="G163" s="149"/>
    </row>
    <row r="164" spans="1:7" customFormat="1" ht="13.95" customHeight="1">
      <c r="A164" s="132"/>
      <c r="B164" s="680" t="s">
        <v>318</v>
      </c>
      <c r="C164" s="10"/>
      <c r="D164" s="1896" t="s">
        <v>1271</v>
      </c>
      <c r="E164" s="1896"/>
      <c r="F164" s="1896"/>
      <c r="G164" s="149"/>
    </row>
    <row r="165" spans="1:7" customFormat="1" ht="13.95" customHeight="1">
      <c r="A165" s="132"/>
      <c r="B165" s="677"/>
      <c r="C165" s="10"/>
      <c r="D165" s="1896"/>
      <c r="E165" s="1896"/>
      <c r="F165" s="1896"/>
      <c r="G165" s="149"/>
    </row>
    <row r="166" spans="1:7" customFormat="1" ht="13.95" customHeight="1">
      <c r="A166" s="132"/>
      <c r="B166" s="677"/>
      <c r="C166" s="10"/>
      <c r="D166" s="1896"/>
      <c r="E166" s="1896"/>
      <c r="F166" s="1896"/>
      <c r="G166" s="149"/>
    </row>
    <row r="167" spans="1:7" customFormat="1" ht="13.95" customHeight="1">
      <c r="A167" s="23"/>
      <c r="B167" s="676"/>
      <c r="C167" s="10"/>
      <c r="D167" s="7"/>
      <c r="E167" s="151"/>
      <c r="F167" s="151"/>
      <c r="G167" s="149"/>
    </row>
    <row r="168" spans="1:7">
      <c r="A168" s="1874" t="s">
        <v>1165</v>
      </c>
      <c r="B168" s="1874"/>
      <c r="C168" s="1874"/>
      <c r="D168" s="1874"/>
      <c r="E168" s="1874"/>
      <c r="F168" s="1874"/>
      <c r="G168" s="1874"/>
    </row>
    <row r="169" spans="1:7" ht="12" customHeight="1">
      <c r="D169" s="135"/>
      <c r="E169" s="135"/>
      <c r="F169" s="135"/>
    </row>
    <row r="170" spans="1:7">
      <c r="B170" s="1870" t="s">
        <v>471</v>
      </c>
      <c r="C170" s="1870"/>
      <c r="D170" s="1870"/>
      <c r="E170" s="1870"/>
      <c r="F170" s="1870"/>
    </row>
    <row r="171" spans="1:7" ht="12" customHeight="1">
      <c r="A171" s="255"/>
      <c r="B171" s="674"/>
      <c r="C171" s="255"/>
    </row>
    <row r="172" spans="1:7">
      <c r="A172" s="1874" t="s">
        <v>1166</v>
      </c>
      <c r="B172" s="1874"/>
      <c r="C172" s="1874"/>
      <c r="D172" s="1874"/>
      <c r="E172" s="1874"/>
      <c r="F172" s="1874"/>
      <c r="G172" s="1874"/>
    </row>
    <row r="173" spans="1:7" ht="12" customHeight="1">
      <c r="A173" s="264"/>
      <c r="B173" s="264"/>
      <c r="C173" s="265"/>
      <c r="D173" s="57"/>
      <c r="E173" s="49"/>
      <c r="F173" s="57"/>
      <c r="G173" s="57"/>
    </row>
    <row r="174" spans="1:7" ht="13.35" customHeight="1">
      <c r="A174" s="264"/>
      <c r="B174" s="264"/>
      <c r="C174" s="265"/>
      <c r="D174" s="1910" t="s">
        <v>1274</v>
      </c>
      <c r="E174" s="1910"/>
      <c r="F174" s="1910"/>
      <c r="G174" s="57"/>
    </row>
    <row r="175" spans="1:7">
      <c r="A175" s="264"/>
      <c r="B175" s="264"/>
      <c r="C175" s="265"/>
      <c r="D175" s="1910"/>
      <c r="E175" s="1910"/>
      <c r="F175" s="1910"/>
      <c r="G175" s="57"/>
    </row>
    <row r="176" spans="1:7" s="720" customFormat="1">
      <c r="A176" s="722"/>
      <c r="B176" s="722"/>
      <c r="C176" s="265"/>
      <c r="D176" s="1911" t="s">
        <v>1275</v>
      </c>
      <c r="E176" s="1911"/>
      <c r="F176" s="1911"/>
      <c r="G176" s="57"/>
    </row>
    <row r="177" spans="1:7" ht="12" customHeight="1">
      <c r="A177" s="264"/>
      <c r="B177" s="264"/>
      <c r="C177" s="265"/>
      <c r="D177" s="57"/>
      <c r="E177" s="49"/>
      <c r="F177" s="57"/>
      <c r="G177" s="57"/>
    </row>
    <row r="178" spans="1:7" ht="14.4">
      <c r="A178" s="261"/>
      <c r="B178" s="680" t="s">
        <v>318</v>
      </c>
      <c r="C178" s="265"/>
      <c r="D178" s="1909" t="s">
        <v>1273</v>
      </c>
      <c r="E178" s="1909"/>
      <c r="F178" s="1909"/>
      <c r="G178" s="57"/>
    </row>
    <row r="179" spans="1:7" ht="14.4">
      <c r="A179" s="261"/>
      <c r="B179" s="261"/>
      <c r="C179" s="265"/>
      <c r="D179" s="1909"/>
      <c r="E179" s="1909"/>
      <c r="F179" s="1909"/>
      <c r="G179" s="57"/>
    </row>
    <row r="180" spans="1:7" ht="14.4">
      <c r="A180" s="261"/>
      <c r="B180" s="261"/>
      <c r="C180" s="265"/>
      <c r="D180" s="1909"/>
      <c r="E180" s="1909"/>
      <c r="F180" s="1909"/>
      <c r="G180" s="57"/>
    </row>
    <row r="181" spans="1:7">
      <c r="A181" s="265"/>
      <c r="B181" s="265"/>
      <c r="C181" s="265"/>
      <c r="D181" s="1909"/>
      <c r="E181" s="1909"/>
      <c r="F181" s="1909"/>
    </row>
    <row r="182" spans="1:7">
      <c r="A182" s="265"/>
      <c r="B182" s="265"/>
      <c r="C182" s="265"/>
      <c r="D182" s="405"/>
      <c r="E182" s="57"/>
      <c r="F182" s="57"/>
    </row>
    <row r="183" spans="1:7">
      <c r="A183" s="265"/>
      <c r="B183" s="265"/>
      <c r="C183" s="265"/>
      <c r="D183" s="1913" t="s">
        <v>1182</v>
      </c>
      <c r="E183" s="1913"/>
      <c r="F183" s="1913"/>
    </row>
    <row r="184" spans="1:7">
      <c r="A184" s="265"/>
      <c r="B184" s="265"/>
      <c r="C184" s="265"/>
      <c r="D184" s="1913"/>
      <c r="E184" s="1913"/>
      <c r="F184" s="1913"/>
    </row>
    <row r="185" spans="1:7" s="683" customFormat="1">
      <c r="A185" s="265"/>
      <c r="B185" s="265"/>
      <c r="C185" s="265"/>
      <c r="D185" s="697"/>
      <c r="E185" s="697"/>
      <c r="F185" s="697"/>
      <c r="G185" s="7"/>
    </row>
    <row r="186" spans="1:7" s="678" customFormat="1" ht="14.4">
      <c r="A186" s="261"/>
      <c r="B186" s="680" t="s">
        <v>318</v>
      </c>
      <c r="C186" s="558"/>
      <c r="D186" s="1848" t="s">
        <v>1272</v>
      </c>
      <c r="E186" s="1848"/>
      <c r="F186" s="1848"/>
      <c r="G186" s="679"/>
    </row>
    <row r="187" spans="1:7" s="678" customFormat="1" ht="14.7" customHeight="1">
      <c r="A187" s="261"/>
      <c r="C187" s="558"/>
      <c r="D187" s="1848"/>
      <c r="E187" s="1848"/>
      <c r="F187" s="1848"/>
      <c r="G187" s="679"/>
    </row>
    <row r="188" spans="1:7" s="678" customFormat="1" ht="14.4">
      <c r="A188" s="261"/>
      <c r="B188" s="698"/>
      <c r="C188" s="558"/>
      <c r="D188" s="1848"/>
      <c r="E188" s="1848"/>
      <c r="F188" s="1848"/>
      <c r="G188" s="679"/>
    </row>
    <row r="189" spans="1:7" s="678" customFormat="1" ht="14.4">
      <c r="A189" s="261"/>
      <c r="B189" s="698"/>
      <c r="C189" s="558"/>
      <c r="D189" s="1848"/>
      <c r="E189" s="1848"/>
      <c r="F189" s="1848"/>
      <c r="G189" s="679"/>
    </row>
    <row r="190" spans="1:7" s="683" customFormat="1">
      <c r="A190" s="265"/>
      <c r="B190" s="265"/>
      <c r="C190" s="265"/>
      <c r="D190" s="697"/>
      <c r="E190" s="697"/>
      <c r="F190" s="697"/>
      <c r="G190" s="7"/>
    </row>
    <row r="191" spans="1:7">
      <c r="A191" s="1874" t="s">
        <v>1167</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4"/>
      <c r="C194" s="255"/>
      <c r="D194" s="1880" t="s">
        <v>1296</v>
      </c>
      <c r="E194" s="1881"/>
      <c r="F194" s="1881"/>
    </row>
    <row r="195" spans="1:6" ht="12" customHeight="1">
      <c r="A195" s="23"/>
      <c r="B195" s="676"/>
      <c r="C195" s="23"/>
    </row>
    <row r="196" spans="1:6" ht="13.35" customHeight="1">
      <c r="A196" s="23"/>
      <c r="C196" s="23"/>
      <c r="D196" s="1872" t="s">
        <v>580</v>
      </c>
      <c r="E196" s="1872"/>
      <c r="F196" s="1872"/>
    </row>
    <row r="197" spans="1:6" ht="14.4">
      <c r="A197" s="261"/>
      <c r="B197" s="680" t="s">
        <v>318</v>
      </c>
      <c r="D197" s="1848" t="s">
        <v>1290</v>
      </c>
      <c r="E197" s="1848"/>
      <c r="F197" s="1848"/>
    </row>
    <row r="198" spans="1:6" ht="14.4">
      <c r="A198" s="261"/>
      <c r="B198" s="261"/>
      <c r="D198" s="1848"/>
      <c r="E198" s="1848"/>
      <c r="F198" s="1848"/>
    </row>
    <row r="199" spans="1:6"/>
    <row r="200" spans="1:6" ht="14.4">
      <c r="A200" s="261"/>
      <c r="B200" s="680" t="s">
        <v>318</v>
      </c>
      <c r="D200" s="1848" t="s">
        <v>1291</v>
      </c>
      <c r="E200" s="1848"/>
      <c r="F200" s="1848"/>
    </row>
    <row r="201" spans="1:6" ht="14.4">
      <c r="A201" s="261"/>
      <c r="B201" s="261"/>
      <c r="D201" s="1848"/>
      <c r="E201" s="1848"/>
      <c r="F201" s="1848"/>
    </row>
    <row r="202" spans="1:6" ht="14.4">
      <c r="A202" s="261"/>
      <c r="B202" s="261"/>
      <c r="D202" s="1848"/>
      <c r="E202" s="1848"/>
      <c r="F202" s="1848"/>
    </row>
    <row r="203" spans="1:6" ht="5.0999999999999996" customHeight="1">
      <c r="A203" s="261"/>
      <c r="B203" s="261"/>
      <c r="D203" s="151"/>
      <c r="E203" s="135"/>
      <c r="F203" s="135"/>
    </row>
    <row r="204" spans="1:6" ht="14.4">
      <c r="A204" s="261"/>
      <c r="B204" s="261"/>
      <c r="D204" s="1848" t="s">
        <v>1292</v>
      </c>
      <c r="E204" s="1848"/>
      <c r="F204" s="1848"/>
    </row>
    <row r="205" spans="1:6" ht="14.4">
      <c r="A205" s="261"/>
      <c r="B205" s="261"/>
      <c r="D205" s="1848"/>
      <c r="E205" s="1848"/>
      <c r="F205" s="1848"/>
    </row>
    <row r="206" spans="1:6" ht="14.4">
      <c r="A206" s="261"/>
      <c r="B206" s="261"/>
      <c r="D206" s="1848"/>
      <c r="E206" s="1848"/>
      <c r="F206" s="1848"/>
    </row>
    <row r="207" spans="1:6" ht="14.4">
      <c r="A207" s="261"/>
      <c r="B207" s="261"/>
      <c r="D207" s="1848"/>
      <c r="E207" s="1848"/>
      <c r="F207" s="1848"/>
    </row>
    <row r="208" spans="1:6" ht="14.4">
      <c r="A208" s="261"/>
      <c r="B208" s="261"/>
      <c r="D208" s="1848"/>
      <c r="E208" s="1848"/>
      <c r="F208" s="1848"/>
    </row>
    <row r="209" spans="1:7" ht="14.4">
      <c r="A209" s="261"/>
      <c r="B209" s="261"/>
      <c r="D209" s="135"/>
      <c r="E209" s="135"/>
      <c r="F209" s="135"/>
    </row>
    <row r="210" spans="1:7" ht="14.4">
      <c r="A210" s="261"/>
      <c r="B210" s="680" t="s">
        <v>318</v>
      </c>
      <c r="D210" s="1869" t="s">
        <v>1293</v>
      </c>
      <c r="E210" s="1869"/>
      <c r="F210" s="1869"/>
    </row>
    <row r="211" spans="1:7" ht="14.4">
      <c r="A211" s="261"/>
      <c r="B211" s="261"/>
      <c r="D211" s="1869"/>
      <c r="E211" s="1869"/>
      <c r="F211" s="1869"/>
    </row>
    <row r="212" spans="1:7" ht="14.4">
      <c r="A212" s="261"/>
      <c r="B212" s="261"/>
      <c r="D212" s="1870" t="s">
        <v>966</v>
      </c>
      <c r="E212" s="1870"/>
      <c r="F212" s="1870"/>
    </row>
    <row r="213" spans="1:7" ht="14.4">
      <c r="A213" s="261"/>
      <c r="B213" s="261"/>
      <c r="D213" s="135"/>
      <c r="E213" s="135"/>
      <c r="F213" s="135"/>
    </row>
    <row r="214" spans="1:7" ht="14.7" customHeight="1">
      <c r="A214" s="261"/>
      <c r="B214" s="680" t="s">
        <v>318</v>
      </c>
      <c r="D214" s="1869" t="s">
        <v>1295</v>
      </c>
      <c r="E214" s="1869"/>
      <c r="F214" s="1869"/>
    </row>
    <row r="215" spans="1:7" ht="14.4">
      <c r="A215" s="261"/>
      <c r="B215" s="261"/>
      <c r="D215" s="1869"/>
      <c r="E215" s="1869"/>
      <c r="F215" s="1869"/>
    </row>
    <row r="216" spans="1:7" ht="14.4">
      <c r="A216" s="261"/>
      <c r="B216" s="261"/>
      <c r="D216" s="1869"/>
      <c r="E216" s="1869"/>
      <c r="F216" s="1869"/>
    </row>
    <row r="217" spans="1:7" ht="14.4">
      <c r="A217" s="261"/>
      <c r="B217" s="261"/>
      <c r="D217" s="1869"/>
      <c r="E217" s="1869"/>
      <c r="F217" s="1869"/>
    </row>
    <row r="218" spans="1:7" ht="14.4">
      <c r="A218" s="261"/>
      <c r="B218" s="261"/>
      <c r="D218" s="1869"/>
      <c r="E218" s="1869"/>
      <c r="F218" s="1869"/>
    </row>
    <row r="219" spans="1:7">
      <c r="D219" s="135"/>
      <c r="E219" s="135"/>
      <c r="F219" s="135"/>
    </row>
    <row r="220" spans="1:7" ht="14.4">
      <c r="A220" s="261"/>
      <c r="B220" s="680" t="s">
        <v>318</v>
      </c>
      <c r="D220" s="1848" t="s">
        <v>1294</v>
      </c>
      <c r="E220" s="1848"/>
      <c r="F220" s="1848"/>
    </row>
    <row r="221" spans="1:7" ht="14.4">
      <c r="A221" s="261"/>
      <c r="B221" s="261"/>
      <c r="D221" s="1848"/>
      <c r="E221" s="1848"/>
      <c r="F221" s="1848"/>
    </row>
    <row r="222" spans="1:7">
      <c r="D222" s="29"/>
    </row>
    <row r="223" spans="1:7">
      <c r="A223" s="1874" t="s">
        <v>1168</v>
      </c>
      <c r="B223" s="1874"/>
      <c r="C223" s="1874"/>
      <c r="D223" s="1874"/>
      <c r="E223" s="1874"/>
      <c r="F223" s="1874"/>
      <c r="G223" s="1874"/>
    </row>
    <row r="224" spans="1:7">
      <c r="D224" s="29"/>
    </row>
    <row r="225" spans="1:6">
      <c r="C225" s="262"/>
      <c r="D225" s="1872" t="s">
        <v>1297</v>
      </c>
      <c r="E225" s="1872"/>
      <c r="F225" s="1872"/>
    </row>
    <row r="226" spans="1:6">
      <c r="A226" s="255"/>
      <c r="B226" s="674"/>
      <c r="C226" s="255"/>
      <c r="D226" s="135"/>
      <c r="E226" s="135"/>
      <c r="F226" s="135"/>
    </row>
    <row r="227" spans="1:6">
      <c r="A227" s="260"/>
      <c r="B227" s="260"/>
      <c r="C227" s="260"/>
      <c r="D227" s="1872" t="s">
        <v>277</v>
      </c>
      <c r="E227" s="1872"/>
      <c r="F227" s="1872"/>
    </row>
    <row r="228" spans="1:6" ht="14.4">
      <c r="A228" s="261"/>
      <c r="B228" s="680" t="s">
        <v>318</v>
      </c>
      <c r="D228" s="1922" t="s">
        <v>1298</v>
      </c>
      <c r="E228" s="1922"/>
      <c r="F228" s="1922"/>
    </row>
    <row r="229" spans="1:6" ht="14.4">
      <c r="A229" s="261"/>
      <c r="B229" s="261"/>
      <c r="D229" s="1922"/>
      <c r="E229" s="1922"/>
      <c r="F229" s="1922"/>
    </row>
    <row r="230" spans="1:6">
      <c r="D230" s="135"/>
      <c r="E230" s="135"/>
      <c r="F230" s="135"/>
    </row>
    <row r="231" spans="1:6" ht="14.7" customHeight="1">
      <c r="A231" s="261"/>
      <c r="B231" s="680" t="s">
        <v>318</v>
      </c>
      <c r="D231" s="1869" t="s">
        <v>1299</v>
      </c>
      <c r="E231" s="1869"/>
      <c r="F231" s="1869"/>
    </row>
    <row r="232" spans="1:6">
      <c r="D232" s="1869"/>
      <c r="E232" s="1869"/>
      <c r="F232" s="1869"/>
    </row>
    <row r="233" spans="1:6">
      <c r="D233" s="1881" t="s">
        <v>957</v>
      </c>
      <c r="E233" s="1881"/>
      <c r="F233" s="1881"/>
    </row>
    <row r="234" spans="1:6">
      <c r="D234" s="135"/>
      <c r="E234" s="135"/>
      <c r="F234" s="135"/>
    </row>
    <row r="235" spans="1:6" ht="14.7" customHeight="1">
      <c r="A235" s="261"/>
      <c r="B235" s="680" t="s">
        <v>318</v>
      </c>
      <c r="D235" s="1869" t="s">
        <v>1301</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4">
      <c r="A241" s="261"/>
      <c r="B241" s="680" t="s">
        <v>318</v>
      </c>
      <c r="D241" s="1848" t="s">
        <v>1300</v>
      </c>
      <c r="E241" s="1848"/>
      <c r="F241" s="1848"/>
    </row>
    <row r="242" spans="1:7">
      <c r="D242" s="1848"/>
      <c r="E242" s="1848"/>
      <c r="F242" s="1848"/>
    </row>
    <row r="243" spans="1:7">
      <c r="D243" s="1848"/>
      <c r="E243" s="1848"/>
      <c r="F243" s="1848"/>
    </row>
    <row r="244" spans="1:7">
      <c r="D244" s="263"/>
      <c r="E244" s="135"/>
      <c r="F244" s="135"/>
    </row>
    <row r="245" spans="1:7">
      <c r="A245" s="1874" t="s">
        <v>1169</v>
      </c>
      <c r="B245" s="1874"/>
      <c r="C245" s="1874"/>
      <c r="D245" s="1874"/>
      <c r="E245" s="1874"/>
      <c r="F245" s="1874"/>
      <c r="G245" s="1874"/>
    </row>
    <row r="246" spans="1:7">
      <c r="D246" s="263"/>
      <c r="E246" s="135"/>
      <c r="F246" s="135"/>
    </row>
    <row r="247" spans="1:7">
      <c r="C247" s="255"/>
      <c r="D247" s="1890" t="s">
        <v>1302</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1303</v>
      </c>
      <c r="E251" s="1878"/>
      <c r="F251" s="1878"/>
    </row>
    <row r="252" spans="1:7">
      <c r="E252" s="135"/>
      <c r="F252" s="135"/>
    </row>
    <row r="253" spans="1:7" ht="14.4">
      <c r="A253" s="261"/>
      <c r="B253" s="680" t="s">
        <v>318</v>
      </c>
      <c r="D253" s="1848" t="s">
        <v>1304</v>
      </c>
      <c r="E253" s="1848"/>
      <c r="F253" s="1848"/>
    </row>
    <row r="254" spans="1:7" ht="14.4">
      <c r="A254" s="261"/>
      <c r="B254" s="261"/>
      <c r="D254" s="1848"/>
      <c r="E254" s="1848"/>
      <c r="F254" s="1848"/>
    </row>
    <row r="255" spans="1:7">
      <c r="D255" s="135"/>
      <c r="E255" s="135"/>
      <c r="F255" s="135"/>
    </row>
    <row r="256" spans="1:7" ht="14.4">
      <c r="A256" s="261"/>
      <c r="B256" s="680" t="s">
        <v>318</v>
      </c>
      <c r="D256" s="1869" t="s">
        <v>1305</v>
      </c>
      <c r="E256" s="1869"/>
      <c r="F256" s="1869"/>
    </row>
    <row r="257" spans="1:7" ht="14.4">
      <c r="A257" s="261"/>
      <c r="B257" s="261"/>
      <c r="D257" s="1869"/>
      <c r="E257" s="1869"/>
      <c r="F257" s="1869"/>
    </row>
    <row r="258" spans="1:7" ht="14.4">
      <c r="A258" s="261"/>
      <c r="B258" s="261"/>
      <c r="D258" s="1869"/>
      <c r="E258" s="1869"/>
      <c r="F258" s="1869"/>
    </row>
    <row r="259" spans="1:7">
      <c r="D259" s="135"/>
      <c r="E259" s="135"/>
      <c r="F259" s="135"/>
    </row>
    <row r="260" spans="1:7" ht="14.4">
      <c r="A260" s="261"/>
      <c r="B260" s="680" t="s">
        <v>318</v>
      </c>
      <c r="D260" s="1848" t="s">
        <v>1306</v>
      </c>
      <c r="E260" s="1848"/>
      <c r="F260" s="1848"/>
    </row>
    <row r="261" spans="1:7" ht="14.4">
      <c r="A261" s="261"/>
      <c r="B261" s="261"/>
      <c r="D261" s="1848"/>
      <c r="E261" s="1848"/>
      <c r="F261" s="1848"/>
    </row>
    <row r="262" spans="1:7">
      <c r="A262" s="23"/>
      <c r="B262" s="676"/>
      <c r="E262" s="135"/>
      <c r="F262" s="135"/>
    </row>
    <row r="263" spans="1:7">
      <c r="A263" s="1874" t="s">
        <v>1170</v>
      </c>
      <c r="B263" s="1874"/>
      <c r="C263" s="1874"/>
      <c r="D263" s="1874"/>
      <c r="E263" s="1874"/>
      <c r="F263" s="1874"/>
      <c r="G263" s="1874"/>
    </row>
    <row r="264" spans="1:7">
      <c r="A264" s="23"/>
      <c r="B264" s="676"/>
      <c r="D264" s="135"/>
      <c r="E264" s="135"/>
      <c r="F264" s="135"/>
    </row>
    <row r="265" spans="1:7">
      <c r="C265" s="23"/>
      <c r="D265" s="1872" t="s">
        <v>720</v>
      </c>
      <c r="E265" s="1872"/>
      <c r="F265" s="1872"/>
    </row>
    <row r="266" spans="1:7">
      <c r="C266" s="23"/>
      <c r="D266" s="1873" t="s">
        <v>1307</v>
      </c>
      <c r="E266" s="1873"/>
      <c r="F266" s="1873"/>
    </row>
    <row r="267" spans="1:7">
      <c r="C267" s="23"/>
      <c r="D267" s="259"/>
    </row>
    <row r="268" spans="1:7">
      <c r="A268" s="273"/>
      <c r="B268" s="680" t="s">
        <v>318</v>
      </c>
      <c r="D268" s="1873" t="s">
        <v>1308</v>
      </c>
      <c r="E268" s="1873"/>
      <c r="F268" s="1873"/>
    </row>
    <row r="269" spans="1:7" s="39" customFormat="1" ht="14.4">
      <c r="A269" s="404"/>
      <c r="B269" s="404"/>
      <c r="C269" s="273"/>
      <c r="D269" s="498"/>
      <c r="E269" s="499"/>
      <c r="F269" s="499"/>
      <c r="G269" s="130"/>
    </row>
    <row r="270" spans="1:7" s="39" customFormat="1" ht="13.35" customHeight="1">
      <c r="A270" s="273"/>
      <c r="B270" s="680" t="s">
        <v>318</v>
      </c>
      <c r="C270" s="273"/>
      <c r="D270" s="1923" t="s">
        <v>1309</v>
      </c>
      <c r="E270" s="1923"/>
      <c r="F270" s="1923"/>
      <c r="G270" s="130"/>
    </row>
    <row r="271" spans="1:7" s="39" customFormat="1" ht="14.4">
      <c r="A271" s="404"/>
      <c r="B271" s="404"/>
      <c r="C271" s="273"/>
      <c r="D271" s="1923"/>
      <c r="E271" s="1923"/>
      <c r="F271" s="1923"/>
      <c r="G271" s="130"/>
    </row>
    <row r="272" spans="1:7" s="39" customFormat="1" ht="14.4">
      <c r="A272" s="404"/>
      <c r="B272" s="404"/>
      <c r="C272" s="273"/>
      <c r="D272" s="1923"/>
      <c r="E272" s="1923"/>
      <c r="F272" s="1923"/>
      <c r="G272" s="130"/>
    </row>
    <row r="273" spans="1:7" s="39" customFormat="1" ht="14.4">
      <c r="A273" s="404"/>
      <c r="B273" s="404"/>
      <c r="C273" s="273"/>
      <c r="D273" s="1923"/>
      <c r="E273" s="1923"/>
      <c r="F273" s="1923"/>
      <c r="G273" s="130"/>
    </row>
    <row r="274" spans="1:7" s="39" customFormat="1" ht="14.4">
      <c r="A274" s="404"/>
      <c r="B274" s="404"/>
      <c r="C274" s="273"/>
      <c r="D274" s="1923"/>
      <c r="E274" s="1923"/>
      <c r="F274" s="1923"/>
      <c r="G274" s="130"/>
    </row>
    <row r="275" spans="1:7" s="39" customFormat="1" ht="14.4">
      <c r="A275" s="404"/>
      <c r="B275" s="404"/>
      <c r="C275" s="273"/>
      <c r="D275" s="498"/>
      <c r="E275" s="499"/>
      <c r="F275" s="499"/>
      <c r="G275" s="130"/>
    </row>
    <row r="276" spans="1:7" s="39" customFormat="1" ht="13.35" customHeight="1">
      <c r="A276" s="273"/>
      <c r="B276" s="680" t="s">
        <v>318</v>
      </c>
      <c r="C276" s="273"/>
      <c r="D276" s="1923" t="s">
        <v>1310</v>
      </c>
      <c r="E276" s="1923"/>
      <c r="F276" s="1923"/>
      <c r="G276" s="130"/>
    </row>
    <row r="277" spans="1:7" s="39" customFormat="1">
      <c r="A277" s="273"/>
      <c r="B277" s="273"/>
      <c r="C277" s="273"/>
      <c r="D277" s="1923"/>
      <c r="E277" s="1923"/>
      <c r="F277" s="1923"/>
      <c r="G277" s="130"/>
    </row>
    <row r="278" spans="1:7" s="39" customFormat="1" ht="14.4">
      <c r="A278" s="404"/>
      <c r="B278" s="404"/>
      <c r="C278" s="273"/>
      <c r="D278" s="498"/>
      <c r="E278" s="499"/>
      <c r="F278" s="499"/>
      <c r="G278" s="130"/>
    </row>
    <row r="279" spans="1:7">
      <c r="A279" s="273"/>
      <c r="B279" s="680" t="s">
        <v>318</v>
      </c>
      <c r="D279" s="1873" t="s">
        <v>1311</v>
      </c>
      <c r="E279" s="1873"/>
      <c r="F279" s="1873"/>
    </row>
    <row r="280" spans="1:7">
      <c r="E280" s="135"/>
      <c r="F280" s="135"/>
    </row>
    <row r="281" spans="1:7" ht="14.4">
      <c r="A281" s="261"/>
      <c r="B281" s="680" t="s">
        <v>318</v>
      </c>
      <c r="D281" s="1869" t="s">
        <v>1312</v>
      </c>
      <c r="E281" s="1869"/>
      <c r="F281" s="1869"/>
    </row>
    <row r="282" spans="1:7" ht="14.4">
      <c r="A282" s="261"/>
      <c r="B282" s="261"/>
      <c r="D282" s="1869"/>
      <c r="E282" s="1869"/>
      <c r="F282" s="1869"/>
    </row>
    <row r="283" spans="1:7" s="720" customFormat="1" ht="14.4">
      <c r="A283" s="715"/>
      <c r="B283" s="715"/>
      <c r="C283" s="732"/>
      <c r="D283" s="1869"/>
      <c r="E283" s="1869"/>
      <c r="F283" s="1869"/>
      <c r="G283" s="7"/>
    </row>
    <row r="284" spans="1:7" s="720" customFormat="1" ht="14.4">
      <c r="A284" s="715"/>
      <c r="B284" s="715"/>
      <c r="C284" s="732"/>
      <c r="D284" s="1869"/>
      <c r="E284" s="1869"/>
      <c r="F284" s="1869"/>
      <c r="G284" s="7"/>
    </row>
    <row r="285" spans="1:7" s="720" customFormat="1" ht="14.4">
      <c r="A285" s="715"/>
      <c r="B285" s="715"/>
      <c r="C285" s="732"/>
      <c r="D285" s="1869"/>
      <c r="E285" s="1869"/>
      <c r="F285" s="1869"/>
      <c r="G285" s="7"/>
    </row>
    <row r="286" spans="1:7" s="720" customFormat="1" ht="14.4">
      <c r="A286" s="715"/>
      <c r="B286" s="715"/>
      <c r="C286" s="732"/>
      <c r="D286" s="1869"/>
      <c r="E286" s="1869"/>
      <c r="F286" s="1869"/>
      <c r="G286" s="7"/>
    </row>
    <row r="287" spans="1:7" s="720" customFormat="1" ht="14.4">
      <c r="A287" s="715"/>
      <c r="B287" s="715"/>
      <c r="C287" s="732"/>
      <c r="D287" s="1869"/>
      <c r="E287" s="1869"/>
      <c r="F287" s="1869"/>
      <c r="G287" s="7"/>
    </row>
    <row r="288" spans="1:7" s="720" customFormat="1" ht="14.4">
      <c r="A288" s="715"/>
      <c r="B288" s="715"/>
      <c r="C288" s="732"/>
      <c r="D288" s="1869"/>
      <c r="E288" s="1869"/>
      <c r="F288" s="1869"/>
      <c r="G288" s="7"/>
    </row>
    <row r="289" spans="1:7" s="720" customFormat="1" ht="14.4">
      <c r="A289" s="715"/>
      <c r="B289" s="715"/>
      <c r="C289" s="732"/>
      <c r="D289" s="1869"/>
      <c r="E289" s="1869"/>
      <c r="F289" s="1869"/>
      <c r="G289" s="7"/>
    </row>
    <row r="290" spans="1:7" s="720" customFormat="1" ht="14.4">
      <c r="A290" s="715"/>
      <c r="B290" s="715"/>
      <c r="C290" s="732"/>
      <c r="D290" s="1869"/>
      <c r="E290" s="1869"/>
      <c r="F290" s="1869"/>
      <c r="G290" s="7"/>
    </row>
    <row r="291" spans="1:7" s="720" customFormat="1" ht="14.4">
      <c r="A291" s="715"/>
      <c r="B291" s="715"/>
      <c r="C291" s="732"/>
      <c r="D291" s="1869"/>
      <c r="E291" s="1869"/>
      <c r="F291" s="1869"/>
      <c r="G291" s="7"/>
    </row>
    <row r="292" spans="1:7" s="720" customFormat="1" ht="14.4">
      <c r="A292" s="715"/>
      <c r="B292" s="715"/>
      <c r="C292" s="732"/>
      <c r="D292" s="1869"/>
      <c r="E292" s="1869"/>
      <c r="F292" s="1869"/>
      <c r="G292" s="7"/>
    </row>
    <row r="293" spans="1:7" ht="14.4">
      <c r="A293" s="261"/>
      <c r="B293" s="261"/>
      <c r="D293" s="1869"/>
      <c r="E293" s="1869"/>
      <c r="F293" s="1869"/>
    </row>
    <row r="294" spans="1:7" ht="14.4">
      <c r="A294" s="261"/>
      <c r="B294" s="261"/>
      <c r="D294" s="1869"/>
      <c r="E294" s="1869"/>
      <c r="F294" s="1869"/>
    </row>
    <row r="295" spans="1:7" ht="14.4">
      <c r="A295" s="261"/>
      <c r="B295" s="261"/>
      <c r="D295" s="1869"/>
      <c r="E295" s="1869"/>
      <c r="F295" s="1869"/>
    </row>
    <row r="296" spans="1:7">
      <c r="D296" s="135"/>
      <c r="E296" s="135"/>
      <c r="F296" s="135"/>
    </row>
    <row r="297" spans="1:7" ht="14.4">
      <c r="A297" s="261"/>
      <c r="B297" s="680" t="s">
        <v>318</v>
      </c>
      <c r="D297" s="1869" t="s">
        <v>1313</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4">
      <c r="A307" s="261"/>
      <c r="B307" s="680" t="s">
        <v>318</v>
      </c>
      <c r="D307" s="1848" t="s">
        <v>1314</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8" thickBot="1">
      <c r="D314" s="1919" t="s">
        <v>1063</v>
      </c>
      <c r="E314" s="1919"/>
      <c r="F314" s="1919"/>
      <c r="G314" s="12"/>
    </row>
    <row r="315" spans="1:7" s="720" customFormat="1" ht="13.8" thickTop="1">
      <c r="A315" s="732"/>
      <c r="B315" s="732"/>
      <c r="C315" s="732"/>
      <c r="D315" s="1920" t="s">
        <v>1315</v>
      </c>
      <c r="E315" s="1920"/>
      <c r="F315" s="1920"/>
    </row>
    <row r="316" spans="1:7">
      <c r="A316" s="326"/>
      <c r="B316" s="326"/>
      <c r="C316" s="326"/>
      <c r="D316" s="468"/>
      <c r="E316" s="468"/>
      <c r="F316" s="135"/>
      <c r="G316" s="12"/>
    </row>
    <row r="317" spans="1:7" ht="14.4">
      <c r="A317" s="261"/>
      <c r="B317" s="680" t="s">
        <v>318</v>
      </c>
      <c r="C317" s="326"/>
      <c r="D317" s="1921" t="s">
        <v>1316</v>
      </c>
      <c r="E317" s="1921"/>
      <c r="F317" s="1921"/>
      <c r="G317" s="12"/>
    </row>
    <row r="318" spans="1:7">
      <c r="A318" s="326"/>
      <c r="B318" s="326"/>
      <c r="C318" s="326"/>
      <c r="D318" s="468"/>
      <c r="E318" s="468"/>
      <c r="F318" s="135"/>
      <c r="G318" s="12"/>
    </row>
    <row r="319" spans="1:7">
      <c r="A319" s="326"/>
      <c r="B319" s="680" t="s">
        <v>318</v>
      </c>
      <c r="C319" s="326"/>
      <c r="D319" s="1905" t="s">
        <v>1317</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20" customFormat="1">
      <c r="A323" s="326"/>
      <c r="B323" s="326"/>
      <c r="C323" s="326"/>
      <c r="D323" s="1905"/>
      <c r="E323" s="1905"/>
      <c r="F323" s="1905"/>
    </row>
    <row r="324" spans="1:7" s="720" customFormat="1">
      <c r="A324" s="326"/>
      <c r="B324" s="326"/>
      <c r="C324" s="326"/>
      <c r="D324" s="1905"/>
      <c r="E324" s="1905"/>
      <c r="F324" s="1905"/>
    </row>
    <row r="325" spans="1:7" s="720" customFormat="1">
      <c r="A325" s="326"/>
      <c r="B325" s="326"/>
      <c r="C325" s="326"/>
      <c r="D325" s="1905"/>
      <c r="E325" s="1905"/>
      <c r="F325" s="1905"/>
    </row>
    <row r="326" spans="1:7" s="720"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8"/>
      <c r="F330" s="135"/>
      <c r="G330" s="12"/>
    </row>
    <row r="331" spans="1:7" ht="14.4">
      <c r="A331" s="261"/>
      <c r="B331" s="680" t="s">
        <v>318</v>
      </c>
      <c r="C331" s="326"/>
      <c r="D331" s="1924" t="s">
        <v>1318</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6"/>
      <c r="E335" s="468"/>
      <c r="F335" s="135"/>
      <c r="G335" s="12"/>
    </row>
    <row r="336" spans="1:7">
      <c r="A336" s="326"/>
      <c r="B336" s="326"/>
      <c r="C336" s="326"/>
      <c r="D336" s="1924" t="s">
        <v>1319</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35" customHeight="1">
      <c r="A345" s="326"/>
      <c r="B345" s="326"/>
      <c r="C345" s="326"/>
      <c r="D345" s="1917" t="s">
        <v>1320</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20" customFormat="1">
      <c r="A348" s="326"/>
      <c r="B348" s="326"/>
      <c r="C348" s="326"/>
      <c r="D348" s="1917"/>
      <c r="E348" s="1917"/>
      <c r="F348" s="1917"/>
    </row>
    <row r="349" spans="1:7" s="720" customFormat="1">
      <c r="A349" s="326"/>
      <c r="B349" s="326"/>
      <c r="C349" s="326"/>
      <c r="D349" s="1917"/>
      <c r="E349" s="1917"/>
      <c r="F349" s="1917"/>
    </row>
    <row r="350" spans="1:7" s="720" customFormat="1">
      <c r="A350" s="326"/>
      <c r="B350" s="326"/>
      <c r="C350" s="326"/>
      <c r="D350" s="1917"/>
      <c r="E350" s="1917"/>
      <c r="F350" s="1917"/>
    </row>
    <row r="351" spans="1:7" s="720" customFormat="1">
      <c r="A351" s="326"/>
      <c r="B351" s="326"/>
      <c r="C351" s="326"/>
      <c r="D351" s="1917"/>
      <c r="E351" s="1917"/>
      <c r="F351" s="1917"/>
    </row>
    <row r="352" spans="1:7" s="720"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8"/>
      <c r="D357" s="1917"/>
      <c r="E357" s="1917"/>
      <c r="F357" s="1917"/>
      <c r="G357" s="12"/>
    </row>
    <row r="358" spans="1:7">
      <c r="A358" s="326"/>
      <c r="B358" s="326"/>
      <c r="C358" s="508"/>
      <c r="D358" s="1917"/>
      <c r="E358" s="1917"/>
      <c r="F358" s="1917"/>
      <c r="G358" s="12"/>
    </row>
    <row r="359" spans="1:7">
      <c r="A359" s="326"/>
      <c r="B359" s="326"/>
      <c r="C359" s="326"/>
      <c r="D359" s="1917"/>
      <c r="E359" s="1917"/>
      <c r="F359" s="1917"/>
      <c r="G359" s="12"/>
    </row>
    <row r="360" spans="1:7">
      <c r="A360" s="326"/>
      <c r="B360" s="326"/>
      <c r="C360" s="508"/>
      <c r="D360" s="1917"/>
      <c r="E360" s="1917"/>
      <c r="F360" s="1917"/>
      <c r="G360" s="12"/>
    </row>
    <row r="361" spans="1:7">
      <c r="A361" s="326"/>
      <c r="B361" s="326"/>
      <c r="C361" s="508"/>
      <c r="D361" s="1917"/>
      <c r="E361" s="1917"/>
      <c r="F361" s="1917"/>
      <c r="G361" s="12"/>
    </row>
    <row r="362" spans="1:7">
      <c r="A362" s="326"/>
      <c r="B362" s="326"/>
      <c r="C362" s="508"/>
      <c r="D362" s="1917"/>
      <c r="E362" s="1917"/>
      <c r="F362" s="1917"/>
      <c r="G362" s="12"/>
    </row>
    <row r="363" spans="1:7">
      <c r="A363" s="326"/>
      <c r="B363" s="326"/>
      <c r="C363" s="326"/>
      <c r="D363" s="506"/>
      <c r="E363" s="468"/>
      <c r="F363" s="135"/>
      <c r="G363" s="12"/>
    </row>
    <row r="364" spans="1:7">
      <c r="A364" s="326"/>
      <c r="B364" s="680" t="s">
        <v>318</v>
      </c>
      <c r="C364" s="326"/>
      <c r="D364" s="1917" t="s">
        <v>1321</v>
      </c>
      <c r="E364" s="1917"/>
      <c r="F364" s="1917"/>
      <c r="G364" s="12"/>
    </row>
    <row r="365" spans="1:7">
      <c r="A365" s="326"/>
      <c r="B365" s="326"/>
      <c r="C365" s="326"/>
      <c r="D365" s="1917"/>
      <c r="E365" s="1917"/>
      <c r="F365" s="1917"/>
      <c r="G365" s="12"/>
    </row>
    <row r="366" spans="1:7">
      <c r="A366" s="326"/>
      <c r="B366" s="326"/>
      <c r="C366" s="326"/>
      <c r="D366" s="468"/>
      <c r="E366" s="468"/>
      <c r="F366" s="135"/>
      <c r="G366" s="12"/>
    </row>
    <row r="367" spans="1:7" ht="14.4">
      <c r="A367" s="261"/>
      <c r="B367" s="680" t="s">
        <v>318</v>
      </c>
      <c r="C367" s="326"/>
      <c r="D367" s="1905" t="s">
        <v>1322</v>
      </c>
      <c r="E367" s="1905"/>
      <c r="F367" s="1905"/>
      <c r="G367" s="12"/>
    </row>
    <row r="368" spans="1:7" ht="14.4">
      <c r="A368" s="507"/>
      <c r="B368" s="507"/>
      <c r="C368" s="326"/>
      <c r="D368" s="1905"/>
      <c r="E368" s="1905"/>
      <c r="F368" s="1905"/>
      <c r="G368" s="12"/>
    </row>
    <row r="369" spans="1:7" ht="14.4">
      <c r="A369" s="507"/>
      <c r="B369" s="507"/>
      <c r="C369" s="326"/>
      <c r="D369" s="1905"/>
      <c r="E369" s="1905"/>
      <c r="F369" s="1905"/>
      <c r="G369" s="12"/>
    </row>
    <row r="370" spans="1:7" ht="14.4">
      <c r="A370" s="507"/>
      <c r="B370" s="507"/>
      <c r="C370" s="326"/>
      <c r="D370" s="1905"/>
      <c r="E370" s="1905"/>
      <c r="F370" s="1905"/>
      <c r="G370" s="12"/>
    </row>
    <row r="371" spans="1:7" ht="14.4">
      <c r="A371" s="507"/>
      <c r="B371" s="507"/>
      <c r="C371" s="326"/>
      <c r="D371" s="1905"/>
      <c r="E371" s="1905"/>
      <c r="F371" s="1905"/>
      <c r="G371" s="12"/>
    </row>
    <row r="372" spans="1:7">
      <c r="D372" s="135"/>
      <c r="E372" s="135"/>
      <c r="F372" s="135"/>
      <c r="G372" s="12"/>
    </row>
    <row r="373" spans="1:7" ht="14.4">
      <c r="A373" s="261"/>
      <c r="B373" s="680" t="s">
        <v>318</v>
      </c>
      <c r="C373" s="266"/>
      <c r="D373" s="1848" t="s">
        <v>1323</v>
      </c>
      <c r="E373" s="1848"/>
      <c r="F373" s="1848"/>
      <c r="G373" s="12"/>
    </row>
    <row r="374" spans="1:7" ht="14.4">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950000000000003" customHeight="1">
      <c r="A403" s="132"/>
      <c r="B403" s="677"/>
      <c r="C403" s="132"/>
      <c r="D403" s="1848"/>
      <c r="E403" s="1848"/>
      <c r="F403" s="1848"/>
      <c r="G403" s="30"/>
    </row>
    <row r="404" spans="1:7" s="32" customFormat="1">
      <c r="A404" s="132"/>
      <c r="B404" s="677"/>
      <c r="C404" s="132"/>
      <c r="D404" s="135"/>
      <c r="E404" s="135"/>
      <c r="F404" s="135"/>
      <c r="G404" s="30"/>
    </row>
    <row r="405" spans="1:7" ht="14.4">
      <c r="A405" s="261"/>
      <c r="B405" s="680" t="s">
        <v>318</v>
      </c>
      <c r="C405" s="266"/>
      <c r="D405" s="1873" t="s">
        <v>1324</v>
      </c>
      <c r="E405" s="1873"/>
      <c r="F405" s="1873"/>
    </row>
    <row r="406" spans="1:7">
      <c r="D406" s="1918" t="s">
        <v>1088</v>
      </c>
      <c r="E406" s="1918"/>
      <c r="F406" s="1918"/>
    </row>
    <row r="407" spans="1:7">
      <c r="D407" s="1869" t="s">
        <v>1325</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4">
      <c r="A412" s="261"/>
      <c r="B412" s="680" t="s">
        <v>318</v>
      </c>
      <c r="C412" s="266"/>
      <c r="D412" s="1848" t="s">
        <v>1326</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4">
      <c r="B416" s="680" t="s">
        <v>318</v>
      </c>
      <c r="C416" s="261"/>
      <c r="D416" s="1869" t="s">
        <v>1327</v>
      </c>
      <c r="E416" s="1869"/>
      <c r="F416" s="1869"/>
      <c r="G416" s="12"/>
    </row>
    <row r="417" spans="1:7">
      <c r="D417" s="1869"/>
      <c r="E417" s="1869"/>
      <c r="F417" s="1869"/>
      <c r="G417" s="12"/>
    </row>
    <row r="418" spans="1:7">
      <c r="D418" s="135"/>
      <c r="E418" s="135"/>
      <c r="F418" s="135"/>
      <c r="G418" s="12"/>
    </row>
    <row r="419" spans="1:7" ht="14.4">
      <c r="B419" s="680" t="s">
        <v>318</v>
      </c>
      <c r="C419" s="261"/>
      <c r="D419" s="1869" t="s">
        <v>1328</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318</v>
      </c>
      <c r="C430" s="12"/>
      <c r="D430" s="1869"/>
      <c r="E430" s="1869"/>
      <c r="F430" s="1869"/>
      <c r="G430" s="12"/>
    </row>
    <row r="431" spans="1:7">
      <c r="A431" s="12"/>
      <c r="B431" s="12"/>
      <c r="C431" s="12"/>
      <c r="D431" s="1869"/>
      <c r="E431" s="1869"/>
      <c r="F431" s="1869"/>
      <c r="G431" s="12"/>
    </row>
    <row r="432" spans="1:7">
      <c r="A432" s="12"/>
      <c r="B432" s="680" t="s">
        <v>318</v>
      </c>
      <c r="C432" s="12"/>
      <c r="D432" s="1869"/>
      <c r="E432" s="1869"/>
      <c r="F432" s="1869"/>
      <c r="G432" s="12"/>
    </row>
    <row r="433" spans="1:7" s="720" customFormat="1">
      <c r="D433" s="730"/>
      <c r="E433" s="730"/>
      <c r="F433" s="730"/>
    </row>
    <row r="434" spans="1:7">
      <c r="A434" s="12"/>
      <c r="B434" s="719" t="s">
        <v>318</v>
      </c>
      <c r="C434" s="12"/>
      <c r="D434" s="1869" t="s">
        <v>1329</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318</v>
      </c>
      <c r="D440" s="1880" t="s">
        <v>1330</v>
      </c>
      <c r="E440" s="1880"/>
      <c r="F440" s="1880"/>
    </row>
    <row r="441" spans="1:7">
      <c r="A441" s="135"/>
      <c r="B441" s="135"/>
    </row>
    <row r="442" spans="1:7">
      <c r="A442" s="1874" t="s">
        <v>1171</v>
      </c>
      <c r="B442" s="1874"/>
      <c r="C442" s="1874"/>
      <c r="D442" s="1874"/>
      <c r="E442" s="1874"/>
      <c r="F442" s="1874"/>
      <c r="G442" s="1874"/>
    </row>
    <row r="443" spans="1:7">
      <c r="A443" s="135"/>
      <c r="B443" s="135"/>
    </row>
    <row r="444" spans="1:7">
      <c r="D444" s="1925" t="s">
        <v>951</v>
      </c>
      <c r="E444" s="1925"/>
      <c r="F444" s="1925"/>
    </row>
    <row r="445" spans="1:7" s="39" customFormat="1" ht="14.4">
      <c r="A445" s="404"/>
      <c r="B445" s="404"/>
      <c r="C445" s="273"/>
      <c r="D445" s="1926" t="s">
        <v>1331</v>
      </c>
      <c r="E445" s="1926"/>
      <c r="F445" s="1926"/>
      <c r="G445" s="130"/>
    </row>
    <row r="446" spans="1:7" s="39" customFormat="1" ht="14.4">
      <c r="A446" s="404"/>
      <c r="B446" s="404"/>
      <c r="C446" s="273"/>
      <c r="D446" s="733"/>
      <c r="E446" s="6"/>
      <c r="F446" s="6"/>
      <c r="G446" s="130"/>
    </row>
    <row r="447" spans="1:7" s="39" customFormat="1" ht="14.4">
      <c r="A447" s="261"/>
      <c r="B447" s="680" t="s">
        <v>318</v>
      </c>
      <c r="C447" s="273"/>
      <c r="D447" s="1927" t="s">
        <v>1332</v>
      </c>
      <c r="E447" s="1927"/>
      <c r="F447" s="1927"/>
      <c r="G447" s="130"/>
    </row>
    <row r="448" spans="1:7" s="39" customFormat="1" ht="14.4">
      <c r="A448" s="261"/>
      <c r="B448" s="261"/>
      <c r="C448" s="273"/>
      <c r="D448" s="1927"/>
      <c r="E448" s="1927"/>
      <c r="F448" s="1927"/>
      <c r="G448" s="130"/>
    </row>
    <row r="449" spans="1:7" s="39" customFormat="1" ht="14.4">
      <c r="A449" s="261"/>
      <c r="B449" s="261"/>
      <c r="C449" s="273"/>
      <c r="D449" s="731"/>
      <c r="E449" s="6"/>
      <c r="F449" s="6"/>
      <c r="G449" s="130"/>
    </row>
    <row r="450" spans="1:7">
      <c r="B450" s="680" t="s">
        <v>318</v>
      </c>
      <c r="D450" s="1897" t="s">
        <v>1333</v>
      </c>
      <c r="E450" s="1897"/>
      <c r="F450" s="1897"/>
    </row>
    <row r="451" spans="1:7" ht="14.4">
      <c r="A451" s="261"/>
      <c r="D451" s="1897"/>
      <c r="E451" s="1897"/>
      <c r="F451" s="1897"/>
    </row>
    <row r="452" spans="1:7" ht="14.4">
      <c r="A452" s="261"/>
      <c r="B452" s="261"/>
      <c r="D452" s="1897"/>
      <c r="E452" s="1897"/>
      <c r="F452" s="1897"/>
    </row>
    <row r="453" spans="1:7" ht="14.4">
      <c r="A453" s="261"/>
      <c r="B453" s="261"/>
      <c r="D453" s="1897"/>
      <c r="E453" s="1897"/>
      <c r="F453" s="1897"/>
    </row>
    <row r="454" spans="1:7">
      <c r="D454" s="679"/>
      <c r="E454" s="679"/>
      <c r="F454" s="679"/>
      <c r="G454" s="12"/>
    </row>
    <row r="455" spans="1:7" ht="14.4">
      <c r="A455" s="261"/>
      <c r="B455" s="680" t="s">
        <v>318</v>
      </c>
      <c r="D455" s="1850" t="s">
        <v>1334</v>
      </c>
      <c r="E455" s="1850"/>
      <c r="F455" s="1850"/>
      <c r="G455" s="12"/>
    </row>
    <row r="456" spans="1:7" ht="14.4">
      <c r="A456" s="261"/>
      <c r="B456" s="261"/>
      <c r="D456" s="1850"/>
      <c r="E456" s="1850"/>
      <c r="F456" s="1850"/>
      <c r="G456" s="12"/>
    </row>
    <row r="457" spans="1:7" ht="14.4">
      <c r="A457" s="261"/>
      <c r="D457" s="1850"/>
      <c r="E457" s="1850"/>
      <c r="F457" s="1850"/>
      <c r="G457" s="12"/>
    </row>
    <row r="458" spans="1:7" ht="14.4">
      <c r="A458" s="261"/>
      <c r="B458" s="261"/>
      <c r="D458" s="679"/>
      <c r="E458" s="679"/>
      <c r="F458" s="679"/>
      <c r="G458" s="12"/>
    </row>
    <row r="459" spans="1:7" ht="14.4">
      <c r="A459" s="261"/>
      <c r="B459" s="719" t="s">
        <v>318</v>
      </c>
      <c r="D459" s="1873" t="s">
        <v>1335</v>
      </c>
      <c r="E459" s="1873"/>
      <c r="F459" s="1873"/>
      <c r="G459" s="12"/>
    </row>
    <row r="460" spans="1:7" ht="14.4">
      <c r="A460" s="261"/>
      <c r="B460" s="261"/>
      <c r="D460" s="731"/>
      <c r="E460" s="6"/>
      <c r="F460" s="6"/>
      <c r="G460" s="12"/>
    </row>
    <row r="461" spans="1:7" ht="14.4">
      <c r="A461" s="261"/>
      <c r="B461" s="680" t="s">
        <v>318</v>
      </c>
      <c r="D461" s="1848" t="s">
        <v>1336</v>
      </c>
      <c r="E461" s="1848"/>
      <c r="F461" s="1848"/>
      <c r="G461" s="12"/>
    </row>
    <row r="462" spans="1:7" ht="14.4">
      <c r="A462" s="261"/>
      <c r="D462" s="1848"/>
      <c r="E462" s="1848"/>
      <c r="F462" s="1848"/>
      <c r="G462" s="12"/>
    </row>
    <row r="463" spans="1:7">
      <c r="A463" s="23"/>
      <c r="B463" s="676"/>
      <c r="D463" s="734"/>
      <c r="E463" s="6"/>
      <c r="F463" s="6"/>
      <c r="G463" s="12"/>
    </row>
    <row r="464" spans="1:7">
      <c r="A464" s="23"/>
      <c r="B464" s="719" t="s">
        <v>318</v>
      </c>
      <c r="D464" s="1873" t="s">
        <v>1337</v>
      </c>
      <c r="E464" s="1873"/>
      <c r="F464" s="1873"/>
      <c r="G464" s="12"/>
    </row>
    <row r="465" spans="1:7" ht="14.4">
      <c r="A465" s="261"/>
      <c r="B465" s="261"/>
      <c r="D465" s="135"/>
    </row>
    <row r="466" spans="1:7">
      <c r="A466" s="1874" t="s">
        <v>1172</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854</v>
      </c>
      <c r="E468" s="1928"/>
      <c r="F468" s="1928"/>
      <c r="G468" s="182"/>
    </row>
    <row r="469" spans="1:7" customFormat="1" ht="13.35" customHeight="1">
      <c r="A469" s="260"/>
      <c r="B469" s="260"/>
      <c r="C469" s="314"/>
      <c r="D469" s="1929" t="s">
        <v>1215</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2"/>
      <c r="E474" s="149"/>
      <c r="F474" s="151"/>
      <c r="G474" s="149"/>
    </row>
    <row r="475" spans="1:7" customFormat="1" ht="14.7" customHeight="1">
      <c r="A475" s="261"/>
      <c r="B475" s="680" t="s">
        <v>318</v>
      </c>
      <c r="C475" s="314"/>
      <c r="D475" s="1895" t="s">
        <v>1206</v>
      </c>
      <c r="E475" s="1895"/>
      <c r="F475" s="1895"/>
      <c r="G475" s="149"/>
    </row>
    <row r="476" spans="1:7" customFormat="1">
      <c r="A476" s="260"/>
      <c r="B476" s="260"/>
      <c r="C476" s="314"/>
      <c r="D476" s="1895"/>
      <c r="E476" s="1895"/>
      <c r="F476" s="1895"/>
      <c r="G476" s="149"/>
    </row>
    <row r="477" spans="1:7" s="681" customFormat="1">
      <c r="A477" s="260"/>
      <c r="B477" s="260"/>
      <c r="C477" s="314"/>
      <c r="D477" s="1895"/>
      <c r="E477" s="1895"/>
      <c r="F477" s="1895"/>
      <c r="G477" s="149"/>
    </row>
    <row r="478" spans="1:7" s="681"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4"/>
      <c r="E480" s="149"/>
      <c r="F480" s="151"/>
      <c r="G480" s="149"/>
    </row>
    <row r="481" spans="1:7" customFormat="1" ht="14.7" customHeight="1">
      <c r="A481" s="261"/>
      <c r="B481" s="680" t="s">
        <v>318</v>
      </c>
      <c r="C481" s="314"/>
      <c r="D481" s="1895" t="s">
        <v>1209</v>
      </c>
      <c r="E481" s="1895"/>
      <c r="F481" s="1895"/>
      <c r="G481" s="149"/>
    </row>
    <row r="482" spans="1:7" customFormat="1">
      <c r="A482" s="260"/>
      <c r="B482" s="260"/>
      <c r="C482" s="314"/>
      <c r="D482" s="1895"/>
      <c r="E482" s="1895"/>
      <c r="F482" s="1895"/>
      <c r="G482" s="149"/>
    </row>
    <row r="483" spans="1:7" s="681" customFormat="1">
      <c r="A483" s="260"/>
      <c r="B483" s="260"/>
      <c r="C483" s="314"/>
      <c r="D483" s="1895"/>
      <c r="E483" s="1895"/>
      <c r="F483" s="1895"/>
      <c r="G483" s="149"/>
    </row>
    <row r="484" spans="1:7" customFormat="1">
      <c r="A484" s="260"/>
      <c r="B484" s="260"/>
      <c r="C484" s="314"/>
      <c r="D484" s="1895"/>
      <c r="E484" s="1895"/>
      <c r="F484" s="1895"/>
      <c r="G484" s="149"/>
    </row>
    <row r="485" spans="1:7" customFormat="1" ht="10.199999999999999" customHeight="1">
      <c r="A485" s="260"/>
      <c r="B485" s="260"/>
      <c r="C485" s="314"/>
      <c r="D485" s="444"/>
      <c r="E485" s="149"/>
      <c r="F485" s="151"/>
      <c r="G485" s="149"/>
    </row>
    <row r="486" spans="1:7" customFormat="1" ht="14.7" customHeight="1">
      <c r="A486" s="261"/>
      <c r="B486" s="680" t="s">
        <v>318</v>
      </c>
      <c r="C486" s="314"/>
      <c r="D486" s="1895" t="s">
        <v>1207</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1" customFormat="1">
      <c r="A489" s="260"/>
      <c r="B489" s="260"/>
      <c r="C489" s="314"/>
      <c r="D489" s="701"/>
      <c r="E489" s="701"/>
      <c r="F489" s="701"/>
      <c r="G489" s="149"/>
    </row>
    <row r="490" spans="1:7" customFormat="1" ht="14.7" customHeight="1">
      <c r="A490" s="261"/>
      <c r="B490" s="680" t="s">
        <v>318</v>
      </c>
      <c r="C490" s="314"/>
      <c r="D490" s="1895" t="s">
        <v>1208</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8"/>
      <c r="B497" s="488"/>
      <c r="C497" s="487"/>
      <c r="D497" s="1895"/>
      <c r="E497" s="1895"/>
      <c r="F497" s="1895"/>
      <c r="G497" s="149"/>
    </row>
    <row r="498" spans="1:7" customFormat="1">
      <c r="A498" s="488"/>
      <c r="B498" s="488"/>
      <c r="C498" s="487"/>
      <c r="D498" s="1895"/>
      <c r="E498" s="1895"/>
      <c r="F498" s="1895"/>
      <c r="G498" s="149"/>
    </row>
    <row r="499" spans="1:7" customFormat="1">
      <c r="A499" s="488"/>
      <c r="B499" s="488"/>
      <c r="C499" s="487"/>
      <c r="D499" s="444"/>
      <c r="E499" s="149"/>
      <c r="F499" s="151"/>
      <c r="G499" s="149"/>
    </row>
    <row r="500" spans="1:7" customFormat="1" ht="13.35" customHeight="1">
      <c r="A500" s="488"/>
      <c r="B500" s="680" t="s">
        <v>318</v>
      </c>
      <c r="C500" s="487"/>
      <c r="D500" s="1908" t="s">
        <v>1352</v>
      </c>
      <c r="E500" s="1908"/>
      <c r="F500" s="1908"/>
      <c r="G500" s="149"/>
    </row>
    <row r="501" spans="1:7" customFormat="1">
      <c r="A501" s="488"/>
      <c r="B501" s="488"/>
      <c r="C501" s="487"/>
      <c r="D501" s="1908"/>
      <c r="E501" s="1908"/>
      <c r="F501" s="1908"/>
      <c r="G501" s="149"/>
    </row>
    <row r="502" spans="1:7" customFormat="1">
      <c r="A502" s="488"/>
      <c r="B502" s="488"/>
      <c r="C502" s="487"/>
      <c r="D502" s="1908"/>
      <c r="E502" s="1908"/>
      <c r="F502" s="1908"/>
      <c r="G502" s="149"/>
    </row>
    <row r="503" spans="1:7" customFormat="1">
      <c r="A503" s="488"/>
      <c r="B503" s="488"/>
      <c r="C503" s="487"/>
      <c r="D503" s="1908"/>
      <c r="E503" s="1908"/>
      <c r="F503" s="1908"/>
      <c r="G503" s="149"/>
    </row>
    <row r="504" spans="1:7" customFormat="1">
      <c r="A504" s="260"/>
      <c r="B504" s="260"/>
      <c r="C504" s="314"/>
      <c r="D504" s="1908"/>
      <c r="E504" s="1908"/>
      <c r="F504" s="1908"/>
      <c r="G504" s="149"/>
    </row>
    <row r="505" spans="1:7" s="718" customFormat="1">
      <c r="A505" s="721"/>
      <c r="B505" s="721"/>
      <c r="C505" s="314"/>
      <c r="D505" s="742"/>
      <c r="E505" s="742"/>
      <c r="F505" s="742"/>
      <c r="G505" s="149"/>
    </row>
    <row r="506" spans="1:7" customFormat="1" ht="14.7" customHeight="1">
      <c r="A506" s="261"/>
      <c r="B506" s="680" t="s">
        <v>318</v>
      </c>
      <c r="C506" s="10"/>
      <c r="D506" s="1895" t="s">
        <v>1210</v>
      </c>
      <c r="E506" s="1895"/>
      <c r="F506" s="1895"/>
      <c r="G506" s="149"/>
    </row>
    <row r="507" spans="1:7" customFormat="1">
      <c r="A507" s="132"/>
      <c r="B507" s="677"/>
      <c r="C507" s="10"/>
      <c r="D507" s="1895"/>
      <c r="E507" s="1895"/>
      <c r="F507" s="1895"/>
      <c r="G507" s="149"/>
    </row>
    <row r="508" spans="1:7" customFormat="1">
      <c r="A508" s="132"/>
      <c r="B508" s="677"/>
      <c r="C508" s="10"/>
      <c r="D508" s="1895"/>
      <c r="E508" s="1895"/>
      <c r="F508" s="1895"/>
      <c r="G508" s="149"/>
    </row>
    <row r="509" spans="1:7" customFormat="1" ht="12" customHeight="1">
      <c r="A509" s="135"/>
      <c r="B509" s="135"/>
      <c r="C509" s="316"/>
      <c r="D509" s="135"/>
      <c r="E509" s="149"/>
      <c r="F509" s="315"/>
      <c r="G509" s="149"/>
    </row>
    <row r="510" spans="1:7">
      <c r="A510" s="1874" t="s">
        <v>1173</v>
      </c>
      <c r="B510" s="1874"/>
      <c r="C510" s="1874"/>
      <c r="D510" s="1874"/>
      <c r="E510" s="1874"/>
      <c r="F510" s="1874"/>
      <c r="G510" s="1874"/>
    </row>
    <row r="511" spans="1:7">
      <c r="A511" s="135"/>
      <c r="B511" s="135"/>
      <c r="C511" s="266"/>
      <c r="F511" s="134"/>
    </row>
    <row r="512" spans="1:7">
      <c r="B512" s="1870" t="s">
        <v>471</v>
      </c>
      <c r="C512" s="1870"/>
      <c r="D512" s="1870"/>
      <c r="E512" s="1870"/>
      <c r="F512" s="1870"/>
    </row>
    <row r="513" spans="1:7">
      <c r="A513" s="135"/>
      <c r="B513" s="135"/>
      <c r="C513" s="266"/>
      <c r="D513" s="135"/>
      <c r="F513" s="135"/>
    </row>
    <row r="514" spans="1:7">
      <c r="A514" s="1875" t="s">
        <v>1174</v>
      </c>
      <c r="B514" s="1875"/>
      <c r="C514" s="1875"/>
      <c r="D514" s="1875"/>
      <c r="E514" s="1875"/>
      <c r="F514" s="1875"/>
      <c r="G514" s="1875"/>
    </row>
    <row r="515" spans="1:7">
      <c r="A515" s="135"/>
      <c r="B515" s="135"/>
      <c r="C515" s="266"/>
      <c r="D515" s="135"/>
      <c r="F515" s="135"/>
    </row>
    <row r="516" spans="1:7">
      <c r="C516" s="266"/>
      <c r="D516" s="1872" t="s">
        <v>721</v>
      </c>
      <c r="E516" s="1872"/>
      <c r="F516" s="1872"/>
    </row>
    <row r="517" spans="1:7" s="683" customFormat="1">
      <c r="A517" s="700"/>
      <c r="B517" s="700"/>
      <c r="C517" s="266"/>
      <c r="D517" s="1873" t="s">
        <v>1231</v>
      </c>
      <c r="E517" s="1873"/>
      <c r="F517" s="1873"/>
      <c r="G517" s="7"/>
    </row>
    <row r="518" spans="1:7" s="683" customFormat="1">
      <c r="A518" s="700"/>
      <c r="B518" s="700"/>
      <c r="C518" s="266"/>
      <c r="D518" s="705"/>
      <c r="E518" s="705"/>
      <c r="F518" s="705"/>
      <c r="G518" s="7"/>
    </row>
    <row r="519" spans="1:7" ht="13.35" customHeight="1">
      <c r="A519" s="261"/>
      <c r="B519" s="680" t="s">
        <v>318</v>
      </c>
      <c r="C519" s="266"/>
      <c r="D519" s="1873" t="s">
        <v>952</v>
      </c>
      <c r="E519" s="1873"/>
      <c r="F519" s="1873"/>
      <c r="G519" s="12"/>
    </row>
    <row r="520" spans="1:7" ht="13.35" customHeight="1">
      <c r="A520" s="266"/>
      <c r="B520" s="266"/>
      <c r="C520" s="266"/>
      <c r="D520" s="705"/>
      <c r="E520" s="678"/>
      <c r="F520" s="678"/>
      <c r="G520" s="12"/>
    </row>
    <row r="521" spans="1:7" ht="14.4">
      <c r="A521" s="261"/>
      <c r="B521" s="680" t="s">
        <v>318</v>
      </c>
      <c r="C521" s="266"/>
      <c r="D521" s="1848" t="s">
        <v>1232</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4">
      <c r="A524" s="261"/>
      <c r="B524" s="680" t="s">
        <v>318</v>
      </c>
      <c r="C524" s="266"/>
      <c r="D524" s="1848" t="s">
        <v>1233</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4">
      <c r="A527" s="261"/>
      <c r="B527" s="680" t="s">
        <v>318</v>
      </c>
      <c r="C527" s="266"/>
      <c r="D527" s="1848" t="s">
        <v>1234</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4">
      <c r="A530" s="261"/>
      <c r="B530" s="680" t="s">
        <v>318</v>
      </c>
      <c r="C530" s="266"/>
      <c r="D530" s="1848" t="s">
        <v>1235</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4">
      <c r="A534" s="261"/>
      <c r="B534" s="680" t="s">
        <v>318</v>
      </c>
      <c r="C534" s="266"/>
      <c r="D534" s="1871" t="s">
        <v>1353</v>
      </c>
      <c r="E534" s="1871"/>
      <c r="F534" s="1871"/>
    </row>
    <row r="535" spans="1:7">
      <c r="A535" s="266"/>
      <c r="B535" s="266"/>
      <c r="C535" s="266"/>
      <c r="D535" s="1871"/>
      <c r="E535" s="1871"/>
      <c r="F535" s="1871"/>
    </row>
    <row r="536" spans="1:7">
      <c r="A536" s="266"/>
      <c r="B536" s="266"/>
      <c r="C536" s="266"/>
      <c r="D536" s="135"/>
      <c r="E536" s="135"/>
      <c r="F536" s="135"/>
    </row>
    <row r="537" spans="1:7" ht="14.4">
      <c r="A537" s="261"/>
      <c r="B537" s="680" t="s">
        <v>318</v>
      </c>
      <c r="C537" s="266"/>
      <c r="D537" s="1871" t="s">
        <v>1236</v>
      </c>
      <c r="E537" s="1871"/>
      <c r="F537" s="1871"/>
    </row>
    <row r="538" spans="1:7">
      <c r="A538" s="266"/>
      <c r="B538" s="266"/>
      <c r="C538" s="266"/>
      <c r="D538" s="1871"/>
      <c r="E538" s="1871"/>
      <c r="F538" s="1871"/>
    </row>
    <row r="539" spans="1:7">
      <c r="A539" s="266"/>
      <c r="B539" s="266"/>
      <c r="C539" s="266"/>
      <c r="D539" s="135"/>
      <c r="E539" s="135"/>
      <c r="F539" s="135"/>
    </row>
    <row r="540" spans="1:7" ht="14.4">
      <c r="A540" s="261"/>
      <c r="B540" s="680" t="s">
        <v>318</v>
      </c>
      <c r="C540" s="266"/>
      <c r="D540" s="1848" t="s">
        <v>1237</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4">
      <c r="A543" s="261"/>
      <c r="B543" s="680" t="s">
        <v>318</v>
      </c>
      <c r="C543" s="266"/>
      <c r="D543" s="1873" t="s">
        <v>1238</v>
      </c>
      <c r="E543" s="1873"/>
      <c r="F543" s="1873"/>
      <c r="G543" s="57"/>
    </row>
    <row r="544" spans="1:7">
      <c r="A544" s="23"/>
      <c r="B544" s="676"/>
      <c r="C544" s="266"/>
      <c r="D544" s="1873" t="s">
        <v>884</v>
      </c>
      <c r="E544" s="1873"/>
      <c r="F544" s="1873"/>
      <c r="G544" s="57"/>
    </row>
    <row r="545" spans="1:7">
      <c r="A545" s="23"/>
      <c r="B545" s="676"/>
      <c r="C545" s="266"/>
      <c r="D545" s="6"/>
      <c r="E545" s="1878" t="s">
        <v>1239</v>
      </c>
      <c r="F545" s="1878"/>
      <c r="G545" s="57"/>
    </row>
    <row r="546" spans="1:7" ht="14.4">
      <c r="A546" s="261"/>
      <c r="B546" s="261"/>
      <c r="C546" s="266"/>
      <c r="E546" s="135"/>
      <c r="F546" s="135"/>
      <c r="G546" s="57"/>
    </row>
    <row r="547" spans="1:7" ht="14.4">
      <c r="A547" s="261"/>
      <c r="B547" s="680" t="s">
        <v>318</v>
      </c>
      <c r="C547" s="266"/>
      <c r="D547" s="1879" t="s">
        <v>1240</v>
      </c>
      <c r="E547" s="1879"/>
      <c r="F547" s="1879"/>
      <c r="G547" s="57"/>
    </row>
    <row r="548" spans="1:7">
      <c r="C548" s="266"/>
      <c r="D548" s="1848" t="s">
        <v>1241</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4">
      <c r="A552" s="261"/>
      <c r="B552" s="680" t="s">
        <v>318</v>
      </c>
      <c r="C552" s="266"/>
      <c r="D552" s="1848" t="s">
        <v>1242</v>
      </c>
      <c r="E552" s="1848"/>
      <c r="F552" s="1848"/>
      <c r="G552" s="57"/>
    </row>
    <row r="553" spans="1:7" ht="14.4">
      <c r="A553" s="261"/>
      <c r="B553" s="261"/>
      <c r="C553" s="266"/>
      <c r="D553" s="1848"/>
      <c r="E553" s="1848"/>
      <c r="F553" s="1848"/>
      <c r="G553" s="57"/>
    </row>
    <row r="554" spans="1:7" ht="14.4">
      <c r="A554" s="261"/>
      <c r="B554" s="261"/>
      <c r="C554" s="266"/>
      <c r="D554" s="1848"/>
      <c r="E554" s="1848"/>
      <c r="F554" s="1848"/>
      <c r="G554" s="57"/>
    </row>
    <row r="555" spans="1:7" ht="14.4">
      <c r="A555" s="261"/>
      <c r="B555" s="261"/>
      <c r="C555" s="266"/>
      <c r="D555" s="1848"/>
      <c r="E555" s="1848"/>
      <c r="F555" s="1848"/>
      <c r="G555" s="57"/>
    </row>
    <row r="556" spans="1:7" ht="14.4">
      <c r="A556" s="261"/>
      <c r="B556" s="261"/>
      <c r="C556" s="266"/>
      <c r="D556" s="135"/>
      <c r="E556" s="135"/>
      <c r="F556" s="135"/>
      <c r="G556" s="57"/>
    </row>
    <row r="557" spans="1:7">
      <c r="A557" s="1874" t="s">
        <v>1175</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958</v>
      </c>
      <c r="E562" s="1896"/>
      <c r="F562" s="1896"/>
      <c r="G562" s="57"/>
    </row>
    <row r="563" spans="1:7">
      <c r="A563" s="23"/>
      <c r="B563" s="676"/>
      <c r="D563" s="326"/>
    </row>
    <row r="564" spans="1:7">
      <c r="A564" s="23"/>
      <c r="B564" s="680" t="s">
        <v>318</v>
      </c>
      <c r="D564" s="1897" t="s">
        <v>1192</v>
      </c>
      <c r="E564" s="1897"/>
      <c r="F564" s="1897"/>
    </row>
    <row r="565" spans="1:7">
      <c r="A565" s="23"/>
      <c r="B565" s="676"/>
      <c r="D565" s="1897"/>
      <c r="E565" s="1897"/>
      <c r="F565" s="1897"/>
    </row>
    <row r="566" spans="1:7">
      <c r="A566" s="23"/>
      <c r="B566" s="689"/>
      <c r="D566" s="1897"/>
      <c r="E566" s="1897"/>
      <c r="F566" s="1897"/>
    </row>
    <row r="567" spans="1:7">
      <c r="A567" s="23"/>
      <c r="B567" s="676"/>
      <c r="D567" s="479"/>
    </row>
    <row r="568" spans="1:7" s="683" customFormat="1">
      <c r="A568" s="689"/>
      <c r="B568" s="680" t="s">
        <v>318</v>
      </c>
      <c r="C568" s="690"/>
      <c r="D568" s="1897" t="s">
        <v>1193</v>
      </c>
      <c r="E568" s="1897"/>
      <c r="F568" s="1897"/>
      <c r="G568" s="7"/>
    </row>
    <row r="569" spans="1:7" s="683" customFormat="1">
      <c r="A569" s="689"/>
      <c r="B569" s="689"/>
      <c r="C569" s="690"/>
      <c r="D569" s="1897"/>
      <c r="E569" s="1897"/>
      <c r="F569" s="1897"/>
      <c r="G569" s="7"/>
    </row>
    <row r="570" spans="1:7" s="683" customFormat="1">
      <c r="A570" s="689"/>
      <c r="B570" s="689"/>
      <c r="C570" s="690"/>
      <c r="D570" s="1897"/>
      <c r="E570" s="1897"/>
      <c r="F570" s="1897"/>
      <c r="G570" s="7"/>
    </row>
    <row r="571" spans="1:7" s="683" customFormat="1">
      <c r="A571" s="689"/>
      <c r="B571" s="689"/>
      <c r="C571" s="690"/>
      <c r="D571" s="1897"/>
      <c r="E571" s="1897"/>
      <c r="F571" s="1897"/>
      <c r="G571" s="7"/>
    </row>
    <row r="572" spans="1:7" s="683" customFormat="1">
      <c r="A572" s="689"/>
      <c r="B572" s="689"/>
      <c r="C572" s="690"/>
      <c r="D572" s="695"/>
      <c r="E572" s="695"/>
      <c r="F572" s="695"/>
      <c r="G572" s="7"/>
    </row>
    <row r="573" spans="1:7">
      <c r="A573" s="23"/>
      <c r="B573" s="680" t="s">
        <v>318</v>
      </c>
      <c r="D573" s="1897" t="s">
        <v>1194</v>
      </c>
      <c r="E573" s="1897"/>
      <c r="F573" s="1897"/>
    </row>
    <row r="574" spans="1:7">
      <c r="A574" s="23"/>
      <c r="B574" s="676"/>
      <c r="D574" s="1897"/>
      <c r="E574" s="1897"/>
      <c r="F574" s="1897"/>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4">
      <c r="A579" s="261"/>
      <c r="B579" s="680" t="s">
        <v>318</v>
      </c>
      <c r="D579" s="1896" t="s">
        <v>953</v>
      </c>
      <c r="E579" s="1896"/>
      <c r="F579" s="1896"/>
    </row>
    <row r="580" spans="1:7" ht="14.4">
      <c r="A580" s="261"/>
      <c r="B580" s="261"/>
      <c r="D580" s="378"/>
    </row>
    <row r="581" spans="1:7" ht="14.4">
      <c r="A581" s="261"/>
      <c r="B581" s="680" t="s">
        <v>318</v>
      </c>
      <c r="D581" s="1896" t="s">
        <v>1196</v>
      </c>
      <c r="E581" s="1896"/>
      <c r="F581" s="1896"/>
    </row>
    <row r="582" spans="1:7" ht="14.4">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4" t="s">
        <v>1176</v>
      </c>
      <c r="B588" s="1874"/>
      <c r="C588" s="1874"/>
      <c r="D588" s="1874"/>
      <c r="E588" s="1874"/>
      <c r="F588" s="1874"/>
      <c r="G588" s="1874"/>
    </row>
    <row r="589" spans="1:7"/>
    <row r="590" spans="1:7">
      <c r="D590" s="1864" t="s">
        <v>1276</v>
      </c>
      <c r="E590" s="1864"/>
      <c r="F590" s="1864"/>
    </row>
    <row r="591" spans="1:7">
      <c r="D591" s="1865" t="s">
        <v>1277</v>
      </c>
      <c r="E591" s="1865"/>
      <c r="F591" s="1865"/>
    </row>
    <row r="592" spans="1:7" s="720" customFormat="1">
      <c r="A592" s="706"/>
      <c r="B592" s="706"/>
      <c r="C592" s="706"/>
      <c r="D592" s="724"/>
      <c r="E592" s="723"/>
      <c r="F592" s="723"/>
      <c r="G592" s="7"/>
    </row>
    <row r="593" spans="1:7" s="39" customFormat="1" ht="14.4">
      <c r="A593" s="404"/>
      <c r="B593" s="680" t="s">
        <v>318</v>
      </c>
      <c r="C593" s="273"/>
      <c r="D593" s="1866" t="s">
        <v>1278</v>
      </c>
      <c r="E593" s="1866"/>
      <c r="F593" s="1866"/>
      <c r="G593" s="130"/>
    </row>
    <row r="594" spans="1:7">
      <c r="D594" s="1866"/>
      <c r="E594" s="1866"/>
      <c r="F594" s="1866"/>
    </row>
    <row r="595" spans="1:7">
      <c r="D595" s="1866"/>
      <c r="E595" s="1866"/>
      <c r="F595" s="1866"/>
    </row>
    <row r="596" spans="1:7"/>
    <row r="597" spans="1:7">
      <c r="A597" s="1874" t="s">
        <v>1177</v>
      </c>
      <c r="B597" s="1874"/>
      <c r="C597" s="1874"/>
      <c r="D597" s="1874"/>
      <c r="E597" s="1874"/>
      <c r="F597" s="1874"/>
      <c r="G597" s="1874"/>
    </row>
    <row r="598" spans="1:7">
      <c r="A598" s="135"/>
      <c r="B598" s="135"/>
      <c r="G598" s="57"/>
    </row>
    <row r="599" spans="1:7">
      <c r="A599" s="257"/>
      <c r="B599" s="675"/>
      <c r="C599" s="255"/>
      <c r="D599" s="1867" t="s">
        <v>1279</v>
      </c>
      <c r="E599" s="1867"/>
      <c r="F599" s="1867"/>
      <c r="G599" s="57"/>
    </row>
    <row r="600" spans="1:7">
      <c r="A600" s="257"/>
      <c r="B600" s="675"/>
      <c r="C600" s="255"/>
      <c r="D600" s="1867"/>
      <c r="E600" s="1867"/>
      <c r="F600" s="1867"/>
      <c r="G600" s="57"/>
    </row>
    <row r="601" spans="1:7">
      <c r="C601" s="260"/>
      <c r="D601" s="1865" t="s">
        <v>1280</v>
      </c>
      <c r="E601" s="1865"/>
      <c r="F601" s="1865"/>
      <c r="G601" s="57"/>
    </row>
    <row r="602" spans="1:7" s="720" customFormat="1">
      <c r="A602" s="706"/>
      <c r="B602" s="706"/>
      <c r="C602" s="721"/>
      <c r="D602" s="725"/>
      <c r="E602" s="725"/>
      <c r="F602" s="725"/>
      <c r="G602" s="57"/>
    </row>
    <row r="603" spans="1:7">
      <c r="A603" s="23"/>
      <c r="B603" s="680" t="s">
        <v>318</v>
      </c>
      <c r="D603" s="1865" t="s">
        <v>455</v>
      </c>
      <c r="E603" s="1865"/>
      <c r="F603" s="1865"/>
      <c r="G603" s="57"/>
    </row>
    <row r="604" spans="1:7">
      <c r="C604" s="268"/>
      <c r="E604" s="12"/>
      <c r="G604" s="57"/>
    </row>
    <row r="605" spans="1:7">
      <c r="A605" s="23"/>
      <c r="B605" s="680" t="s">
        <v>318</v>
      </c>
      <c r="D605" s="1868" t="s">
        <v>1281</v>
      </c>
      <c r="E605" s="1868"/>
      <c r="F605" s="1868"/>
      <c r="G605" s="57"/>
    </row>
    <row r="606" spans="1:7">
      <c r="D606" s="1868"/>
      <c r="E606" s="1868"/>
      <c r="F606" s="1868"/>
      <c r="G606" s="57"/>
    </row>
    <row r="607" spans="1:7">
      <c r="D607" s="12"/>
      <c r="G607" s="57"/>
    </row>
    <row r="608" spans="1:7">
      <c r="B608" s="680" t="s">
        <v>318</v>
      </c>
      <c r="D608" s="1868" t="s">
        <v>1282</v>
      </c>
      <c r="E608" s="1868"/>
      <c r="F608" s="1868"/>
      <c r="G608" s="57"/>
    </row>
    <row r="609" spans="1:7">
      <c r="C609" s="268"/>
      <c r="D609" s="1868"/>
      <c r="E609" s="1868"/>
      <c r="F609" s="1868"/>
      <c r="G609" s="57"/>
    </row>
    <row r="610" spans="1:7">
      <c r="C610" s="268"/>
      <c r="G610" s="57"/>
    </row>
    <row r="611" spans="1:7">
      <c r="B611" s="680" t="s">
        <v>318</v>
      </c>
      <c r="C611" s="268"/>
      <c r="D611" s="1868" t="s">
        <v>1283</v>
      </c>
      <c r="E611" s="1868"/>
      <c r="F611" s="1868"/>
      <c r="G611" s="57"/>
    </row>
    <row r="612" spans="1:7">
      <c r="C612" s="268"/>
      <c r="D612" s="1868"/>
      <c r="E612" s="1868"/>
      <c r="F612" s="1868"/>
      <c r="G612" s="57"/>
    </row>
    <row r="613" spans="1:7">
      <c r="C613" s="268"/>
      <c r="G613" s="57"/>
    </row>
    <row r="614" spans="1:7">
      <c r="A614" s="1874" t="s">
        <v>1178</v>
      </c>
      <c r="B614" s="1874"/>
      <c r="C614" s="1874"/>
      <c r="D614" s="1874"/>
      <c r="E614" s="1874"/>
      <c r="F614" s="1874"/>
      <c r="G614" s="1874"/>
    </row>
    <row r="615" spans="1:7">
      <c r="A615" s="267"/>
      <c r="B615" s="267"/>
      <c r="C615" s="267"/>
      <c r="G615" s="57"/>
    </row>
    <row r="616" spans="1:7">
      <c r="C616" s="23"/>
      <c r="D616" s="1864" t="s">
        <v>1284</v>
      </c>
      <c r="E616" s="1864"/>
      <c r="F616" s="1864"/>
      <c r="G616" s="57"/>
    </row>
    <row r="617" spans="1:7">
      <c r="A617" s="23"/>
      <c r="B617" s="676"/>
      <c r="C617" s="265"/>
      <c r="D617" s="50"/>
      <c r="G617" s="57"/>
    </row>
    <row r="618" spans="1:7" ht="14.4">
      <c r="A618" s="261"/>
      <c r="B618" s="680" t="s">
        <v>318</v>
      </c>
      <c r="C618" s="265"/>
      <c r="D618" s="1909" t="s">
        <v>1285</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20" customFormat="1">
      <c r="A624" s="706"/>
      <c r="B624" s="706"/>
      <c r="C624" s="265"/>
      <c r="D624" s="726"/>
      <c r="E624" s="726"/>
      <c r="F624" s="726"/>
      <c r="G624" s="57"/>
    </row>
    <row r="625" spans="1:7" ht="14.4">
      <c r="A625" s="261"/>
      <c r="B625" s="680" t="s">
        <v>318</v>
      </c>
      <c r="C625" s="265"/>
      <c r="D625" s="1909" t="s">
        <v>1286</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4">
      <c r="A628" s="261"/>
      <c r="B628" s="680" t="s">
        <v>318</v>
      </c>
      <c r="C628" s="266"/>
      <c r="D628" s="1866" t="s">
        <v>1287</v>
      </c>
      <c r="E628" s="1866"/>
      <c r="F628" s="1866"/>
      <c r="G628" s="57"/>
    </row>
    <row r="629" spans="1:7" ht="14.4">
      <c r="A629" s="261"/>
      <c r="B629" s="261"/>
      <c r="C629" s="266"/>
      <c r="D629" s="1866"/>
      <c r="E629" s="1866"/>
      <c r="F629" s="1866"/>
      <c r="G629" s="57"/>
    </row>
    <row r="630" spans="1:7" ht="14.4">
      <c r="A630" s="261"/>
      <c r="B630" s="261"/>
      <c r="C630" s="266"/>
      <c r="D630" s="1866"/>
      <c r="E630" s="1866"/>
      <c r="F630" s="1866"/>
      <c r="G630" s="57"/>
    </row>
    <row r="631" spans="1:7">
      <c r="A631" s="266"/>
      <c r="B631" s="266"/>
      <c r="C631" s="266"/>
      <c r="D631" s="1866"/>
      <c r="E631" s="1866"/>
      <c r="F631" s="1866"/>
      <c r="G631" s="57"/>
    </row>
    <row r="632" spans="1:7" s="720" customFormat="1">
      <c r="A632" s="266"/>
      <c r="B632" s="266"/>
      <c r="C632" s="266"/>
      <c r="D632" s="727"/>
      <c r="E632" s="727"/>
      <c r="F632" s="727"/>
      <c r="G632" s="57"/>
    </row>
    <row r="633" spans="1:7">
      <c r="A633" s="266"/>
      <c r="B633" s="680" t="s">
        <v>318</v>
      </c>
      <c r="C633" s="266"/>
      <c r="D633" s="1914" t="s">
        <v>1288</v>
      </c>
      <c r="E633" s="1914"/>
      <c r="F633" s="1914"/>
      <c r="G633" s="57"/>
    </row>
    <row r="634" spans="1:7">
      <c r="A634" s="266"/>
      <c r="B634" s="266"/>
      <c r="C634" s="266"/>
      <c r="D634" s="728"/>
      <c r="E634" s="728"/>
      <c r="F634" s="728"/>
      <c r="G634" s="57"/>
    </row>
    <row r="635" spans="1:7">
      <c r="A635" s="1874" t="s">
        <v>1179</v>
      </c>
      <c r="B635" s="1874"/>
      <c r="C635" s="1874"/>
      <c r="D635" s="1874"/>
      <c r="E635" s="1874"/>
      <c r="F635" s="1874"/>
      <c r="G635" s="1874"/>
    </row>
    <row r="636" spans="1:7">
      <c r="A636" s="135"/>
      <c r="B636" s="135"/>
      <c r="C636" s="266"/>
      <c r="D636" s="147"/>
      <c r="E636" s="147"/>
      <c r="F636" s="147"/>
      <c r="G636" s="57"/>
    </row>
    <row r="637" spans="1:7">
      <c r="C637" s="267"/>
      <c r="D637" s="1915" t="s">
        <v>1338</v>
      </c>
      <c r="E637" s="1915"/>
      <c r="F637" s="1915"/>
      <c r="G637" s="57"/>
    </row>
    <row r="638" spans="1:7">
      <c r="A638" s="260"/>
      <c r="B638" s="260"/>
      <c r="C638" s="260"/>
      <c r="D638" s="1916" t="s">
        <v>1339</v>
      </c>
      <c r="E638" s="1916"/>
      <c r="F638" s="1916"/>
      <c r="G638" s="57"/>
    </row>
    <row r="639" spans="1:7" s="720" customFormat="1">
      <c r="A639" s="721"/>
      <c r="B639" s="721"/>
      <c r="C639" s="721"/>
      <c r="D639" s="735"/>
      <c r="E639" s="735"/>
      <c r="F639" s="735"/>
      <c r="G639" s="57"/>
    </row>
    <row r="640" spans="1:7" ht="14.7" customHeight="1">
      <c r="A640" s="261"/>
      <c r="B640" s="680" t="s">
        <v>318</v>
      </c>
      <c r="C640" s="266"/>
      <c r="D640" s="1862" t="s">
        <v>1340</v>
      </c>
      <c r="E640" s="1862"/>
      <c r="F640" s="1862"/>
      <c r="G640" s="57"/>
    </row>
    <row r="641" spans="1:11" ht="14.4">
      <c r="A641" s="261"/>
      <c r="B641" s="261"/>
      <c r="C641" s="266"/>
      <c r="D641" s="1862"/>
      <c r="E641" s="1862"/>
      <c r="F641" s="1862"/>
      <c r="G641" s="57"/>
    </row>
    <row r="642" spans="1:11" ht="14.4">
      <c r="A642" s="261"/>
      <c r="B642" s="261"/>
      <c r="C642" s="266"/>
      <c r="D642" s="1862"/>
      <c r="E642" s="1862"/>
      <c r="F642" s="1862"/>
      <c r="G642" s="57"/>
    </row>
    <row r="643" spans="1:11" ht="14.4">
      <c r="A643" s="261"/>
      <c r="B643" s="261"/>
      <c r="C643" s="266"/>
      <c r="D643" s="1862"/>
      <c r="E643" s="1862"/>
      <c r="F643" s="1862"/>
      <c r="G643" s="57"/>
    </row>
    <row r="644" spans="1:11" s="683" customFormat="1" ht="14.4">
      <c r="A644" s="261"/>
      <c r="B644" s="261"/>
      <c r="C644" s="266"/>
      <c r="D644" s="1862"/>
      <c r="E644" s="1862"/>
      <c r="F644" s="1862"/>
      <c r="G644" s="57"/>
    </row>
    <row r="645" spans="1:11" s="720" customFormat="1" ht="14.4">
      <c r="A645" s="715"/>
      <c r="B645" s="715"/>
      <c r="C645" s="266"/>
      <c r="D645" s="737"/>
      <c r="E645" s="737"/>
      <c r="F645" s="737"/>
      <c r="G645" s="57"/>
    </row>
    <row r="646" spans="1:11" s="683" customFormat="1" ht="14.4">
      <c r="A646" s="261"/>
      <c r="B646" s="680" t="s">
        <v>318</v>
      </c>
      <c r="C646" s="266"/>
      <c r="D646" s="1892" t="s">
        <v>1190</v>
      </c>
      <c r="E646" s="1892"/>
      <c r="F646" s="1892"/>
      <c r="G646" s="57"/>
    </row>
    <row r="647" spans="1:11" s="683" customFormat="1" ht="14.4">
      <c r="A647" s="261"/>
      <c r="B647" s="261"/>
      <c r="C647" s="266"/>
      <c r="D647" s="1893" t="s">
        <v>1341</v>
      </c>
      <c r="E647" s="1893"/>
      <c r="F647" s="1893"/>
      <c r="G647" s="57"/>
    </row>
    <row r="648" spans="1:11" s="683" customFormat="1" ht="14.4">
      <c r="A648" s="261"/>
      <c r="B648" s="261"/>
      <c r="C648" s="266"/>
      <c r="D648" s="1893"/>
      <c r="E648" s="1893"/>
      <c r="F648" s="1893"/>
      <c r="G648" s="57"/>
    </row>
    <row r="649" spans="1:11" s="683" customFormat="1" ht="14.4">
      <c r="A649" s="261"/>
      <c r="B649" s="261"/>
      <c r="C649" s="266"/>
      <c r="D649" s="1893"/>
      <c r="E649" s="1893"/>
      <c r="F649" s="1893"/>
      <c r="G649" s="57"/>
    </row>
    <row r="650" spans="1:11" s="683" customFormat="1" ht="14.4">
      <c r="A650" s="261"/>
      <c r="B650" s="261"/>
      <c r="C650" s="266"/>
      <c r="D650" s="1893"/>
      <c r="E650" s="1893"/>
      <c r="F650" s="1893"/>
      <c r="G650" s="57"/>
    </row>
    <row r="651" spans="1:11" s="683" customFormat="1" ht="14.4">
      <c r="A651" s="261"/>
      <c r="B651" s="261"/>
      <c r="C651" s="266"/>
      <c r="D651" s="1893"/>
      <c r="E651" s="1893"/>
      <c r="F651" s="1893"/>
      <c r="G651" s="57"/>
    </row>
    <row r="652" spans="1:11" s="683" customFormat="1" ht="14.4">
      <c r="A652" s="261"/>
      <c r="B652" s="261"/>
      <c r="C652" s="266"/>
      <c r="D652" s="1894" t="s">
        <v>1342</v>
      </c>
      <c r="E652" s="1894"/>
      <c r="F652" s="1894"/>
      <c r="G652" s="57"/>
    </row>
    <row r="653" spans="1:11">
      <c r="A653" s="266"/>
      <c r="B653" s="266"/>
      <c r="C653" s="266"/>
      <c r="D653" s="147"/>
      <c r="E653" s="147"/>
      <c r="F653" s="147"/>
      <c r="G653" s="57"/>
    </row>
    <row r="654" spans="1:11">
      <c r="A654" s="1874" t="s">
        <v>1180</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1216</v>
      </c>
      <c r="E658" s="1873"/>
      <c r="F658" s="1873"/>
      <c r="G658" s="57"/>
      <c r="H658" s="269"/>
      <c r="I658" s="269"/>
      <c r="J658" s="269"/>
      <c r="K658" s="269"/>
    </row>
    <row r="659" spans="1:11">
      <c r="A659" s="260"/>
      <c r="B659" s="260"/>
      <c r="C659" s="260"/>
      <c r="G659" s="57"/>
      <c r="H659" s="269"/>
      <c r="I659" s="269"/>
      <c r="J659" s="269"/>
      <c r="K659" s="269"/>
    </row>
    <row r="660" spans="1:11" ht="14.4">
      <c r="A660" s="261"/>
      <c r="B660" s="680" t="s">
        <v>318</v>
      </c>
      <c r="C660" s="260"/>
      <c r="D660" s="1873" t="s">
        <v>954</v>
      </c>
      <c r="E660" s="1873"/>
      <c r="F660" s="1873"/>
      <c r="G660" s="57"/>
      <c r="H660" s="269"/>
      <c r="I660" s="269"/>
      <c r="J660" s="269"/>
      <c r="K660" s="269"/>
    </row>
    <row r="661" spans="1:11">
      <c r="A661" s="260"/>
      <c r="B661" s="260"/>
      <c r="C661" s="260"/>
      <c r="D661" s="1873" t="s">
        <v>965</v>
      </c>
      <c r="E661" s="1873"/>
      <c r="F661" s="1873"/>
      <c r="G661" s="57"/>
      <c r="H661" s="269"/>
      <c r="I661" s="269"/>
      <c r="J661" s="269"/>
      <c r="K661" s="269"/>
    </row>
    <row r="662" spans="1:11">
      <c r="A662" s="260"/>
      <c r="B662" s="260"/>
      <c r="C662" s="260"/>
      <c r="D662" s="6"/>
      <c r="E662" s="1852" t="s">
        <v>1217</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8" t="s">
        <v>1218</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4">
      <c r="A669" s="261"/>
      <c r="B669" s="680" t="s">
        <v>318</v>
      </c>
      <c r="C669" s="260"/>
      <c r="D669" s="1873" t="s">
        <v>994</v>
      </c>
      <c r="E669" s="1873"/>
      <c r="F669" s="1873"/>
      <c r="G669" s="57"/>
      <c r="H669" s="269"/>
      <c r="I669" s="269"/>
      <c r="J669" s="269"/>
      <c r="K669" s="269"/>
    </row>
    <row r="670" spans="1:11" ht="14.4">
      <c r="A670" s="261"/>
      <c r="B670" s="261"/>
      <c r="C670" s="260"/>
      <c r="D670" s="1873" t="s">
        <v>965</v>
      </c>
      <c r="E670" s="1873"/>
      <c r="F670" s="1873"/>
      <c r="G670" s="57"/>
      <c r="H670" s="269"/>
      <c r="I670" s="269"/>
      <c r="J670" s="269"/>
      <c r="K670" s="269"/>
    </row>
    <row r="671" spans="1:11">
      <c r="A671" s="260"/>
      <c r="B671" s="260"/>
      <c r="C671" s="260"/>
      <c r="D671" s="6"/>
      <c r="E671" s="1878" t="s">
        <v>1219</v>
      </c>
      <c r="F671" s="1878"/>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71" t="s">
        <v>1229</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8"/>
      <c r="B678" s="488"/>
      <c r="C678" s="488"/>
      <c r="D678" s="1871"/>
      <c r="E678" s="1871"/>
      <c r="F678" s="1871"/>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71" t="s">
        <v>1220</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71" t="s">
        <v>1230</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1" t="s">
        <v>1227</v>
      </c>
      <c r="E697" s="1871"/>
      <c r="F697" s="1871"/>
      <c r="G697" s="57"/>
      <c r="H697" s="269"/>
      <c r="I697" s="269"/>
      <c r="J697" s="269"/>
      <c r="K697" s="269"/>
    </row>
    <row r="698" spans="1:11" s="683" customFormat="1">
      <c r="A698" s="260"/>
      <c r="B698" s="260"/>
      <c r="C698" s="260"/>
      <c r="D698" s="1871"/>
      <c r="E698" s="1871"/>
      <c r="F698" s="1871"/>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1" t="s">
        <v>1228</v>
      </c>
      <c r="E700" s="1871"/>
      <c r="F700" s="1871"/>
      <c r="G700" s="57"/>
      <c r="H700" s="269"/>
      <c r="I700" s="269"/>
      <c r="J700" s="269"/>
      <c r="K700" s="269"/>
    </row>
    <row r="701" spans="1:11" s="683" customFormat="1">
      <c r="A701" s="260"/>
      <c r="B701" s="260"/>
      <c r="C701" s="260"/>
      <c r="D701" s="1871"/>
      <c r="E701" s="1871"/>
      <c r="F701" s="1871"/>
      <c r="G701" s="57"/>
      <c r="H701" s="269"/>
      <c r="I701" s="269"/>
      <c r="J701" s="269"/>
      <c r="K701" s="269"/>
    </row>
    <row r="702" spans="1:11" s="683" customFormat="1">
      <c r="A702" s="260"/>
      <c r="B702" s="260"/>
      <c r="C702" s="260"/>
      <c r="D702" s="1871"/>
      <c r="E702" s="1871"/>
      <c r="F702" s="1871"/>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1" t="s">
        <v>1221</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1" t="s">
        <v>1222</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8" t="s">
        <v>1223</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71" t="s">
        <v>1356</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1224</v>
      </c>
      <c r="E724" s="1882"/>
      <c r="F724" s="1882"/>
      <c r="G724" s="57"/>
      <c r="H724" s="269"/>
      <c r="I724" s="269"/>
      <c r="J724" s="269"/>
      <c r="K724" s="269"/>
    </row>
    <row r="725" spans="1:11" s="683" customFormat="1">
      <c r="A725" s="260"/>
      <c r="B725" s="260"/>
      <c r="C725" s="260"/>
      <c r="D725" s="534"/>
      <c r="E725" s="7"/>
      <c r="F725" s="7"/>
      <c r="G725" s="57"/>
      <c r="H725" s="269"/>
      <c r="I725" s="269"/>
      <c r="J725" s="269"/>
      <c r="K725" s="269"/>
    </row>
    <row r="726" spans="1:11">
      <c r="A726" s="1875" t="s">
        <v>1181</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35" customHeight="1">
      <c r="C728" s="260"/>
      <c r="D728" s="1890" t="s">
        <v>1197</v>
      </c>
      <c r="E728" s="1890"/>
      <c r="F728" s="1890"/>
      <c r="G728" s="271"/>
      <c r="H728" s="269"/>
      <c r="I728" s="269"/>
      <c r="J728" s="269"/>
      <c r="K728" s="269"/>
    </row>
    <row r="729" spans="1:11">
      <c r="A729" s="260"/>
      <c r="B729" s="260"/>
      <c r="C729" s="260"/>
      <c r="D729" s="1877" t="s">
        <v>1198</v>
      </c>
      <c r="E729" s="1877"/>
      <c r="F729" s="1877"/>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8" t="s">
        <v>1199</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0" t="s">
        <v>1200</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4">
      <c r="A743" s="261"/>
      <c r="B743" s="680" t="s">
        <v>318</v>
      </c>
      <c r="C743" s="409"/>
      <c r="D743" s="1891" t="s">
        <v>1201</v>
      </c>
      <c r="E743" s="1891"/>
      <c r="F743" s="1891"/>
      <c r="G743" s="312"/>
    </row>
    <row r="744" spans="1:11" s="410" customFormat="1">
      <c r="A744" s="409"/>
      <c r="B744" s="409"/>
      <c r="C744" s="409"/>
      <c r="D744" s="1891"/>
      <c r="E744" s="1891"/>
      <c r="F744" s="1891"/>
      <c r="G744" s="312"/>
    </row>
    <row r="745" spans="1:11" s="410" customFormat="1">
      <c r="A745" s="409"/>
      <c r="B745" s="409"/>
      <c r="C745" s="409"/>
      <c r="D745" s="1891"/>
      <c r="E745" s="1891"/>
      <c r="F745" s="1891"/>
      <c r="G745" s="312"/>
    </row>
    <row r="746" spans="1:11">
      <c r="A746" s="273"/>
      <c r="B746" s="273"/>
      <c r="C746" s="273"/>
      <c r="D746" s="378"/>
      <c r="E746" s="274"/>
      <c r="F746" s="274"/>
      <c r="G746" s="275"/>
      <c r="H746" s="269"/>
      <c r="I746" s="269"/>
      <c r="J746" s="269"/>
      <c r="K746" s="269"/>
    </row>
    <row r="747" spans="1:11" ht="14.4">
      <c r="A747" s="261"/>
      <c r="B747" s="680" t="s">
        <v>318</v>
      </c>
      <c r="C747" s="273"/>
      <c r="D747" s="1850" t="s">
        <v>1202</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1203</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5" t="s">
        <v>1204</v>
      </c>
      <c r="B754" s="1885"/>
      <c r="C754" s="1885"/>
      <c r="D754" s="1885"/>
      <c r="E754" s="1885"/>
      <c r="F754" s="1885"/>
      <c r="G754" s="1885"/>
    </row>
    <row r="755" spans="1:11">
      <c r="A755" s="260"/>
      <c r="B755" s="260"/>
      <c r="C755" s="260"/>
      <c r="D755" s="276"/>
      <c r="F755" s="147"/>
      <c r="G755" s="271"/>
    </row>
    <row r="756" spans="1:11">
      <c r="A756" s="273"/>
      <c r="B756" s="273"/>
      <c r="C756" s="443"/>
      <c r="D756" s="1886" t="s">
        <v>1188</v>
      </c>
      <c r="E756" s="1886"/>
      <c r="F756" s="1886"/>
      <c r="G756" s="271"/>
    </row>
    <row r="757" spans="1:11">
      <c r="A757" s="504"/>
      <c r="B757" s="504"/>
      <c r="C757" s="503"/>
      <c r="D757" s="1887" t="s">
        <v>1205</v>
      </c>
      <c r="E757" s="1887"/>
      <c r="F757" s="1887"/>
      <c r="G757" s="271"/>
    </row>
    <row r="758" spans="1:11">
      <c r="A758" s="273"/>
      <c r="B758" s="273"/>
      <c r="C758" s="443"/>
      <c r="D758" s="694"/>
      <c r="E758" s="694"/>
      <c r="F758" s="694"/>
      <c r="G758" s="271"/>
    </row>
    <row r="759" spans="1:11" ht="14.4">
      <c r="A759" s="261"/>
      <c r="B759" s="680" t="s">
        <v>318</v>
      </c>
      <c r="C759" s="443"/>
      <c r="D759" s="1888" t="s">
        <v>1073</v>
      </c>
      <c r="E759" s="1888"/>
      <c r="F759" s="1888"/>
      <c r="G759" s="271"/>
    </row>
    <row r="760" spans="1:11">
      <c r="A760" s="273"/>
      <c r="B760" s="273"/>
      <c r="C760" s="443"/>
      <c r="D760" s="693"/>
      <c r="E760" s="1889" t="s">
        <v>1189</v>
      </c>
      <c r="F760" s="1889"/>
      <c r="G760" s="271"/>
    </row>
    <row r="761" spans="1:11">
      <c r="A761" s="267"/>
      <c r="B761" s="267"/>
      <c r="C761" s="267"/>
      <c r="D761" s="135"/>
      <c r="F761" s="57"/>
      <c r="G761" s="271"/>
    </row>
    <row r="762" spans="1:11">
      <c r="A762" s="1883" t="s">
        <v>472</v>
      </c>
      <c r="B762" s="1883"/>
      <c r="C762" s="1883"/>
      <c r="D762" s="1883"/>
      <c r="E762" s="1883"/>
      <c r="F762" s="1883"/>
      <c r="G762" s="1883"/>
    </row>
    <row r="763" spans="1:11">
      <c r="A763" s="255"/>
      <c r="B763" s="674"/>
      <c r="C763" s="266"/>
      <c r="D763" s="271"/>
      <c r="E763" s="271"/>
      <c r="F763" s="271"/>
      <c r="G763" s="271"/>
    </row>
    <row r="764" spans="1:11">
      <c r="A764" s="135"/>
      <c r="B764" s="1884" t="s">
        <v>1072</v>
      </c>
      <c r="C764" s="1884"/>
      <c r="D764" s="1884"/>
      <c r="E764" s="1884"/>
      <c r="F764" s="1884"/>
      <c r="G764" s="271"/>
    </row>
    <row r="765" spans="1:11">
      <c r="A765" s="23"/>
      <c r="B765" s="676"/>
      <c r="G765" s="271"/>
    </row>
    <row r="766" spans="1:11">
      <c r="A766" s="1883" t="s">
        <v>473</v>
      </c>
      <c r="B766" s="1883"/>
      <c r="C766" s="1883"/>
      <c r="D766" s="1883"/>
      <c r="E766" s="1883"/>
      <c r="F766" s="1883"/>
      <c r="G766" s="1883"/>
    </row>
    <row r="767" spans="1:11">
      <c r="A767" s="255"/>
      <c r="B767" s="674"/>
      <c r="C767" s="255"/>
      <c r="D767" s="263"/>
      <c r="G767" s="271"/>
    </row>
    <row r="768" spans="1:11">
      <c r="A768" s="135"/>
      <c r="B768" s="1880" t="s">
        <v>471</v>
      </c>
      <c r="C768" s="1880"/>
      <c r="D768" s="1880"/>
      <c r="E768" s="1880"/>
      <c r="F768" s="1880"/>
      <c r="G768" s="271"/>
    </row>
    <row r="769" spans="1:7" ht="14.4">
      <c r="A769" s="261"/>
      <c r="B769" s="261"/>
      <c r="D769" s="135"/>
      <c r="E769" s="135"/>
      <c r="F769" s="271"/>
      <c r="G769" s="271"/>
    </row>
    <row r="770" spans="1:7">
      <c r="A770" s="1883" t="s">
        <v>474</v>
      </c>
      <c r="B770" s="1883"/>
      <c r="C770" s="1883"/>
      <c r="D770" s="1883"/>
      <c r="E770" s="1883"/>
      <c r="F770" s="1883"/>
      <c r="G770" s="1883"/>
    </row>
    <row r="771" spans="1:7">
      <c r="C771" s="260"/>
      <c r="D771" s="259"/>
      <c r="E771" s="135"/>
      <c r="F771" s="271"/>
      <c r="G771" s="271"/>
    </row>
    <row r="772" spans="1:7">
      <c r="A772" s="135"/>
      <c r="B772" s="1880" t="s">
        <v>471</v>
      </c>
      <c r="C772" s="1880"/>
      <c r="D772" s="1880"/>
      <c r="E772" s="1880"/>
      <c r="F772" s="1880"/>
      <c r="G772" s="271"/>
    </row>
    <row r="773" spans="1:7">
      <c r="A773" s="135"/>
      <c r="B773" s="135"/>
      <c r="C773" s="266"/>
      <c r="D773" s="271"/>
      <c r="E773" s="271"/>
      <c r="F773" s="271"/>
      <c r="G773" s="271"/>
    </row>
    <row r="774" spans="1:7">
      <c r="A774" s="1883" t="s">
        <v>475</v>
      </c>
      <c r="B774" s="1883"/>
      <c r="C774" s="1883"/>
      <c r="D774" s="1883"/>
      <c r="E774" s="1883"/>
      <c r="F774" s="1883"/>
      <c r="G774" s="1883"/>
    </row>
    <row r="775" spans="1:7">
      <c r="A775" s="135"/>
      <c r="B775" s="135"/>
    </row>
    <row r="776" spans="1:7">
      <c r="A776" s="135"/>
      <c r="B776" s="1880" t="s">
        <v>471</v>
      </c>
      <c r="C776" s="1880"/>
      <c r="D776" s="1880"/>
      <c r="E776" s="1880"/>
      <c r="F776" s="1880"/>
    </row>
    <row r="777" spans="1:7">
      <c r="A777" s="266"/>
      <c r="B777" s="266"/>
      <c r="C777" s="266"/>
      <c r="D777" s="258"/>
      <c r="F777" s="271"/>
    </row>
    <row r="778" spans="1:7">
      <c r="A778" s="1883" t="s">
        <v>476</v>
      </c>
      <c r="B778" s="1883"/>
      <c r="C778" s="1883"/>
      <c r="D778" s="1883"/>
      <c r="E778" s="1883"/>
      <c r="F778" s="1883"/>
      <c r="G778" s="1883"/>
    </row>
    <row r="779" spans="1:7">
      <c r="A779" s="135"/>
      <c r="B779" s="135"/>
    </row>
    <row r="780" spans="1:7">
      <c r="A780" s="135"/>
      <c r="B780" s="1880" t="s">
        <v>471</v>
      </c>
      <c r="C780" s="1880"/>
      <c r="D780" s="1880"/>
      <c r="E780" s="1880"/>
      <c r="F780" s="1880"/>
    </row>
    <row r="781" spans="1:7">
      <c r="A781" s="266"/>
      <c r="B781" s="266"/>
      <c r="C781" s="266"/>
      <c r="D781" s="258"/>
      <c r="F781" s="271"/>
    </row>
    <row r="782" spans="1:7">
      <c r="A782" s="1883" t="s">
        <v>477</v>
      </c>
      <c r="B782" s="1883"/>
      <c r="C782" s="1883"/>
      <c r="D782" s="1883"/>
      <c r="E782" s="1883"/>
      <c r="F782" s="1883"/>
      <c r="G782" s="1883"/>
    </row>
    <row r="783" spans="1:7">
      <c r="A783" s="135"/>
      <c r="B783" s="135"/>
    </row>
    <row r="784" spans="1:7">
      <c r="A784" s="135"/>
      <c r="B784" s="1880" t="s">
        <v>471</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471</v>
      </c>
      <c r="C788" s="1880"/>
      <c r="D788" s="1880"/>
      <c r="E788" s="1880"/>
      <c r="F788" s="1880"/>
    </row>
    <row r="789" spans="1:7">
      <c r="A789" s="135"/>
      <c r="B789" s="135"/>
      <c r="D789" s="258"/>
    </row>
    <row r="790" spans="1:7">
      <c r="A790" s="1883" t="s">
        <v>941</v>
      </c>
      <c r="B790" s="1883"/>
      <c r="C790" s="1883"/>
      <c r="D790" s="1883"/>
      <c r="E790" s="1883"/>
      <c r="F790" s="1883"/>
      <c r="G790" s="1883"/>
    </row>
    <row r="791" spans="1:7">
      <c r="A791" s="135"/>
      <c r="B791" s="135"/>
    </row>
    <row r="792" spans="1:7">
      <c r="A792" s="135"/>
      <c r="B792" s="1880" t="s">
        <v>471</v>
      </c>
      <c r="C792" s="1880"/>
      <c r="D792" s="1880"/>
      <c r="E792" s="1880"/>
      <c r="F792" s="1880"/>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58" zoomScaleNormal="100" zoomScaleSheetLayoutView="100" workbookViewId="0">
      <selection activeCell="A2" sqref="A2:J2"/>
    </sheetView>
  </sheetViews>
  <sheetFormatPr defaultColWidth="0" defaultRowHeight="12.6" customHeight="1" zeroHeight="1"/>
  <cols>
    <col min="1" max="10" width="9.33203125" style="723" customWidth="1"/>
    <col min="11" max="16384" width="8.6640625" style="723" hidden="1"/>
  </cols>
  <sheetData>
    <row r="1" spans="1:10" ht="14.25" customHeight="1"/>
    <row r="2" spans="1:10" ht="15.6">
      <c r="A2" s="1930" t="s">
        <v>2436</v>
      </c>
      <c r="B2" s="1931"/>
      <c r="C2" s="1931"/>
      <c r="D2" s="1931"/>
      <c r="E2" s="1931"/>
      <c r="F2" s="1931"/>
      <c r="G2" s="1931"/>
      <c r="H2" s="1931"/>
      <c r="I2" s="1931"/>
      <c r="J2" s="1931"/>
    </row>
    <row r="3" spans="1:10" ht="15.6">
      <c r="A3" s="1935" t="s">
        <v>684</v>
      </c>
      <c r="B3" s="1936"/>
      <c r="C3" s="1936"/>
      <c r="D3" s="1936"/>
      <c r="E3" s="1936"/>
      <c r="F3" s="1936"/>
      <c r="G3" s="1936"/>
      <c r="H3" s="1936"/>
      <c r="I3" s="1936"/>
      <c r="J3" s="1936"/>
    </row>
    <row r="4" spans="1:10" ht="15">
      <c r="A4" s="1937" t="s">
        <v>1509</v>
      </c>
      <c r="B4" s="1936"/>
      <c r="C4" s="1936"/>
      <c r="D4" s="1936"/>
      <c r="E4" s="1936"/>
      <c r="F4" s="1936"/>
      <c r="G4" s="1936"/>
      <c r="H4" s="1936"/>
      <c r="I4" s="1936"/>
      <c r="J4" s="1936"/>
    </row>
    <row r="5" spans="1:10" ht="13.2"/>
    <row r="6" spans="1:10" ht="13.2">
      <c r="A6" s="1932" t="s">
        <v>1531</v>
      </c>
      <c r="B6" s="1933"/>
      <c r="C6" s="1933"/>
      <c r="D6" s="1933"/>
      <c r="E6" s="1933"/>
      <c r="F6" s="1933"/>
      <c r="G6" s="1933"/>
      <c r="H6" s="1933"/>
      <c r="I6" s="1933"/>
      <c r="J6" s="1933"/>
    </row>
    <row r="7" spans="1:10" ht="13.2">
      <c r="A7" s="1933"/>
      <c r="B7" s="1933"/>
      <c r="C7" s="1933"/>
      <c r="D7" s="1933"/>
      <c r="E7" s="1933"/>
      <c r="F7" s="1933"/>
      <c r="G7" s="1933"/>
      <c r="H7" s="1933"/>
      <c r="I7" s="1933"/>
      <c r="J7" s="1933"/>
    </row>
    <row r="8" spans="1:10" ht="13.2">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3.2">
      <c r="A10" s="773"/>
      <c r="B10" s="773"/>
      <c r="C10" s="773"/>
      <c r="D10" s="773"/>
      <c r="E10" s="773"/>
      <c r="F10" s="773"/>
      <c r="G10" s="773"/>
      <c r="H10" s="773"/>
      <c r="I10" s="773"/>
      <c r="J10" s="773"/>
    </row>
    <row r="11" spans="1:10" ht="13.2">
      <c r="A11" s="1938" t="s">
        <v>1395</v>
      </c>
      <c r="B11" s="1939"/>
      <c r="C11" s="1939"/>
      <c r="D11" s="1939"/>
      <c r="E11" s="1939"/>
      <c r="F11" s="1939"/>
      <c r="G11" s="1939"/>
      <c r="H11" s="1939"/>
      <c r="I11" s="1939"/>
      <c r="J11" s="1939"/>
    </row>
    <row r="12" spans="1:10" ht="13.2">
      <c r="A12" s="1939"/>
      <c r="B12" s="1939"/>
      <c r="C12" s="1939"/>
      <c r="D12" s="1939"/>
      <c r="E12" s="1939"/>
      <c r="F12" s="1939"/>
      <c r="G12" s="1939"/>
      <c r="H12" s="1939"/>
      <c r="I12" s="1939"/>
      <c r="J12" s="1939"/>
    </row>
    <row r="13" spans="1:10" ht="13.2">
      <c r="A13" s="1939"/>
      <c r="B13" s="1939"/>
      <c r="C13" s="1939"/>
      <c r="D13" s="1939"/>
      <c r="E13" s="1939"/>
      <c r="F13" s="1939"/>
      <c r="G13" s="1939"/>
      <c r="H13" s="1939"/>
      <c r="I13" s="1939"/>
      <c r="J13" s="1939"/>
    </row>
    <row r="14" spans="1:10" ht="13.2"/>
    <row r="15" spans="1:10" ht="12.75" customHeight="1">
      <c r="A15" s="1940" t="s">
        <v>1482</v>
      </c>
      <c r="B15" s="1940"/>
      <c r="C15" s="1940"/>
      <c r="D15" s="1940"/>
      <c r="E15" s="1940"/>
      <c r="F15" s="1940"/>
      <c r="G15" s="1940"/>
      <c r="H15" s="1940"/>
      <c r="I15" s="1940"/>
      <c r="J15" s="1940"/>
    </row>
    <row r="16" spans="1:10" ht="13.2">
      <c r="A16" s="1940"/>
      <c r="B16" s="1940"/>
      <c r="C16" s="1940"/>
      <c r="D16" s="1940"/>
      <c r="E16" s="1940"/>
      <c r="F16" s="1940"/>
      <c r="G16" s="1940"/>
      <c r="H16" s="1940"/>
      <c r="I16" s="1940"/>
      <c r="J16" s="1940"/>
    </row>
    <row r="17" spans="1:10" ht="13.2">
      <c r="A17" s="1940"/>
      <c r="B17" s="1940"/>
      <c r="C17" s="1940"/>
      <c r="D17" s="1940"/>
      <c r="E17" s="1940"/>
      <c r="F17" s="1940"/>
      <c r="G17" s="1940"/>
      <c r="H17" s="1940"/>
      <c r="I17" s="1940"/>
      <c r="J17" s="1940"/>
    </row>
    <row r="18" spans="1:10" ht="13.2">
      <c r="A18" s="1941"/>
      <c r="B18" s="1941"/>
      <c r="C18" s="1941"/>
      <c r="D18" s="1941"/>
      <c r="E18" s="1941"/>
      <c r="F18" s="1941"/>
      <c r="G18" s="1941"/>
      <c r="H18" s="1941"/>
      <c r="I18" s="1941"/>
      <c r="J18" s="1941"/>
    </row>
    <row r="19" spans="1:10" ht="13.2">
      <c r="A19" s="1941"/>
      <c r="B19" s="1941"/>
      <c r="C19" s="1941"/>
      <c r="D19" s="1941"/>
      <c r="E19" s="1941"/>
      <c r="F19" s="1941"/>
      <c r="G19" s="1941"/>
      <c r="H19" s="1941"/>
      <c r="I19" s="1941"/>
      <c r="J19" s="1941"/>
    </row>
    <row r="20" spans="1:10" ht="13.2">
      <c r="A20" s="1941"/>
      <c r="B20" s="1941"/>
      <c r="C20" s="1941"/>
      <c r="D20" s="1941"/>
      <c r="E20" s="1941"/>
      <c r="F20" s="1941"/>
      <c r="G20" s="1941"/>
      <c r="H20" s="1941"/>
      <c r="I20" s="1941"/>
      <c r="J20" s="1941"/>
    </row>
    <row r="21" spans="1:10" ht="13.2">
      <c r="A21" s="774" t="s">
        <v>1396</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2" t="s">
        <v>1397</v>
      </c>
      <c r="B23" s="1936"/>
      <c r="C23" s="1936"/>
      <c r="D23" s="1936"/>
      <c r="E23" s="1936"/>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2" t="s">
        <v>1398</v>
      </c>
      <c r="B60" s="1933"/>
      <c r="C60" s="1933"/>
      <c r="D60" s="1933"/>
      <c r="E60" s="1933"/>
      <c r="F60" s="1933"/>
      <c r="G60" s="1933"/>
      <c r="H60" s="1933"/>
      <c r="I60" s="1933"/>
      <c r="J60" s="1933"/>
    </row>
    <row r="61" spans="1:10" ht="13.2">
      <c r="A61" s="1933"/>
      <c r="B61" s="1933"/>
      <c r="C61" s="1933"/>
      <c r="D61" s="1933"/>
      <c r="E61" s="1933"/>
      <c r="F61" s="1933"/>
      <c r="G61" s="1933"/>
      <c r="H61" s="1933"/>
      <c r="I61" s="1933"/>
      <c r="J61" s="1933"/>
    </row>
    <row r="62" spans="1:10" ht="13.2">
      <c r="A62" s="1933"/>
      <c r="B62" s="1933"/>
      <c r="C62" s="1933"/>
      <c r="D62" s="1933"/>
      <c r="E62" s="1933"/>
      <c r="F62" s="1933"/>
      <c r="G62" s="1933"/>
      <c r="H62" s="1933"/>
      <c r="I62" s="1933"/>
      <c r="J62" s="1933"/>
    </row>
    <row r="63" spans="1:10" ht="13.2"/>
    <row r="64" spans="1:10" ht="13.2">
      <c r="A64" s="673" t="s">
        <v>1397</v>
      </c>
    </row>
    <row r="65" spans="1:9" ht="13.2"/>
    <row r="66" spans="1:9" ht="13.2"/>
    <row r="67" spans="1:9" ht="13.2"/>
    <row r="68" spans="1:9" ht="13.2"/>
    <row r="69" spans="1:9" ht="13.2"/>
    <row r="70" spans="1:9" ht="13.2"/>
    <row r="71" spans="1:9" ht="13.2"/>
    <row r="72" spans="1:9" ht="13.2"/>
    <row r="73" spans="1:9" ht="13.2"/>
    <row r="74" spans="1:9" ht="13.2"/>
    <row r="75" spans="1:9" ht="13.2">
      <c r="A75" s="1934" t="s">
        <v>1399</v>
      </c>
      <c r="B75" s="1934"/>
      <c r="C75" s="1934"/>
      <c r="D75" s="1934"/>
      <c r="E75" s="1934"/>
      <c r="F75" s="1934"/>
      <c r="G75" s="1934"/>
      <c r="H75" s="1934"/>
      <c r="I75" s="1934"/>
    </row>
    <row r="76" spans="1:9" ht="13.2">
      <c r="A76" s="1856" t="s">
        <v>1097</v>
      </c>
      <c r="B76" s="1856"/>
      <c r="C76" s="1856"/>
      <c r="D76" s="1856"/>
      <c r="E76" s="1856"/>
    </row>
    <row r="77" spans="1:9" ht="13.2">
      <c r="A77" s="1856" t="s">
        <v>1400</v>
      </c>
      <c r="B77" s="1856"/>
      <c r="C77" s="1856"/>
      <c r="D77" s="1856"/>
      <c r="E77" s="1856"/>
    </row>
    <row r="78" spans="1:9" ht="13.2"/>
    <row r="79" spans="1:9" ht="13.2"/>
    <row r="80" spans="1:9" ht="13.2"/>
    <row r="81" ht="13.2"/>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22860</xdr:colOff>
                <xdr:row>81</xdr:row>
                <xdr:rowOff>106680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42" zoomScaleNormal="100" zoomScaleSheetLayoutView="100" workbookViewId="0">
      <selection activeCell="J1255" sqref="J1255"/>
    </sheetView>
  </sheetViews>
  <sheetFormatPr defaultColWidth="8.664062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6640625" style="791"/>
  </cols>
  <sheetData>
    <row r="1" spans="1:9"/>
    <row r="2" spans="1:9">
      <c r="A2" s="1964" t="s">
        <v>2257</v>
      </c>
      <c r="B2" s="1964"/>
      <c r="C2" s="1965"/>
      <c r="D2" s="1965"/>
      <c r="E2" s="1965"/>
      <c r="F2" s="1965"/>
      <c r="G2" s="1965"/>
    </row>
    <row r="3" spans="1:9">
      <c r="A3" s="1971" t="s">
        <v>2258</v>
      </c>
      <c r="B3" s="1971"/>
      <c r="C3" s="1965"/>
      <c r="D3" s="1965"/>
      <c r="E3" s="1965"/>
      <c r="F3" s="1965"/>
      <c r="G3" s="1965"/>
      <c r="I3" s="694"/>
    </row>
    <row r="4" spans="1:9">
      <c r="A4" s="1968"/>
      <c r="B4" s="1968"/>
      <c r="C4" s="1972"/>
      <c r="D4" s="1972"/>
      <c r="E4" s="1972"/>
      <c r="F4" s="1972"/>
      <c r="G4" s="1972"/>
      <c r="I4" s="694"/>
    </row>
    <row r="5" spans="1:9" s="792" customFormat="1">
      <c r="A5" s="1968"/>
      <c r="B5" s="1968"/>
      <c r="C5" s="1969"/>
      <c r="D5" s="1969"/>
      <c r="E5" s="1969"/>
      <c r="F5" s="1969"/>
      <c r="G5" s="1969"/>
    </row>
    <row r="6" spans="1:9" s="792" customFormat="1">
      <c r="A6" s="1966" t="s">
        <v>1258</v>
      </c>
      <c r="B6" s="1966"/>
      <c r="C6" s="1967"/>
      <c r="D6" s="1967"/>
      <c r="E6" s="1967"/>
      <c r="F6" s="1967"/>
      <c r="G6" s="1967"/>
    </row>
    <row r="7" spans="1:9" s="792" customFormat="1">
      <c r="A7" s="1966" t="s">
        <v>1259</v>
      </c>
      <c r="B7" s="1966"/>
      <c r="C7" s="1967"/>
      <c r="D7" s="1967"/>
      <c r="E7" s="1967"/>
      <c r="F7" s="1967"/>
      <c r="G7" s="1967"/>
    </row>
    <row r="8" spans="1:9">
      <c r="A8" s="793"/>
      <c r="B8" s="793"/>
      <c r="C8" s="794"/>
      <c r="D8" s="794"/>
      <c r="E8" s="794"/>
      <c r="F8" s="794"/>
    </row>
    <row r="9" spans="1:9">
      <c r="A9" s="1904" t="s">
        <v>1261</v>
      </c>
      <c r="B9" s="1904"/>
      <c r="C9" s="1904"/>
      <c r="D9" s="1904"/>
      <c r="E9" s="1904"/>
      <c r="F9" s="1904"/>
      <c r="G9" s="1904"/>
    </row>
    <row r="10" spans="1:9">
      <c r="A10" s="794"/>
      <c r="B10" s="794"/>
      <c r="E10" s="795"/>
    </row>
    <row r="11" spans="1:9" ht="13.95" customHeight="1">
      <c r="C11" s="794"/>
      <c r="D11" s="1949" t="s">
        <v>1260</v>
      </c>
      <c r="E11" s="1949"/>
      <c r="F11" s="1949"/>
    </row>
    <row r="12" spans="1:9">
      <c r="C12" s="794"/>
      <c r="D12" s="1949"/>
      <c r="E12" s="1949"/>
      <c r="F12" s="1949"/>
    </row>
    <row r="13" spans="1:9">
      <c r="A13" s="796"/>
      <c r="B13" s="796"/>
      <c r="C13" s="796"/>
      <c r="D13" s="1914" t="s">
        <v>1243</v>
      </c>
      <c r="E13" s="1914"/>
      <c r="F13" s="1914"/>
    </row>
    <row r="14" spans="1:9">
      <c r="A14" s="796"/>
      <c r="B14" s="796"/>
      <c r="C14" s="796"/>
      <c r="D14" s="797"/>
    </row>
    <row r="15" spans="1:9" ht="14.4">
      <c r="A15" s="798"/>
      <c r="B15" s="799" t="s">
        <v>2559</v>
      </c>
      <c r="C15" s="800"/>
      <c r="D15" s="1909" t="s">
        <v>1244</v>
      </c>
      <c r="E15" s="1909"/>
      <c r="F15" s="1909"/>
    </row>
    <row r="16" spans="1:9">
      <c r="A16" s="796"/>
      <c r="B16" s="796"/>
      <c r="C16" s="800"/>
      <c r="D16" s="1909"/>
      <c r="E16" s="1909"/>
      <c r="F16" s="1909"/>
    </row>
    <row r="17" spans="1:7">
      <c r="A17" s="796"/>
      <c r="B17" s="796"/>
      <c r="C17" s="800"/>
      <c r="D17" s="1909"/>
      <c r="E17" s="1909"/>
      <c r="F17" s="1909"/>
    </row>
    <row r="18" spans="1:7">
      <c r="A18" s="796"/>
      <c r="B18" s="796"/>
      <c r="C18" s="796"/>
    </row>
    <row r="19" spans="1:7" ht="14.4">
      <c r="A19" s="798"/>
      <c r="B19" s="799" t="s">
        <v>2558</v>
      </c>
      <c r="D19" s="1888" t="s">
        <v>1245</v>
      </c>
      <c r="E19" s="1888"/>
      <c r="F19" s="1888"/>
    </row>
    <row r="20" spans="1:7" ht="14.4">
      <c r="A20" s="798"/>
      <c r="B20" s="798"/>
      <c r="D20" s="801"/>
    </row>
    <row r="21" spans="1:7" ht="14.4">
      <c r="A21" s="798"/>
      <c r="B21" s="799" t="s">
        <v>2559</v>
      </c>
      <c r="D21" s="1909" t="s">
        <v>1246</v>
      </c>
      <c r="E21" s="1909"/>
      <c r="F21" s="1909"/>
    </row>
    <row r="22" spans="1:7" ht="14.4">
      <c r="A22" s="798"/>
      <c r="B22" s="798"/>
      <c r="D22" s="1909"/>
      <c r="E22" s="1909"/>
      <c r="F22" s="1909"/>
    </row>
    <row r="23" spans="1:7"/>
    <row r="24" spans="1:7" ht="14.4">
      <c r="A24" s="798"/>
      <c r="B24" s="799" t="s">
        <v>2559</v>
      </c>
      <c r="D24" s="1950" t="s">
        <v>1247</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2" customFormat="1">
      <c r="A29" s="802"/>
      <c r="B29" s="802"/>
      <c r="C29" s="802"/>
      <c r="D29" s="734"/>
      <c r="E29" s="803"/>
      <c r="F29" s="803"/>
      <c r="G29" s="803"/>
    </row>
    <row r="30" spans="1:7" s="792" customFormat="1">
      <c r="A30" s="802"/>
      <c r="B30" s="799" t="s">
        <v>2559</v>
      </c>
      <c r="C30" s="802"/>
      <c r="D30" s="1866" t="s">
        <v>1248</v>
      </c>
      <c r="E30" s="1866"/>
      <c r="F30" s="1866"/>
      <c r="G30" s="803"/>
    </row>
    <row r="31" spans="1:7" s="792" customFormat="1">
      <c r="A31" s="802"/>
      <c r="B31" s="802"/>
      <c r="C31" s="802"/>
      <c r="D31" s="1866"/>
      <c r="E31" s="1866"/>
      <c r="F31" s="1866"/>
      <c r="G31" s="803"/>
    </row>
    <row r="32" spans="1:7" ht="14.4">
      <c r="A32" s="798"/>
      <c r="B32" s="798"/>
      <c r="D32" s="804"/>
    </row>
    <row r="33" spans="1:6" ht="14.7" customHeight="1">
      <c r="A33" s="798"/>
      <c r="B33" s="799" t="s">
        <v>2559</v>
      </c>
      <c r="D33" s="1866" t="s">
        <v>1431</v>
      </c>
      <c r="E33" s="1866"/>
      <c r="F33" s="1866"/>
    </row>
    <row r="34" spans="1:6" ht="14.4">
      <c r="A34" s="798"/>
      <c r="B34" s="798"/>
      <c r="D34" s="1866"/>
      <c r="E34" s="1866"/>
      <c r="F34" s="1866"/>
    </row>
    <row r="35" spans="1:6" ht="14.4">
      <c r="A35" s="798"/>
      <c r="B35" s="798"/>
      <c r="D35" s="1866"/>
      <c r="E35" s="1866"/>
      <c r="F35" s="1866"/>
    </row>
    <row r="36" spans="1:6" ht="14.4">
      <c r="A36" s="798"/>
      <c r="B36" s="798"/>
      <c r="D36" s="1866"/>
      <c r="E36" s="1866"/>
      <c r="F36" s="1866"/>
    </row>
    <row r="37" spans="1:6" ht="14.4">
      <c r="A37" s="798"/>
      <c r="B37" s="798"/>
      <c r="D37" s="791"/>
    </row>
    <row r="38" spans="1:6" ht="14.4">
      <c r="A38" s="798"/>
      <c r="B38" s="799" t="s">
        <v>2559</v>
      </c>
      <c r="D38" s="1866" t="s">
        <v>1250</v>
      </c>
      <c r="E38" s="1866"/>
      <c r="F38" s="1866"/>
    </row>
    <row r="39" spans="1:6" ht="14.4">
      <c r="A39" s="798"/>
      <c r="B39" s="798"/>
      <c r="D39" s="1866"/>
      <c r="E39" s="1866"/>
      <c r="F39" s="1866"/>
    </row>
    <row r="40" spans="1:6" ht="14.4">
      <c r="A40" s="798"/>
      <c r="B40" s="798"/>
      <c r="D40" s="1866"/>
      <c r="E40" s="1866"/>
      <c r="F40" s="1866"/>
    </row>
    <row r="41" spans="1:6" ht="14.4">
      <c r="A41" s="798"/>
      <c r="B41" s="798"/>
      <c r="D41" s="1866"/>
      <c r="E41" s="1866"/>
      <c r="F41" s="1866"/>
    </row>
    <row r="42" spans="1:6" ht="14.4">
      <c r="A42" s="798"/>
      <c r="B42" s="798"/>
      <c r="D42" s="1866"/>
      <c r="E42" s="1866"/>
      <c r="F42" s="1866"/>
    </row>
    <row r="43" spans="1:6" ht="14.4">
      <c r="A43" s="798"/>
      <c r="B43" s="798"/>
      <c r="D43" s="782"/>
      <c r="E43" s="782"/>
      <c r="F43" s="782"/>
    </row>
    <row r="44" spans="1:6" ht="14.4">
      <c r="A44" s="798"/>
      <c r="B44" s="799" t="s">
        <v>2559</v>
      </c>
      <c r="D44" s="1866" t="s">
        <v>1251</v>
      </c>
      <c r="E44" s="1866"/>
      <c r="F44" s="1866"/>
    </row>
    <row r="45" spans="1:6" ht="14.4">
      <c r="A45" s="798"/>
      <c r="B45" s="798"/>
      <c r="D45" s="1866"/>
      <c r="E45" s="1866"/>
      <c r="F45" s="1866"/>
    </row>
    <row r="46" spans="1:6" ht="14.4">
      <c r="A46" s="798"/>
      <c r="B46" s="798"/>
      <c r="D46" s="1866"/>
      <c r="E46" s="1866"/>
      <c r="F46" s="1866"/>
    </row>
    <row r="47" spans="1:6" ht="23.25" customHeight="1">
      <c r="A47" s="798"/>
      <c r="B47" s="798"/>
      <c r="D47" s="1866"/>
      <c r="E47" s="1866"/>
      <c r="F47" s="1866"/>
    </row>
    <row r="48" spans="1:6" ht="14.4">
      <c r="A48" s="798"/>
      <c r="B48" s="798"/>
      <c r="D48" s="786"/>
    </row>
    <row r="49" spans="1:7" ht="14.7" customHeight="1">
      <c r="A49" s="798"/>
      <c r="B49" s="799" t="s">
        <v>2559</v>
      </c>
      <c r="D49" s="1866" t="s">
        <v>1252</v>
      </c>
      <c r="E49" s="1866"/>
      <c r="F49" s="1866"/>
    </row>
    <row r="50" spans="1:7" ht="14.4">
      <c r="A50" s="798"/>
      <c r="B50" s="798"/>
      <c r="D50" s="1866"/>
      <c r="E50" s="1866"/>
      <c r="F50" s="1866"/>
    </row>
    <row r="51" spans="1:7" ht="14.4">
      <c r="A51" s="798"/>
      <c r="B51" s="798"/>
      <c r="D51" s="1866"/>
      <c r="E51" s="1866"/>
      <c r="F51" s="1866"/>
    </row>
    <row r="52" spans="1:7" s="619" customFormat="1" ht="14.4">
      <c r="A52" s="798"/>
      <c r="B52" s="798"/>
      <c r="C52" s="805"/>
      <c r="D52" s="803"/>
      <c r="E52" s="694"/>
      <c r="F52" s="694"/>
      <c r="G52" s="694"/>
    </row>
    <row r="53" spans="1:7" s="619" customFormat="1" ht="14.4">
      <c r="A53" s="806"/>
      <c r="B53" s="799" t="s">
        <v>2559</v>
      </c>
      <c r="C53" s="807"/>
      <c r="D53" s="1866" t="s">
        <v>1253</v>
      </c>
      <c r="E53" s="1866"/>
      <c r="F53" s="1866"/>
      <c r="G53" s="694"/>
    </row>
    <row r="54" spans="1:7" s="619" customFormat="1" ht="14.4">
      <c r="A54" s="806"/>
      <c r="B54" s="806"/>
      <c r="C54" s="807"/>
      <c r="D54" s="1866"/>
      <c r="E54" s="1866"/>
      <c r="F54" s="1866"/>
      <c r="G54" s="694"/>
    </row>
    <row r="55" spans="1:7" s="792" customFormat="1">
      <c r="A55" s="802"/>
      <c r="B55" s="802"/>
      <c r="C55" s="802"/>
      <c r="D55" s="734"/>
      <c r="E55" s="803"/>
      <c r="F55" s="803"/>
      <c r="G55" s="803"/>
    </row>
    <row r="56" spans="1:7" ht="14.4">
      <c r="A56" s="798"/>
      <c r="B56" s="799" t="s">
        <v>2559</v>
      </c>
      <c r="D56" s="1866" t="s">
        <v>1254</v>
      </c>
      <c r="E56" s="1866"/>
      <c r="F56" s="1866"/>
    </row>
    <row r="57" spans="1:7">
      <c r="D57" s="1866"/>
      <c r="E57" s="1866"/>
      <c r="F57" s="1866"/>
    </row>
    <row r="58" spans="1:7">
      <c r="D58" s="1866"/>
      <c r="E58" s="1866"/>
      <c r="F58" s="1866"/>
    </row>
    <row r="59" spans="1:7">
      <c r="D59" s="694"/>
    </row>
    <row r="60" spans="1:7" ht="14.4">
      <c r="A60" s="798"/>
      <c r="B60" s="799" t="s">
        <v>2558</v>
      </c>
      <c r="D60" s="1866" t="s">
        <v>1255</v>
      </c>
      <c r="E60" s="1866"/>
      <c r="F60" s="1866"/>
    </row>
    <row r="61" spans="1:7">
      <c r="D61" s="1866"/>
      <c r="E61" s="1866"/>
      <c r="F61" s="1866"/>
    </row>
    <row r="62" spans="1:7"/>
    <row r="63" spans="1:7" ht="14.4">
      <c r="A63" s="798"/>
      <c r="B63" s="799" t="s">
        <v>2559</v>
      </c>
      <c r="D63" s="1866" t="s">
        <v>1256</v>
      </c>
      <c r="E63" s="1866"/>
      <c r="F63" s="1866"/>
    </row>
    <row r="64" spans="1:7">
      <c r="D64" s="1866"/>
      <c r="E64" s="1866"/>
      <c r="F64" s="1866"/>
    </row>
    <row r="65" spans="1:7">
      <c r="D65" s="1866"/>
      <c r="E65" s="1866"/>
      <c r="F65" s="1866"/>
    </row>
    <row r="66" spans="1:7">
      <c r="D66" s="791"/>
    </row>
    <row r="67" spans="1:7" ht="14.4">
      <c r="A67" s="798"/>
      <c r="B67" s="799" t="s">
        <v>2558</v>
      </c>
      <c r="D67" s="1909" t="s">
        <v>1257</v>
      </c>
      <c r="E67" s="1909"/>
      <c r="F67" s="1909"/>
    </row>
    <row r="68" spans="1:7">
      <c r="D68" s="1909"/>
      <c r="E68" s="1909"/>
      <c r="F68" s="1909"/>
    </row>
    <row r="69" spans="1:7" ht="14.4">
      <c r="A69" s="798"/>
      <c r="B69" s="798"/>
      <c r="D69" s="801"/>
    </row>
    <row r="70" spans="1:7">
      <c r="A70" s="1874" t="s">
        <v>1164</v>
      </c>
      <c r="B70" s="1874"/>
      <c r="C70" s="1874"/>
      <c r="D70" s="1874"/>
      <c r="E70" s="1874"/>
      <c r="F70" s="1874"/>
      <c r="G70" s="1874"/>
    </row>
    <row r="71" spans="1:7"/>
    <row r="72" spans="1:7">
      <c r="C72" s="808"/>
      <c r="D72" s="1945" t="s">
        <v>1262</v>
      </c>
      <c r="E72" s="1945"/>
      <c r="F72" s="1945"/>
    </row>
    <row r="73" spans="1:7">
      <c r="A73" s="801"/>
      <c r="B73" s="801"/>
      <c r="D73" s="1909" t="s">
        <v>1289</v>
      </c>
      <c r="E73" s="1909"/>
      <c r="F73" s="1909"/>
    </row>
    <row r="74" spans="1:7">
      <c r="A74" s="801"/>
      <c r="B74" s="801"/>
    </row>
    <row r="75" spans="1:7" ht="13.95" customHeight="1">
      <c r="A75" s="798"/>
      <c r="B75" s="799" t="s">
        <v>2558</v>
      </c>
      <c r="D75" s="1909" t="s">
        <v>1481</v>
      </c>
      <c r="E75" s="1909"/>
      <c r="F75" s="1909"/>
    </row>
    <row r="76" spans="1:7" ht="14.4">
      <c r="A76" s="798"/>
      <c r="B76" s="798"/>
      <c r="D76" s="1909"/>
      <c r="E76" s="1909"/>
      <c r="F76" s="1909"/>
    </row>
    <row r="77" spans="1:7" ht="14.4">
      <c r="A77" s="798"/>
      <c r="B77" s="798"/>
      <c r="D77" s="1909"/>
      <c r="E77" s="1909"/>
      <c r="F77" s="1909"/>
    </row>
    <row r="78" spans="1:7" ht="14.4">
      <c r="A78" s="798"/>
      <c r="B78" s="798"/>
      <c r="D78" s="1909"/>
      <c r="E78" s="1909"/>
      <c r="F78" s="1909"/>
    </row>
    <row r="79" spans="1:7" ht="14.4">
      <c r="A79" s="798"/>
      <c r="B79" s="798"/>
      <c r="D79" s="1909"/>
      <c r="E79" s="1909"/>
      <c r="F79" s="1909"/>
    </row>
    <row r="80" spans="1:7" ht="14.4">
      <c r="A80" s="798"/>
      <c r="B80" s="798"/>
      <c r="D80" s="1909"/>
      <c r="E80" s="1909"/>
      <c r="F80" s="1909"/>
    </row>
    <row r="81" spans="1:6" ht="14.4">
      <c r="A81" s="798"/>
      <c r="B81" s="798"/>
      <c r="D81" s="1909"/>
      <c r="E81" s="1909"/>
      <c r="F81" s="1909"/>
    </row>
    <row r="82" spans="1:6" ht="14.4">
      <c r="A82" s="798"/>
      <c r="B82" s="798"/>
      <c r="D82" s="1909"/>
      <c r="E82" s="1909"/>
      <c r="F82" s="1909"/>
    </row>
    <row r="83" spans="1:6" ht="14.4">
      <c r="A83" s="798"/>
      <c r="B83" s="798"/>
      <c r="D83" s="880"/>
      <c r="E83" s="880"/>
      <c r="F83" s="880"/>
    </row>
    <row r="84" spans="1:6" ht="15" customHeight="1">
      <c r="A84" s="798"/>
      <c r="B84" s="799" t="s">
        <v>2558</v>
      </c>
      <c r="D84" s="1909" t="s">
        <v>2259</v>
      </c>
      <c r="E84" s="1909"/>
      <c r="F84" s="1909"/>
    </row>
    <row r="85" spans="1:6" ht="14.4">
      <c r="A85" s="798"/>
      <c r="B85" s="798"/>
      <c r="D85" s="1909"/>
      <c r="E85" s="1909"/>
      <c r="F85" s="1909"/>
    </row>
    <row r="86" spans="1:6" ht="14.4">
      <c r="A86" s="798"/>
      <c r="B86" s="798"/>
      <c r="D86" s="1719"/>
      <c r="E86" s="1719"/>
      <c r="F86" s="1719"/>
    </row>
    <row r="87" spans="1:6" ht="14.4">
      <c r="A87" s="798"/>
      <c r="B87" s="799" t="s">
        <v>2558</v>
      </c>
      <c r="D87" s="1909" t="s">
        <v>2263</v>
      </c>
      <c r="E87" s="1909"/>
      <c r="F87" s="1909"/>
    </row>
    <row r="88" spans="1:6" ht="14.4">
      <c r="A88" s="798"/>
      <c r="B88" s="798"/>
      <c r="D88" s="1909"/>
      <c r="E88" s="1909"/>
      <c r="F88" s="1909"/>
    </row>
    <row r="89" spans="1:6" ht="14.4">
      <c r="A89" s="798"/>
      <c r="B89" s="798"/>
      <c r="D89" s="1909"/>
      <c r="E89" s="1909"/>
      <c r="F89" s="1909"/>
    </row>
    <row r="90" spans="1:6" ht="14.4">
      <c r="A90" s="798"/>
      <c r="B90" s="798"/>
      <c r="D90" s="1719"/>
      <c r="E90" s="1719"/>
      <c r="F90" s="1719"/>
    </row>
    <row r="91" spans="1:6" ht="14.4">
      <c r="A91" s="798"/>
      <c r="B91" s="799" t="s">
        <v>2558</v>
      </c>
      <c r="D91" s="1909" t="s">
        <v>2261</v>
      </c>
      <c r="E91" s="1909"/>
      <c r="F91" s="1909"/>
    </row>
    <row r="92" spans="1:6" s="1736" customFormat="1" ht="14.4">
      <c r="A92" s="1734"/>
      <c r="B92" s="1734"/>
      <c r="C92" s="1735"/>
      <c r="D92" s="1909"/>
      <c r="E92" s="1909"/>
      <c r="F92" s="1909"/>
    </row>
    <row r="93" spans="1:6" ht="14.4">
      <c r="A93" s="798"/>
      <c r="B93" s="798"/>
      <c r="D93" s="1725"/>
      <c r="E93" s="1726" t="s">
        <v>2262</v>
      </c>
      <c r="F93" s="1719"/>
    </row>
    <row r="94" spans="1:6" ht="14.4">
      <c r="A94" s="798"/>
      <c r="B94" s="798"/>
      <c r="D94" s="880"/>
      <c r="E94" s="880"/>
      <c r="F94" s="880"/>
    </row>
    <row r="95" spans="1:6" ht="14.4">
      <c r="A95" s="798"/>
      <c r="B95" s="799" t="s">
        <v>2559</v>
      </c>
      <c r="D95" s="1909" t="s">
        <v>2260</v>
      </c>
      <c r="E95" s="1909"/>
      <c r="F95" s="1909"/>
    </row>
    <row r="96" spans="1:6" ht="14.4">
      <c r="A96" s="798"/>
      <c r="B96" s="798"/>
      <c r="D96" s="1909"/>
      <c r="E96" s="1909"/>
      <c r="F96" s="1909"/>
    </row>
    <row r="97" spans="1:7" ht="14.4">
      <c r="A97" s="798"/>
      <c r="B97" s="798"/>
      <c r="D97" s="1719"/>
      <c r="E97" s="1719"/>
      <c r="F97" s="1719"/>
    </row>
    <row r="98" spans="1:7" ht="14.7" customHeight="1">
      <c r="A98" s="798"/>
      <c r="B98" s="799" t="s">
        <v>2559</v>
      </c>
      <c r="D98" s="1909" t="s">
        <v>1406</v>
      </c>
      <c r="E98" s="1909"/>
      <c r="F98" s="1909"/>
      <c r="G98" s="791"/>
    </row>
    <row r="99" spans="1:7" ht="14.4">
      <c r="A99" s="798"/>
      <c r="B99" s="798"/>
      <c r="D99" s="1909"/>
      <c r="E99" s="1909"/>
      <c r="F99" s="1909"/>
      <c r="G99" s="791"/>
    </row>
    <row r="100" spans="1:7" ht="14.4">
      <c r="A100" s="798"/>
      <c r="B100" s="798"/>
      <c r="D100" s="1909"/>
      <c r="E100" s="1909"/>
      <c r="F100" s="1909"/>
      <c r="G100" s="791"/>
    </row>
    <row r="101" spans="1:7" ht="14.4">
      <c r="A101" s="798"/>
      <c r="B101" s="798"/>
      <c r="D101" s="1909"/>
      <c r="E101" s="1909"/>
      <c r="F101" s="1909"/>
      <c r="G101" s="791"/>
    </row>
    <row r="102" spans="1:7" ht="14.4">
      <c r="A102" s="798"/>
      <c r="B102" s="798"/>
      <c r="D102" s="1909"/>
      <c r="E102" s="1909"/>
      <c r="F102" s="1909"/>
      <c r="G102" s="791"/>
    </row>
    <row r="103" spans="1:7" ht="14.4">
      <c r="A103" s="798"/>
      <c r="B103" s="798"/>
      <c r="D103" s="1909"/>
      <c r="E103" s="1909"/>
      <c r="F103" s="1909"/>
      <c r="G103" s="791"/>
    </row>
    <row r="104" spans="1:7" ht="14.4">
      <c r="A104" s="798"/>
      <c r="B104" s="798"/>
      <c r="D104" s="1909"/>
      <c r="E104" s="1909"/>
      <c r="F104" s="1909"/>
      <c r="G104" s="791"/>
    </row>
    <row r="105" spans="1:7" ht="14.4">
      <c r="A105" s="798"/>
      <c r="B105" s="798"/>
      <c r="D105" s="1909"/>
      <c r="E105" s="1909"/>
      <c r="F105" s="1909"/>
      <c r="G105" s="791"/>
    </row>
    <row r="106" spans="1:7" ht="14.4">
      <c r="A106" s="798"/>
      <c r="B106" s="798"/>
      <c r="D106" s="1909"/>
      <c r="E106" s="1909"/>
      <c r="F106" s="1909"/>
      <c r="G106" s="791"/>
    </row>
    <row r="107" spans="1:7" ht="14.4">
      <c r="A107" s="798"/>
      <c r="B107" s="798"/>
      <c r="D107" s="1909"/>
      <c r="E107" s="1909"/>
      <c r="F107" s="1909"/>
      <c r="G107" s="791"/>
    </row>
    <row r="108" spans="1:7" ht="14.4">
      <c r="A108" s="798"/>
      <c r="B108" s="798"/>
      <c r="D108" s="1909"/>
      <c r="E108" s="1909"/>
      <c r="F108" s="1909"/>
      <c r="G108" s="791"/>
    </row>
    <row r="109" spans="1:7" ht="14.4">
      <c r="A109" s="798"/>
      <c r="B109" s="798"/>
      <c r="D109" s="1909"/>
      <c r="E109" s="1909"/>
      <c r="F109" s="1909"/>
      <c r="G109" s="791"/>
    </row>
    <row r="110" spans="1:7" ht="14.4">
      <c r="A110" s="798"/>
      <c r="B110" s="798"/>
      <c r="D110" s="1909"/>
      <c r="E110" s="1909"/>
      <c r="F110" s="1909"/>
      <c r="G110" s="791"/>
    </row>
    <row r="111" spans="1:7" ht="14.4">
      <c r="A111" s="798"/>
      <c r="B111" s="798"/>
      <c r="D111" s="1909"/>
      <c r="E111" s="1909"/>
      <c r="F111" s="1909"/>
    </row>
    <row r="112" spans="1:7" ht="14.4">
      <c r="A112" s="798"/>
      <c r="B112" s="798"/>
      <c r="D112" s="1909"/>
      <c r="E112" s="1909"/>
      <c r="F112" s="1909"/>
    </row>
    <row r="113" spans="1:11" ht="14.4">
      <c r="A113" s="798"/>
      <c r="B113" s="798"/>
      <c r="D113" s="906"/>
      <c r="E113" s="906"/>
      <c r="F113" s="906"/>
    </row>
    <row r="114" spans="1:11" ht="14.25" customHeight="1">
      <c r="A114" s="798"/>
      <c r="B114" s="799" t="s">
        <v>2559</v>
      </c>
      <c r="D114" s="1907" t="s">
        <v>1264</v>
      </c>
      <c r="E114" s="1907"/>
      <c r="F114" s="1907"/>
    </row>
    <row r="115" spans="1:11" ht="14.4">
      <c r="A115" s="798"/>
      <c r="B115" s="798"/>
      <c r="D115" s="1907"/>
      <c r="E115" s="1907"/>
      <c r="F115" s="1907"/>
    </row>
    <row r="116" spans="1:11" ht="14.4">
      <c r="A116" s="798"/>
      <c r="B116" s="798"/>
      <c r="D116" s="1907"/>
      <c r="E116" s="1907"/>
      <c r="F116" s="1907"/>
    </row>
    <row r="117" spans="1:11" ht="14.4">
      <c r="A117" s="798"/>
      <c r="B117" s="798"/>
      <c r="D117" s="1907"/>
      <c r="E117" s="1907"/>
      <c r="F117" s="1907"/>
    </row>
    <row r="118" spans="1:11" ht="14.4">
      <c r="A118" s="798"/>
      <c r="B118" s="798"/>
      <c r="D118" s="1907"/>
      <c r="E118" s="1907"/>
      <c r="F118" s="1907"/>
    </row>
    <row r="119" spans="1:11" ht="14.4">
      <c r="A119" s="798"/>
      <c r="B119" s="798"/>
      <c r="D119" s="1907"/>
      <c r="E119" s="1907"/>
      <c r="F119" s="1907"/>
    </row>
    <row r="120" spans="1:11" ht="14.4">
      <c r="A120" s="798"/>
      <c r="B120" s="798"/>
      <c r="D120" s="1907"/>
      <c r="E120" s="1907"/>
      <c r="F120" s="1907"/>
    </row>
    <row r="121" spans="1:11" ht="14.4">
      <c r="A121" s="798"/>
      <c r="B121" s="798"/>
      <c r="D121" s="1907"/>
      <c r="E121" s="1907"/>
      <c r="F121" s="1907"/>
    </row>
    <row r="122" spans="1:11">
      <c r="C122" s="723"/>
      <c r="D122" s="907"/>
      <c r="E122" s="907"/>
      <c r="F122" s="907"/>
      <c r="G122" s="723"/>
      <c r="H122" s="723"/>
      <c r="I122" s="723"/>
      <c r="J122" s="723"/>
      <c r="K122" s="723"/>
    </row>
    <row r="123" spans="1:11" ht="14.4">
      <c r="A123" s="798"/>
      <c r="B123" s="799" t="s">
        <v>318</v>
      </c>
      <c r="C123" s="723"/>
      <c r="D123" s="1907" t="s">
        <v>1266</v>
      </c>
      <c r="E123" s="1907"/>
      <c r="F123" s="1907"/>
      <c r="G123" s="723"/>
      <c r="H123" s="723"/>
      <c r="I123" s="723"/>
      <c r="J123" s="723"/>
      <c r="K123" s="723"/>
    </row>
    <row r="124" spans="1:11" ht="14.4">
      <c r="A124" s="798"/>
      <c r="B124" s="798"/>
      <c r="C124" s="723"/>
      <c r="D124" s="1907"/>
      <c r="E124" s="1907"/>
      <c r="F124" s="1907"/>
      <c r="G124" s="723"/>
      <c r="H124" s="723"/>
      <c r="I124" s="723"/>
      <c r="J124" s="723"/>
      <c r="K124" s="723"/>
    </row>
    <row r="125" spans="1:11"/>
    <row r="126" spans="1:11" ht="14.4">
      <c r="A126" s="798"/>
      <c r="B126" s="799" t="s">
        <v>318</v>
      </c>
      <c r="C126" s="805"/>
      <c r="D126" s="1909" t="s">
        <v>1267</v>
      </c>
      <c r="E126" s="1909"/>
      <c r="F126" s="1909"/>
    </row>
    <row r="127" spans="1:11">
      <c r="C127" s="805"/>
      <c r="D127" s="1909"/>
      <c r="E127" s="1909"/>
      <c r="F127" s="1909"/>
    </row>
    <row r="128" spans="1:11">
      <c r="C128" s="805"/>
      <c r="D128" s="1909"/>
      <c r="E128" s="1909"/>
      <c r="F128" s="1909"/>
    </row>
    <row r="129" spans="1:7">
      <c r="C129" s="805"/>
      <c r="D129" s="1909"/>
      <c r="E129" s="1909"/>
      <c r="F129" s="1909"/>
    </row>
    <row r="130" spans="1:7">
      <c r="C130" s="805"/>
      <c r="D130" s="1909"/>
      <c r="E130" s="1909"/>
      <c r="F130" s="1909"/>
    </row>
    <row r="131" spans="1:7">
      <c r="C131" s="805"/>
      <c r="D131" s="673"/>
      <c r="E131" s="673"/>
      <c r="F131" s="673"/>
    </row>
    <row r="132" spans="1:7" s="723" customFormat="1" ht="14.4">
      <c r="A132" s="798"/>
      <c r="B132" s="799" t="s">
        <v>2558</v>
      </c>
      <c r="C132" s="805"/>
      <c r="D132" s="1866" t="s">
        <v>1268</v>
      </c>
      <c r="E132" s="1866"/>
      <c r="F132" s="1866"/>
      <c r="G132" s="673"/>
    </row>
    <row r="133" spans="1:7" s="813" customFormat="1" ht="13.95" customHeight="1">
      <c r="A133" s="810"/>
      <c r="B133" s="810"/>
      <c r="C133" s="811"/>
      <c r="D133" s="1866"/>
      <c r="E133" s="1866"/>
      <c r="F133" s="1866"/>
      <c r="G133" s="812"/>
    </row>
    <row r="134" spans="1:7" s="723" customFormat="1" ht="13.95" customHeight="1">
      <c r="A134" s="789"/>
      <c r="B134" s="789"/>
      <c r="C134" s="805"/>
      <c r="D134" s="1866"/>
      <c r="E134" s="1866"/>
      <c r="F134" s="1866"/>
      <c r="G134" s="673"/>
    </row>
    <row r="135" spans="1:7" s="723" customFormat="1" ht="13.95" customHeight="1">
      <c r="A135" s="789"/>
      <c r="B135" s="789"/>
      <c r="C135" s="805"/>
      <c r="D135" s="1866"/>
      <c r="E135" s="1866"/>
      <c r="F135" s="1866"/>
      <c r="G135" s="673"/>
    </row>
    <row r="136" spans="1:7" s="723" customFormat="1" ht="13.95" customHeight="1">
      <c r="A136" s="789"/>
      <c r="B136" s="789"/>
      <c r="C136" s="805"/>
      <c r="D136" s="1866"/>
      <c r="E136" s="1866"/>
      <c r="F136" s="1866"/>
      <c r="G136" s="673"/>
    </row>
    <row r="137" spans="1:7" s="723" customFormat="1" ht="13.95" customHeight="1">
      <c r="A137" s="814"/>
      <c r="B137" s="814"/>
      <c r="C137" s="805"/>
      <c r="D137" s="1866"/>
      <c r="E137" s="1866"/>
      <c r="F137" s="1866"/>
      <c r="G137" s="673"/>
    </row>
    <row r="138" spans="1:7" s="619" customFormat="1" ht="13.95" customHeight="1">
      <c r="A138" s="802"/>
      <c r="B138" s="802"/>
      <c r="C138" s="807"/>
      <c r="D138" s="1866"/>
      <c r="E138" s="1866"/>
      <c r="F138" s="1866"/>
      <c r="G138" s="694"/>
    </row>
    <row r="139" spans="1:7" s="619" customFormat="1" ht="13.95" customHeight="1">
      <c r="A139" s="802"/>
      <c r="B139" s="802"/>
      <c r="C139" s="807"/>
      <c r="D139" s="1866"/>
      <c r="E139" s="1866"/>
      <c r="F139" s="1866"/>
      <c r="G139" s="694"/>
    </row>
    <row r="140" spans="1:7" s="723" customFormat="1" ht="13.95" customHeight="1">
      <c r="A140" s="789"/>
      <c r="B140" s="789"/>
      <c r="C140" s="805"/>
      <c r="D140" s="1866"/>
      <c r="E140" s="1866"/>
      <c r="F140" s="1866"/>
      <c r="G140" s="673"/>
    </row>
    <row r="141" spans="1:7" s="723" customFormat="1" ht="13.95" customHeight="1">
      <c r="A141" s="789"/>
      <c r="B141" s="789"/>
      <c r="C141" s="805"/>
      <c r="D141" s="1866"/>
      <c r="E141" s="1866"/>
      <c r="F141" s="1866"/>
      <c r="G141" s="673"/>
    </row>
    <row r="142" spans="1:7" s="723" customFormat="1" ht="13.95" customHeight="1">
      <c r="A142" s="789"/>
      <c r="B142" s="789"/>
      <c r="C142" s="805"/>
      <c r="D142" s="1866"/>
      <c r="E142" s="1866"/>
      <c r="F142" s="1866"/>
      <c r="G142" s="673"/>
    </row>
    <row r="143" spans="1:7" s="723" customFormat="1" ht="13.95" customHeight="1">
      <c r="A143" s="789"/>
      <c r="B143" s="789"/>
      <c r="C143" s="805"/>
      <c r="D143" s="1866"/>
      <c r="E143" s="1866"/>
      <c r="F143" s="1866"/>
      <c r="G143" s="673"/>
    </row>
    <row r="144" spans="1:7" s="723" customFormat="1" ht="13.95" customHeight="1">
      <c r="A144" s="789"/>
      <c r="B144" s="789"/>
      <c r="C144" s="805"/>
      <c r="D144" s="797"/>
      <c r="E144" s="786"/>
      <c r="F144" s="786"/>
      <c r="G144" s="673"/>
    </row>
    <row r="145" spans="1:7" s="723" customFormat="1" ht="13.95" customHeight="1">
      <c r="A145" s="789"/>
      <c r="B145" s="799" t="s">
        <v>2559</v>
      </c>
      <c r="C145" s="805"/>
      <c r="D145" s="1951" t="s">
        <v>1376</v>
      </c>
      <c r="E145" s="1951"/>
      <c r="F145" s="1951"/>
      <c r="G145" s="673"/>
    </row>
    <row r="146" spans="1:7" s="723" customFormat="1" ht="13.95" customHeight="1">
      <c r="A146" s="789"/>
      <c r="B146" s="789"/>
      <c r="C146" s="805"/>
      <c r="D146" s="1951"/>
      <c r="E146" s="1951"/>
      <c r="F146" s="1951"/>
      <c r="G146" s="673"/>
    </row>
    <row r="147" spans="1:7" s="723" customFormat="1" ht="13.95" customHeight="1">
      <c r="A147" s="789"/>
      <c r="B147" s="789"/>
      <c r="C147" s="805"/>
      <c r="D147" s="1951"/>
      <c r="E147" s="1951"/>
      <c r="F147" s="1951"/>
      <c r="G147" s="673"/>
    </row>
    <row r="148" spans="1:7" s="723" customFormat="1" ht="13.95" customHeight="1">
      <c r="A148" s="789"/>
      <c r="B148" s="789"/>
      <c r="C148" s="805"/>
      <c r="D148" s="1951"/>
      <c r="E148" s="1951"/>
      <c r="F148" s="1951"/>
      <c r="G148" s="673"/>
    </row>
    <row r="149" spans="1:7" s="723" customFormat="1" ht="13.95" customHeight="1">
      <c r="A149" s="789"/>
      <c r="B149" s="789"/>
      <c r="C149" s="805"/>
      <c r="D149" s="1951"/>
      <c r="E149" s="1951"/>
      <c r="F149" s="1951"/>
      <c r="G149" s="673"/>
    </row>
    <row r="150" spans="1:7" s="723" customFormat="1" ht="13.95" customHeight="1">
      <c r="A150" s="789"/>
      <c r="B150" s="789"/>
      <c r="C150" s="805"/>
      <c r="D150" s="1951"/>
      <c r="E150" s="1951"/>
      <c r="F150" s="1951"/>
      <c r="G150" s="673"/>
    </row>
    <row r="151" spans="1:7" s="723" customFormat="1" ht="13.95" customHeight="1">
      <c r="A151" s="789"/>
      <c r="B151" s="789"/>
      <c r="C151" s="805"/>
      <c r="D151" s="1951"/>
      <c r="E151" s="1951"/>
      <c r="F151" s="1951"/>
      <c r="G151" s="673"/>
    </row>
    <row r="152" spans="1:7" s="723" customFormat="1" ht="13.95" customHeight="1">
      <c r="A152" s="789"/>
      <c r="B152" s="789"/>
      <c r="C152" s="805"/>
      <c r="D152" s="1951"/>
      <c r="E152" s="1951"/>
      <c r="F152" s="1951"/>
      <c r="G152" s="673"/>
    </row>
    <row r="153" spans="1:7" s="723" customFormat="1" ht="13.95" customHeight="1">
      <c r="A153" s="789"/>
      <c r="B153" s="789"/>
      <c r="C153" s="805"/>
      <c r="D153" s="1951"/>
      <c r="E153" s="1951"/>
      <c r="F153" s="1951"/>
      <c r="G153" s="673"/>
    </row>
    <row r="154" spans="1:7" s="723" customFormat="1" ht="13.95" customHeight="1">
      <c r="A154" s="789"/>
      <c r="B154" s="789"/>
      <c r="C154" s="805"/>
      <c r="D154" s="1951"/>
      <c r="E154" s="1951"/>
      <c r="F154" s="1951"/>
      <c r="G154" s="673"/>
    </row>
    <row r="155" spans="1:7" s="723" customFormat="1" ht="13.95" customHeight="1">
      <c r="A155" s="789"/>
      <c r="B155" s="789"/>
      <c r="C155" s="805"/>
      <c r="D155" s="1951"/>
      <c r="E155" s="1951"/>
      <c r="F155" s="1951"/>
      <c r="G155" s="673"/>
    </row>
    <row r="156" spans="1:7" s="723" customFormat="1" ht="13.95" customHeight="1">
      <c r="A156" s="789"/>
      <c r="B156" s="789"/>
      <c r="C156" s="805"/>
      <c r="D156" s="1951"/>
      <c r="E156" s="1951"/>
      <c r="F156" s="1951"/>
      <c r="G156" s="673"/>
    </row>
    <row r="157" spans="1:7" s="723" customFormat="1" ht="13.95" customHeight="1">
      <c r="A157" s="789"/>
      <c r="B157" s="789"/>
      <c r="C157" s="805"/>
      <c r="D157" s="1951"/>
      <c r="E157" s="1951"/>
      <c r="F157" s="1951"/>
      <c r="G157" s="673"/>
    </row>
    <row r="158" spans="1:7" s="723" customFormat="1" ht="13.95" customHeight="1">
      <c r="A158" s="789"/>
      <c r="B158" s="789"/>
      <c r="C158" s="805"/>
      <c r="D158" s="1951"/>
      <c r="E158" s="1951"/>
      <c r="F158" s="1951"/>
      <c r="G158" s="673"/>
    </row>
    <row r="159" spans="1:7" s="723" customFormat="1" ht="13.95" customHeight="1">
      <c r="A159" s="789"/>
      <c r="B159" s="789"/>
      <c r="C159" s="805"/>
      <c r="D159" s="1951"/>
      <c r="E159" s="1951"/>
      <c r="F159" s="1951"/>
      <c r="G159" s="673"/>
    </row>
    <row r="160" spans="1:7" s="723" customFormat="1" ht="13.95" customHeight="1">
      <c r="A160" s="789"/>
      <c r="B160" s="789"/>
      <c r="C160" s="805"/>
      <c r="D160" s="1951"/>
      <c r="E160" s="1951"/>
      <c r="F160" s="1951"/>
      <c r="G160" s="673"/>
    </row>
    <row r="161" spans="1:7" s="723" customFormat="1" ht="13.95" customHeight="1">
      <c r="A161" s="789"/>
      <c r="B161" s="789"/>
      <c r="C161" s="805"/>
      <c r="D161" s="1951"/>
      <c r="E161" s="1951"/>
      <c r="F161" s="1951"/>
      <c r="G161" s="673"/>
    </row>
    <row r="162" spans="1:7" s="723" customFormat="1" ht="13.95" customHeight="1">
      <c r="A162" s="789"/>
      <c r="B162" s="789"/>
      <c r="C162" s="805"/>
      <c r="D162" s="1951"/>
      <c r="E162" s="1951"/>
      <c r="F162" s="1951"/>
      <c r="G162" s="673"/>
    </row>
    <row r="163" spans="1:7" s="723" customFormat="1" ht="13.95" customHeight="1">
      <c r="A163" s="789"/>
      <c r="B163" s="789"/>
      <c r="C163" s="805"/>
      <c r="D163" s="1974" t="s">
        <v>1414</v>
      </c>
      <c r="E163" s="1974"/>
      <c r="F163" s="1974"/>
      <c r="G163" s="858"/>
    </row>
    <row r="164" spans="1:7" s="723" customFormat="1" ht="13.95" customHeight="1">
      <c r="A164" s="789"/>
      <c r="B164" s="789"/>
      <c r="C164" s="805"/>
      <c r="D164" s="1973"/>
      <c r="E164" s="1973"/>
      <c r="F164" s="1973"/>
      <c r="G164" s="1973"/>
    </row>
    <row r="165" spans="1:7" s="723" customFormat="1" ht="14.7" customHeight="1">
      <c r="A165" s="814"/>
      <c r="B165" s="799" t="s">
        <v>2559</v>
      </c>
      <c r="C165" s="815"/>
      <c r="D165" s="1908" t="s">
        <v>1442</v>
      </c>
      <c r="E165" s="1908"/>
      <c r="F165" s="1908"/>
      <c r="G165" s="816"/>
    </row>
    <row r="166" spans="1:7" s="723" customFormat="1" ht="14.7" customHeight="1">
      <c r="A166" s="814"/>
      <c r="B166" s="814"/>
      <c r="C166" s="815"/>
      <c r="D166" s="1908"/>
      <c r="E166" s="1908"/>
      <c r="F166" s="1908"/>
      <c r="G166" s="816"/>
    </row>
    <row r="167" spans="1:7" s="723" customFormat="1" ht="13.95" customHeight="1">
      <c r="A167" s="814"/>
      <c r="B167" s="814"/>
      <c r="C167" s="815"/>
      <c r="D167" s="1908"/>
      <c r="E167" s="1908"/>
      <c r="F167" s="1908"/>
      <c r="G167" s="816"/>
    </row>
    <row r="168" spans="1:7" s="723" customFormat="1" ht="13.95" customHeight="1">
      <c r="A168" s="814"/>
      <c r="B168" s="814"/>
      <c r="C168" s="815"/>
      <c r="D168" s="797"/>
      <c r="E168" s="815"/>
      <c r="F168" s="815"/>
      <c r="G168" s="816"/>
    </row>
    <row r="169" spans="1:7" s="723" customFormat="1" ht="13.95" customHeight="1">
      <c r="A169" s="814"/>
      <c r="B169" s="799" t="s">
        <v>2558</v>
      </c>
      <c r="C169" s="815"/>
      <c r="D169" s="1851" t="s">
        <v>1270</v>
      </c>
      <c r="E169" s="1851"/>
      <c r="F169" s="1851"/>
      <c r="G169" s="816"/>
    </row>
    <row r="170" spans="1:7" s="723" customFormat="1" ht="13.95" customHeight="1">
      <c r="A170" s="814"/>
      <c r="B170" s="814"/>
      <c r="C170" s="815"/>
      <c r="D170" s="1851"/>
      <c r="E170" s="1851"/>
      <c r="F170" s="1851"/>
      <c r="G170" s="816"/>
    </row>
    <row r="171" spans="1:7" s="723" customFormat="1" ht="13.95" customHeight="1">
      <c r="A171" s="814"/>
      <c r="B171" s="814"/>
      <c r="C171" s="815"/>
      <c r="D171" s="1851"/>
      <c r="E171" s="1851"/>
      <c r="F171" s="1851"/>
      <c r="G171" s="816"/>
    </row>
    <row r="172" spans="1:7" s="723" customFormat="1" ht="13.95" customHeight="1">
      <c r="A172" s="814"/>
      <c r="B172" s="814"/>
      <c r="C172" s="815"/>
      <c r="D172" s="1851"/>
      <c r="E172" s="1851"/>
      <c r="F172" s="1851"/>
      <c r="G172" s="816"/>
    </row>
    <row r="173" spans="1:7" s="723" customFormat="1" ht="13.95" customHeight="1">
      <c r="A173" s="789"/>
      <c r="B173" s="789"/>
      <c r="C173" s="805"/>
      <c r="D173" s="786"/>
      <c r="E173" s="786"/>
      <c r="F173" s="786"/>
      <c r="G173" s="673"/>
    </row>
    <row r="174" spans="1:7" s="723" customFormat="1" ht="13.95" customHeight="1">
      <c r="A174" s="789"/>
      <c r="B174" s="799" t="s">
        <v>2559</v>
      </c>
      <c r="C174" s="805"/>
      <c r="D174" s="1896" t="s">
        <v>1271</v>
      </c>
      <c r="E174" s="1896"/>
      <c r="F174" s="1896"/>
      <c r="G174" s="673"/>
    </row>
    <row r="175" spans="1:7" s="723" customFormat="1" ht="13.95" customHeight="1">
      <c r="A175" s="789"/>
      <c r="B175" s="789"/>
      <c r="C175" s="805"/>
      <c r="D175" s="1896"/>
      <c r="E175" s="1896"/>
      <c r="F175" s="1896"/>
      <c r="G175" s="673"/>
    </row>
    <row r="176" spans="1:7" s="723" customFormat="1" ht="13.95" customHeight="1">
      <c r="A176" s="789"/>
      <c r="B176" s="789"/>
      <c r="C176" s="805"/>
      <c r="D176" s="1896"/>
      <c r="E176" s="1896"/>
      <c r="F176" s="1896"/>
      <c r="G176" s="673"/>
    </row>
    <row r="177" spans="1:7" s="723" customFormat="1" ht="13.95" customHeight="1">
      <c r="A177" s="817"/>
      <c r="B177" s="817"/>
      <c r="C177" s="805"/>
      <c r="D177" s="790"/>
      <c r="E177" s="786"/>
      <c r="F177" s="786"/>
      <c r="G177" s="673"/>
    </row>
    <row r="178" spans="1:7">
      <c r="A178" s="1874" t="s">
        <v>1165</v>
      </c>
      <c r="B178" s="1874"/>
      <c r="C178" s="1874"/>
      <c r="D178" s="1874"/>
      <c r="E178" s="1874"/>
      <c r="F178" s="1874"/>
      <c r="G178" s="1874"/>
    </row>
    <row r="179" spans="1:7" ht="12" customHeight="1">
      <c r="D179" s="801"/>
      <c r="E179" s="801"/>
      <c r="F179" s="801"/>
    </row>
    <row r="180" spans="1:7">
      <c r="B180" s="1944" t="s">
        <v>471</v>
      </c>
      <c r="C180" s="1944"/>
      <c r="D180" s="1944"/>
      <c r="E180" s="1944"/>
      <c r="F180" s="1944"/>
    </row>
    <row r="181" spans="1:7" ht="12" customHeight="1">
      <c r="A181" s="794"/>
      <c r="B181" s="794"/>
      <c r="C181" s="794"/>
    </row>
    <row r="182" spans="1:7">
      <c r="A182" s="1874" t="s">
        <v>1166</v>
      </c>
      <c r="B182" s="1874"/>
      <c r="C182" s="1874"/>
      <c r="D182" s="1874"/>
      <c r="E182" s="1874"/>
      <c r="F182" s="1874"/>
      <c r="G182" s="1874"/>
    </row>
    <row r="183" spans="1:7" ht="12" customHeight="1">
      <c r="A183" s="818"/>
      <c r="B183" s="818"/>
      <c r="C183" s="819"/>
      <c r="D183" s="820"/>
      <c r="E183" s="821"/>
      <c r="F183" s="820"/>
      <c r="G183" s="820"/>
    </row>
    <row r="184" spans="1:7" ht="13.95" customHeight="1">
      <c r="A184" s="818"/>
      <c r="B184" s="818"/>
      <c r="C184" s="819"/>
      <c r="D184" s="1910" t="s">
        <v>2264</v>
      </c>
      <c r="E184" s="1910"/>
      <c r="F184" s="1910"/>
      <c r="G184" s="820"/>
    </row>
    <row r="185" spans="1:7">
      <c r="A185" s="818"/>
      <c r="B185" s="818"/>
      <c r="C185" s="819"/>
      <c r="D185" s="1910"/>
      <c r="E185" s="1910"/>
      <c r="F185" s="1910"/>
      <c r="G185" s="820"/>
    </row>
    <row r="186" spans="1:7">
      <c r="A186" s="818"/>
      <c r="B186" s="818"/>
      <c r="C186" s="819"/>
      <c r="D186" s="1911" t="s">
        <v>1407</v>
      </c>
      <c r="E186" s="1911"/>
      <c r="F186" s="1911"/>
      <c r="G186" s="820"/>
    </row>
    <row r="187" spans="1:7">
      <c r="A187" s="818"/>
      <c r="B187" s="818"/>
      <c r="C187" s="819"/>
      <c r="D187" s="1720"/>
      <c r="E187" s="1720"/>
      <c r="F187" s="1720"/>
      <c r="G187" s="820"/>
    </row>
    <row r="188" spans="1:7">
      <c r="A188" s="818"/>
      <c r="B188" s="799" t="s">
        <v>2559</v>
      </c>
      <c r="C188" s="819"/>
      <c r="D188" s="1873" t="s">
        <v>2265</v>
      </c>
      <c r="E188" s="1873"/>
      <c r="F188" s="1873"/>
      <c r="G188" s="820"/>
    </row>
    <row r="189" spans="1:7">
      <c r="A189" s="818"/>
      <c r="B189" s="818"/>
      <c r="C189" s="819"/>
      <c r="D189" s="1877" t="s">
        <v>2266</v>
      </c>
      <c r="E189" s="1877"/>
      <c r="F189" s="1877"/>
      <c r="G189" s="820"/>
    </row>
    <row r="190" spans="1:7">
      <c r="A190" s="818"/>
      <c r="B190" s="818"/>
      <c r="C190" s="819"/>
      <c r="D190" s="1737" t="s">
        <v>2267</v>
      </c>
      <c r="E190" s="1978" t="s">
        <v>2268</v>
      </c>
      <c r="F190" s="1978"/>
      <c r="G190" s="820"/>
    </row>
    <row r="191" spans="1:7">
      <c r="A191" s="818"/>
      <c r="B191" s="818"/>
      <c r="C191" s="819"/>
      <c r="D191" s="155"/>
      <c r="E191" s="155"/>
      <c r="F191" s="155"/>
      <c r="G191" s="820"/>
    </row>
    <row r="192" spans="1:7">
      <c r="A192" s="818"/>
      <c r="B192" s="799" t="s">
        <v>2559</v>
      </c>
      <c r="C192" s="819"/>
      <c r="D192" s="1877" t="s">
        <v>2269</v>
      </c>
      <c r="E192" s="1877"/>
      <c r="F192" s="1877"/>
      <c r="G192" s="820"/>
    </row>
    <row r="193" spans="1:7">
      <c r="A193" s="818"/>
      <c r="B193" s="818"/>
      <c r="C193" s="819"/>
      <c r="D193" s="1873" t="s">
        <v>2266</v>
      </c>
      <c r="E193" s="1873"/>
      <c r="F193" s="1873"/>
      <c r="G193" s="820"/>
    </row>
    <row r="194" spans="1:7">
      <c r="A194" s="818"/>
      <c r="B194" s="818"/>
      <c r="C194" s="819"/>
      <c r="D194" s="1718" t="s">
        <v>2270</v>
      </c>
      <c r="E194" s="1977" t="s">
        <v>2271</v>
      </c>
      <c r="F194" s="1977"/>
      <c r="G194" s="820"/>
    </row>
    <row r="195" spans="1:7">
      <c r="A195" s="818"/>
      <c r="B195" s="818"/>
      <c r="C195" s="819"/>
      <c r="D195" s="155"/>
      <c r="E195" s="155"/>
      <c r="F195" s="155"/>
      <c r="G195" s="820"/>
    </row>
    <row r="196" spans="1:7">
      <c r="A196" s="818"/>
      <c r="B196" s="799" t="s">
        <v>2559</v>
      </c>
      <c r="C196" s="819"/>
      <c r="D196" s="1877" t="s">
        <v>2272</v>
      </c>
      <c r="E196" s="1877"/>
      <c r="F196" s="1877"/>
      <c r="G196" s="820"/>
    </row>
    <row r="197" spans="1:7">
      <c r="A197" s="818"/>
      <c r="B197" s="818"/>
      <c r="C197" s="819"/>
      <c r="D197" s="1713" t="s">
        <v>2266</v>
      </c>
      <c r="E197" s="155"/>
      <c r="F197" s="155"/>
      <c r="G197" s="820"/>
    </row>
    <row r="198" spans="1:7">
      <c r="A198" s="818"/>
      <c r="B198" s="818"/>
      <c r="C198" s="819"/>
      <c r="D198" s="1718" t="s">
        <v>2267</v>
      </c>
      <c r="E198" s="1977" t="s">
        <v>2273</v>
      </c>
      <c r="F198" s="1977"/>
      <c r="G198" s="820"/>
    </row>
    <row r="199" spans="1:7">
      <c r="A199" s="818"/>
      <c r="B199" s="818"/>
      <c r="C199" s="819"/>
      <c r="D199" s="1720"/>
      <c r="E199" s="1720"/>
      <c r="F199" s="1720"/>
      <c r="G199" s="820"/>
    </row>
    <row r="200" spans="1:7" ht="14.4">
      <c r="A200" s="798"/>
      <c r="B200" s="799" t="s">
        <v>2559</v>
      </c>
      <c r="C200" s="819"/>
      <c r="D200" s="1909" t="s">
        <v>2274</v>
      </c>
      <c r="E200" s="1909"/>
      <c r="F200" s="1909"/>
      <c r="G200" s="820"/>
    </row>
    <row r="201" spans="1:7" ht="14.4">
      <c r="A201" s="798"/>
      <c r="B201" s="798"/>
      <c r="C201" s="819"/>
      <c r="D201" s="1909"/>
      <c r="E201" s="1909"/>
      <c r="F201" s="1909"/>
      <c r="G201" s="820"/>
    </row>
    <row r="202" spans="1:7">
      <c r="A202" s="819"/>
      <c r="B202" s="819"/>
      <c r="C202" s="819"/>
      <c r="D202" s="1909"/>
      <c r="E202" s="1909"/>
      <c r="F202" s="1909"/>
    </row>
    <row r="203" spans="1:7">
      <c r="A203" s="819"/>
      <c r="B203" s="819"/>
      <c r="C203" s="819"/>
      <c r="D203" s="804"/>
      <c r="E203" s="820"/>
      <c r="F203" s="820"/>
    </row>
    <row r="204" spans="1:7">
      <c r="A204" s="819"/>
      <c r="B204" s="799" t="s">
        <v>2559</v>
      </c>
      <c r="C204" s="819"/>
      <c r="D204" s="1877" t="s">
        <v>2275</v>
      </c>
      <c r="E204" s="1877"/>
      <c r="F204" s="1877"/>
    </row>
    <row r="205" spans="1:7">
      <c r="A205" s="819"/>
      <c r="B205" s="819"/>
      <c r="C205" s="819"/>
      <c r="D205" s="1877" t="s">
        <v>2266</v>
      </c>
      <c r="E205" s="1877"/>
      <c r="F205" s="1877"/>
    </row>
    <row r="206" spans="1:7">
      <c r="A206" s="819"/>
      <c r="B206" s="819"/>
      <c r="C206" s="819"/>
      <c r="D206" s="1718" t="s">
        <v>2267</v>
      </c>
      <c r="E206" s="1977" t="s">
        <v>2276</v>
      </c>
      <c r="F206" s="1977"/>
    </row>
    <row r="207" spans="1:7">
      <c r="A207" s="819"/>
      <c r="B207" s="819"/>
      <c r="C207" s="819"/>
      <c r="D207" s="780"/>
      <c r="E207" s="780"/>
      <c r="F207" s="780"/>
    </row>
    <row r="208" spans="1:7" s="619" customFormat="1" ht="14.4">
      <c r="A208" s="798"/>
      <c r="B208" s="799" t="s">
        <v>2559</v>
      </c>
      <c r="C208" s="807"/>
      <c r="D208" s="1909" t="s">
        <v>1433</v>
      </c>
      <c r="E208" s="1909"/>
      <c r="F208" s="1909"/>
      <c r="G208" s="694"/>
    </row>
    <row r="209" spans="1:7" s="619" customFormat="1" ht="14.7" customHeight="1">
      <c r="A209" s="798"/>
      <c r="C209" s="807"/>
      <c r="D209" s="1909"/>
      <c r="E209" s="1909"/>
      <c r="F209" s="1909"/>
      <c r="G209" s="694"/>
    </row>
    <row r="210" spans="1:7" s="619" customFormat="1" ht="14.4">
      <c r="A210" s="798"/>
      <c r="B210" s="819"/>
      <c r="C210" s="807"/>
      <c r="D210" s="1909"/>
      <c r="E210" s="1909"/>
      <c r="F210" s="1909"/>
      <c r="G210" s="694"/>
    </row>
    <row r="211" spans="1:7" s="619" customFormat="1" ht="14.4">
      <c r="A211" s="798"/>
      <c r="B211" s="819"/>
      <c r="C211" s="807"/>
      <c r="D211" s="1909"/>
      <c r="E211" s="1909"/>
      <c r="F211" s="1909"/>
      <c r="G211" s="694"/>
    </row>
    <row r="212" spans="1:7">
      <c r="A212" s="819"/>
      <c r="B212" s="819"/>
      <c r="C212" s="819"/>
      <c r="D212" s="780"/>
      <c r="E212" s="780"/>
      <c r="F212" s="780"/>
    </row>
    <row r="213" spans="1:7">
      <c r="A213" s="1874" t="s">
        <v>1167</v>
      </c>
      <c r="B213" s="1874"/>
      <c r="C213" s="1874"/>
      <c r="D213" s="1874"/>
      <c r="E213" s="1874"/>
      <c r="F213" s="1874"/>
      <c r="G213" s="1874"/>
    </row>
    <row r="214" spans="1:7" ht="12" customHeight="1">
      <c r="D214" s="801"/>
      <c r="E214" s="801"/>
      <c r="F214" s="801"/>
    </row>
    <row r="215" spans="1:7">
      <c r="C215" s="808"/>
      <c r="D215" s="1970" t="s">
        <v>214</v>
      </c>
      <c r="E215" s="1970"/>
      <c r="F215" s="1970"/>
    </row>
    <row r="216" spans="1:7">
      <c r="A216" s="794"/>
      <c r="B216" s="794"/>
      <c r="C216" s="794"/>
      <c r="D216" s="1946" t="s">
        <v>1296</v>
      </c>
      <c r="E216" s="1946"/>
      <c r="F216" s="1946"/>
    </row>
    <row r="217" spans="1:7" ht="12" customHeight="1">
      <c r="A217" s="817"/>
      <c r="B217" s="817"/>
      <c r="C217" s="817"/>
    </row>
    <row r="218" spans="1:7" ht="13.95" customHeight="1">
      <c r="A218" s="817"/>
      <c r="C218" s="817"/>
      <c r="D218" s="1864" t="s">
        <v>580</v>
      </c>
      <c r="E218" s="1864"/>
      <c r="F218" s="1864"/>
    </row>
    <row r="219" spans="1:7" ht="14.4">
      <c r="A219" s="798"/>
      <c r="B219" s="799" t="s">
        <v>2558</v>
      </c>
      <c r="D219" s="1909" t="s">
        <v>2277</v>
      </c>
      <c r="E219" s="1909"/>
      <c r="F219" s="1909"/>
    </row>
    <row r="220" spans="1:7" ht="14.25" customHeight="1">
      <c r="A220" s="798"/>
      <c r="B220" s="798"/>
      <c r="D220" s="1909"/>
      <c r="E220" s="1909"/>
      <c r="F220" s="1909"/>
    </row>
    <row r="221" spans="1:7" ht="14.25" customHeight="1">
      <c r="A221" s="798"/>
      <c r="B221" s="798"/>
      <c r="D221" s="1909"/>
      <c r="E221" s="1909"/>
      <c r="F221" s="1909"/>
    </row>
    <row r="222" spans="1:7" ht="14.4">
      <c r="A222" s="798"/>
      <c r="B222" s="798"/>
      <c r="D222" s="1909"/>
      <c r="E222" s="1909"/>
      <c r="F222" s="1909"/>
    </row>
    <row r="223" spans="1:7" ht="14.4">
      <c r="A223" s="798"/>
      <c r="B223" s="798"/>
      <c r="D223" s="1719"/>
      <c r="E223" s="1719"/>
      <c r="F223" s="1719"/>
    </row>
    <row r="224" spans="1:7" ht="14.4">
      <c r="A224" s="798"/>
      <c r="B224" s="799" t="s">
        <v>2558</v>
      </c>
      <c r="D224" s="1909" t="s">
        <v>2278</v>
      </c>
      <c r="E224" s="1909"/>
      <c r="F224" s="1909"/>
    </row>
    <row r="225" spans="1:6" ht="14.4">
      <c r="A225" s="798"/>
      <c r="B225" s="798"/>
      <c r="D225" s="1909"/>
      <c r="E225" s="1909"/>
      <c r="F225" s="1909"/>
    </row>
    <row r="226" spans="1:6" ht="14.4">
      <c r="A226" s="798"/>
      <c r="B226" s="798"/>
      <c r="D226" s="1909"/>
      <c r="E226" s="1909"/>
      <c r="F226" s="1909"/>
    </row>
    <row r="227" spans="1:6" ht="14.4">
      <c r="A227" s="798"/>
      <c r="B227" s="798"/>
      <c r="D227" s="1909"/>
      <c r="E227" s="1909"/>
      <c r="F227" s="1909"/>
    </row>
    <row r="228" spans="1:6" ht="14.25" customHeight="1">
      <c r="A228" s="798"/>
      <c r="B228" s="798"/>
      <c r="D228" s="1909"/>
      <c r="E228" s="1909"/>
      <c r="F228" s="1909"/>
    </row>
    <row r="229" spans="1:6" ht="14.25" customHeight="1">
      <c r="A229" s="798"/>
      <c r="B229" s="798"/>
      <c r="D229" s="1719"/>
      <c r="E229" s="1719"/>
      <c r="F229" s="1719"/>
    </row>
    <row r="230" spans="1:6" ht="14.4">
      <c r="A230" s="798"/>
      <c r="B230" s="798"/>
      <c r="D230" s="1909" t="s">
        <v>1292</v>
      </c>
      <c r="E230" s="1909"/>
      <c r="F230" s="1909"/>
    </row>
    <row r="231" spans="1:6" ht="14.4">
      <c r="A231" s="798"/>
      <c r="B231" s="798"/>
      <c r="D231" s="1909"/>
      <c r="E231" s="1909"/>
      <c r="F231" s="1909"/>
    </row>
    <row r="232" spans="1:6" ht="14.4">
      <c r="A232" s="798"/>
      <c r="B232" s="798"/>
      <c r="D232" s="1909"/>
      <c r="E232" s="1909"/>
      <c r="F232" s="1909"/>
    </row>
    <row r="233" spans="1:6" ht="14.4">
      <c r="A233" s="798"/>
      <c r="B233" s="798"/>
      <c r="D233" s="1909"/>
      <c r="E233" s="1909"/>
      <c r="F233" s="1909"/>
    </row>
    <row r="234" spans="1:6" ht="14.4">
      <c r="A234" s="798"/>
      <c r="B234" s="798"/>
      <c r="D234" s="1909"/>
      <c r="E234" s="1909"/>
      <c r="F234" s="1909"/>
    </row>
    <row r="235" spans="1:6" ht="14.4">
      <c r="A235" s="798"/>
      <c r="B235" s="798"/>
      <c r="D235" s="801"/>
      <c r="E235" s="801"/>
      <c r="F235" s="801"/>
    </row>
    <row r="236" spans="1:6" ht="14.4">
      <c r="A236" s="798"/>
      <c r="B236" s="799" t="s">
        <v>2559</v>
      </c>
      <c r="D236" s="1943" t="s">
        <v>2282</v>
      </c>
      <c r="E236" s="1943"/>
      <c r="F236" s="1943"/>
    </row>
    <row r="237" spans="1:6" ht="14.4">
      <c r="A237" s="798"/>
      <c r="B237" s="798"/>
      <c r="D237" s="1943"/>
      <c r="E237" s="1943"/>
      <c r="F237" s="1943"/>
    </row>
    <row r="238" spans="1:6" ht="14.4">
      <c r="A238" s="798"/>
      <c r="B238" s="798"/>
      <c r="D238" s="1943"/>
      <c r="E238" s="1943"/>
      <c r="F238" s="1943"/>
    </row>
    <row r="239" spans="1:6" ht="14.4">
      <c r="A239" s="798"/>
      <c r="B239" s="798"/>
      <c r="D239" s="1944" t="s">
        <v>966</v>
      </c>
      <c r="E239" s="1944"/>
      <c r="F239" s="1944"/>
    </row>
    <row r="240" spans="1:6" ht="14.4">
      <c r="A240" s="798"/>
      <c r="B240" s="798"/>
      <c r="D240" s="801"/>
      <c r="E240" s="801"/>
      <c r="F240" s="801"/>
    </row>
    <row r="241" spans="1:7" ht="14.7" customHeight="1">
      <c r="A241" s="798"/>
      <c r="B241" s="799" t="s">
        <v>2559</v>
      </c>
      <c r="D241" s="1943" t="s">
        <v>1295</v>
      </c>
      <c r="E241" s="1943"/>
      <c r="F241" s="1943"/>
    </row>
    <row r="242" spans="1:7" ht="14.4">
      <c r="A242" s="798"/>
      <c r="B242" s="798"/>
      <c r="D242" s="1943"/>
      <c r="E242" s="1943"/>
      <c r="F242" s="1943"/>
    </row>
    <row r="243" spans="1:7" ht="14.4">
      <c r="A243" s="798"/>
      <c r="B243" s="798"/>
      <c r="D243" s="1943"/>
      <c r="E243" s="1943"/>
      <c r="F243" s="1943"/>
    </row>
    <row r="244" spans="1:7" ht="14.4">
      <c r="A244" s="798"/>
      <c r="B244" s="798"/>
      <c r="D244" s="1943"/>
      <c r="E244" s="1943"/>
      <c r="F244" s="1943"/>
    </row>
    <row r="245" spans="1:7" ht="14.4">
      <c r="A245" s="798"/>
      <c r="B245" s="798"/>
      <c r="D245" s="1943"/>
      <c r="E245" s="1943"/>
      <c r="F245" s="1943"/>
    </row>
    <row r="246" spans="1:7" ht="14.4">
      <c r="A246" s="798"/>
      <c r="B246" s="798"/>
      <c r="D246" s="1731"/>
      <c r="E246" s="1731"/>
      <c r="F246" s="1731"/>
    </row>
    <row r="247" spans="1:7" ht="14.4">
      <c r="A247" s="798"/>
      <c r="B247" s="799" t="s">
        <v>2558</v>
      </c>
      <c r="D247" s="1730" t="s">
        <v>2279</v>
      </c>
      <c r="E247" s="1731"/>
      <c r="F247" s="1731"/>
    </row>
    <row r="248" spans="1:7" ht="14.4">
      <c r="A248" s="798"/>
      <c r="B248" s="798"/>
      <c r="D248" s="1730"/>
      <c r="E248" s="1738" t="s">
        <v>2280</v>
      </c>
      <c r="F248" s="1731"/>
    </row>
    <row r="249" spans="1:7">
      <c r="D249" s="801"/>
      <c r="E249" s="801"/>
      <c r="F249" s="801"/>
    </row>
    <row r="250" spans="1:7" ht="14.4">
      <c r="A250" s="798"/>
      <c r="B250" s="799" t="s">
        <v>2558</v>
      </c>
      <c r="D250" s="1909" t="s">
        <v>1294</v>
      </c>
      <c r="E250" s="1909"/>
      <c r="F250" s="1909"/>
    </row>
    <row r="251" spans="1:7" ht="14.4">
      <c r="A251" s="798"/>
      <c r="B251" s="798"/>
      <c r="D251" s="1909"/>
      <c r="E251" s="1909"/>
      <c r="F251" s="1909"/>
    </row>
    <row r="252" spans="1:7">
      <c r="D252" s="822"/>
    </row>
    <row r="253" spans="1:7">
      <c r="A253" s="1874" t="s">
        <v>1168</v>
      </c>
      <c r="B253" s="1874"/>
      <c r="C253" s="1874"/>
      <c r="D253" s="1874"/>
      <c r="E253" s="1874"/>
      <c r="F253" s="1874"/>
      <c r="G253" s="1874"/>
    </row>
    <row r="254" spans="1:7">
      <c r="D254" s="822"/>
    </row>
    <row r="255" spans="1:7">
      <c r="C255" s="808"/>
      <c r="D255" s="1864" t="s">
        <v>1297</v>
      </c>
      <c r="E255" s="1864"/>
      <c r="F255" s="1864"/>
    </row>
    <row r="256" spans="1:7">
      <c r="A256" s="794"/>
      <c r="B256" s="794"/>
      <c r="C256" s="794"/>
      <c r="D256" s="801"/>
      <c r="E256" s="801"/>
      <c r="F256" s="801"/>
    </row>
    <row r="257" spans="1:6">
      <c r="A257" s="796"/>
      <c r="B257" s="796"/>
      <c r="C257" s="796"/>
      <c r="D257" s="1864" t="s">
        <v>277</v>
      </c>
      <c r="E257" s="1864"/>
      <c r="F257" s="1864"/>
    </row>
    <row r="258" spans="1:6" ht="14.7" customHeight="1">
      <c r="A258" s="798"/>
      <c r="B258" s="799" t="s">
        <v>2558</v>
      </c>
      <c r="D258" s="1963" t="s">
        <v>1408</v>
      </c>
      <c r="E258" s="1963"/>
      <c r="F258" s="1963"/>
    </row>
    <row r="259" spans="1:6">
      <c r="D259" s="1963"/>
      <c r="E259" s="1963"/>
      <c r="F259" s="1963"/>
    </row>
    <row r="260" spans="1:6">
      <c r="D260" s="1946" t="s">
        <v>957</v>
      </c>
      <c r="E260" s="1946"/>
      <c r="F260" s="1946"/>
    </row>
    <row r="261" spans="1:6">
      <c r="D261" s="801"/>
      <c r="E261" s="801"/>
      <c r="F261" s="801"/>
    </row>
    <row r="262" spans="1:6" ht="14.7" customHeight="1">
      <c r="A262" s="798"/>
      <c r="B262" s="799" t="s">
        <v>2559</v>
      </c>
      <c r="D262" s="1943" t="s">
        <v>2281</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801"/>
      <c r="E268" s="801"/>
      <c r="F268" s="801"/>
    </row>
    <row r="269" spans="1:6" ht="14.4">
      <c r="A269" s="798"/>
      <c r="B269" s="799" t="s">
        <v>2559</v>
      </c>
      <c r="D269" s="1909" t="s">
        <v>1300</v>
      </c>
      <c r="E269" s="1909"/>
      <c r="F269" s="1909"/>
    </row>
    <row r="270" spans="1:6">
      <c r="D270" s="1909"/>
      <c r="E270" s="1909"/>
      <c r="F270" s="1909"/>
    </row>
    <row r="271" spans="1:6">
      <c r="D271" s="1909"/>
      <c r="E271" s="1909"/>
      <c r="F271" s="1909"/>
    </row>
    <row r="272" spans="1:6">
      <c r="D272" s="823"/>
      <c r="E272" s="801"/>
      <c r="F272" s="801"/>
    </row>
    <row r="273" spans="1:7">
      <c r="A273" s="1874" t="s">
        <v>1169</v>
      </c>
      <c r="B273" s="1874"/>
      <c r="C273" s="1874"/>
      <c r="D273" s="1874"/>
      <c r="E273" s="1874"/>
      <c r="F273" s="1874"/>
      <c r="G273" s="1874"/>
    </row>
    <row r="274" spans="1:7">
      <c r="D274" s="823"/>
      <c r="E274" s="801"/>
      <c r="F274" s="801"/>
    </row>
    <row r="275" spans="1:7">
      <c r="C275" s="794"/>
      <c r="D275" s="1945" t="s">
        <v>1302</v>
      </c>
      <c r="E275" s="1945"/>
      <c r="F275" s="1945"/>
    </row>
    <row r="276" spans="1:7">
      <c r="C276" s="794"/>
      <c r="D276" s="1945"/>
      <c r="E276" s="1945"/>
      <c r="F276" s="1945"/>
    </row>
    <row r="277" spans="1:7">
      <c r="A277" s="796"/>
      <c r="B277" s="796"/>
      <c r="C277" s="796"/>
      <c r="D277" s="623"/>
      <c r="E277" s="673"/>
      <c r="F277" s="673"/>
    </row>
    <row r="278" spans="1:7">
      <c r="C278" s="796"/>
      <c r="D278" s="1864" t="s">
        <v>215</v>
      </c>
      <c r="E278" s="1864"/>
      <c r="F278" s="1864"/>
    </row>
    <row r="279" spans="1:7" ht="15.75" customHeight="1">
      <c r="A279" s="798"/>
      <c r="B279" s="798"/>
      <c r="D279" s="1956" t="s">
        <v>1303</v>
      </c>
      <c r="E279" s="1956"/>
      <c r="F279" s="1956"/>
    </row>
    <row r="280" spans="1:7">
      <c r="E280" s="801"/>
      <c r="F280" s="801"/>
    </row>
    <row r="281" spans="1:7" ht="14.4">
      <c r="A281" s="798"/>
      <c r="B281" s="799" t="s">
        <v>2559</v>
      </c>
      <c r="D281" s="1909" t="s">
        <v>1304</v>
      </c>
      <c r="E281" s="1909"/>
      <c r="F281" s="1909"/>
    </row>
    <row r="282" spans="1:7" ht="14.4">
      <c r="A282" s="798"/>
      <c r="B282" s="798"/>
      <c r="D282" s="1909"/>
      <c r="E282" s="1909"/>
      <c r="F282" s="1909"/>
    </row>
    <row r="283" spans="1:7">
      <c r="D283" s="801"/>
      <c r="E283" s="801"/>
      <c r="F283" s="801"/>
    </row>
    <row r="284" spans="1:7" ht="14.4">
      <c r="A284" s="798"/>
      <c r="B284" s="799" t="s">
        <v>2559</v>
      </c>
      <c r="D284" s="1943" t="s">
        <v>1305</v>
      </c>
      <c r="E284" s="1943"/>
      <c r="F284" s="1943"/>
    </row>
    <row r="285" spans="1:7" ht="14.4">
      <c r="A285" s="798"/>
      <c r="B285" s="798"/>
      <c r="D285" s="1943"/>
      <c r="E285" s="1943"/>
      <c r="F285" s="1943"/>
    </row>
    <row r="286" spans="1:7" ht="14.4">
      <c r="A286" s="798"/>
      <c r="B286" s="798"/>
      <c r="D286" s="1943"/>
      <c r="E286" s="1943"/>
      <c r="F286" s="1943"/>
    </row>
    <row r="287" spans="1:7">
      <c r="D287" s="801"/>
      <c r="E287" s="801"/>
      <c r="F287" s="801"/>
    </row>
    <row r="288" spans="1:7" ht="14.4">
      <c r="A288" s="798"/>
      <c r="B288" s="799" t="s">
        <v>2559</v>
      </c>
      <c r="D288" s="1909" t="s">
        <v>1306</v>
      </c>
      <c r="E288" s="1909"/>
      <c r="F288" s="1909"/>
    </row>
    <row r="289" spans="1:7" ht="14.4">
      <c r="A289" s="798"/>
      <c r="B289" s="798"/>
      <c r="D289" s="1909"/>
      <c r="E289" s="1909"/>
      <c r="F289" s="1909"/>
    </row>
    <row r="290" spans="1:7">
      <c r="A290" s="817"/>
      <c r="B290" s="817"/>
      <c r="E290" s="801"/>
      <c r="F290" s="801"/>
    </row>
    <row r="291" spans="1:7">
      <c r="A291" s="1874" t="s">
        <v>1170</v>
      </c>
      <c r="B291" s="1874"/>
      <c r="C291" s="1874"/>
      <c r="D291" s="1874"/>
      <c r="E291" s="1874"/>
      <c r="F291" s="1874"/>
      <c r="G291" s="1874"/>
    </row>
    <row r="292" spans="1:7">
      <c r="A292" s="817"/>
      <c r="B292" s="817"/>
      <c r="D292" s="801"/>
      <c r="E292" s="801"/>
      <c r="F292" s="801"/>
    </row>
    <row r="293" spans="1:7">
      <c r="C293" s="817"/>
      <c r="D293" s="1864" t="s">
        <v>720</v>
      </c>
      <c r="E293" s="1864"/>
      <c r="F293" s="1864"/>
    </row>
    <row r="294" spans="1:7">
      <c r="C294" s="817"/>
      <c r="D294" s="1914" t="s">
        <v>1307</v>
      </c>
      <c r="E294" s="1914"/>
      <c r="F294" s="1914"/>
    </row>
    <row r="295" spans="1:7">
      <c r="C295" s="817"/>
      <c r="D295" s="824"/>
    </row>
    <row r="296" spans="1:7">
      <c r="A296" s="802"/>
      <c r="B296" s="799" t="s">
        <v>2559</v>
      </c>
      <c r="D296" s="1914" t="s">
        <v>1308</v>
      </c>
      <c r="E296" s="1914"/>
      <c r="F296" s="1914"/>
    </row>
    <row r="297" spans="1:7" s="792" customFormat="1" ht="14.4">
      <c r="A297" s="806"/>
      <c r="B297" s="806"/>
      <c r="C297" s="802"/>
      <c r="D297" s="825"/>
      <c r="E297" s="826"/>
      <c r="F297" s="826"/>
      <c r="G297" s="803"/>
    </row>
    <row r="298" spans="1:7" s="792" customFormat="1" ht="13.95" customHeight="1">
      <c r="A298" s="802"/>
      <c r="B298" s="799" t="s">
        <v>2559</v>
      </c>
      <c r="C298" s="802"/>
      <c r="D298" s="1952" t="s">
        <v>1437</v>
      </c>
      <c r="E298" s="1952"/>
      <c r="F298" s="1952"/>
      <c r="G298" s="803"/>
    </row>
    <row r="299" spans="1:7" s="792" customFormat="1" ht="14.4">
      <c r="A299" s="806"/>
      <c r="B299" s="806"/>
      <c r="C299" s="802"/>
      <c r="D299" s="1952"/>
      <c r="E299" s="1952"/>
      <c r="F299" s="1952"/>
      <c r="G299" s="803"/>
    </row>
    <row r="300" spans="1:7" s="792" customFormat="1" ht="14.4">
      <c r="A300" s="806"/>
      <c r="B300" s="806"/>
      <c r="C300" s="802"/>
      <c r="D300" s="1952"/>
      <c r="E300" s="1952"/>
      <c r="F300" s="1952"/>
      <c r="G300" s="803"/>
    </row>
    <row r="301" spans="1:7" s="792" customFormat="1" ht="14.4">
      <c r="A301" s="806"/>
      <c r="B301" s="806"/>
      <c r="C301" s="802"/>
      <c r="D301" s="1952"/>
      <c r="E301" s="1952"/>
      <c r="F301" s="1952"/>
      <c r="G301" s="803"/>
    </row>
    <row r="302" spans="1:7" s="792" customFormat="1" ht="14.4">
      <c r="A302" s="806"/>
      <c r="B302" s="806"/>
      <c r="C302" s="802"/>
      <c r="D302" s="1952"/>
      <c r="E302" s="1952"/>
      <c r="F302" s="1952"/>
      <c r="G302" s="803"/>
    </row>
    <row r="303" spans="1:7" s="792" customFormat="1" ht="14.4">
      <c r="A303" s="806"/>
      <c r="B303" s="806"/>
      <c r="C303" s="802"/>
      <c r="D303" s="825"/>
      <c r="E303" s="826"/>
      <c r="F303" s="826"/>
      <c r="G303" s="803"/>
    </row>
    <row r="304" spans="1:7" s="792" customFormat="1" ht="13.95" customHeight="1">
      <c r="A304" s="802"/>
      <c r="B304" s="799" t="s">
        <v>2559</v>
      </c>
      <c r="C304" s="802"/>
      <c r="D304" s="1952" t="s">
        <v>1310</v>
      </c>
      <c r="E304" s="1952"/>
      <c r="F304" s="1952"/>
      <c r="G304" s="803"/>
    </row>
    <row r="305" spans="1:7" s="792" customFormat="1">
      <c r="A305" s="802"/>
      <c r="B305" s="802"/>
      <c r="C305" s="802"/>
      <c r="D305" s="1952"/>
      <c r="E305" s="1952"/>
      <c r="F305" s="1952"/>
      <c r="G305" s="803"/>
    </row>
    <row r="306" spans="1:7" s="792" customFormat="1" ht="14.4">
      <c r="A306" s="806"/>
      <c r="B306" s="806"/>
      <c r="C306" s="802"/>
      <c r="D306" s="825"/>
      <c r="E306" s="826"/>
      <c r="F306" s="826"/>
      <c r="G306" s="803"/>
    </row>
    <row r="307" spans="1:7">
      <c r="A307" s="802"/>
      <c r="B307" s="799" t="s">
        <v>2559</v>
      </c>
      <c r="D307" s="1914" t="s">
        <v>1311</v>
      </c>
      <c r="E307" s="1914"/>
      <c r="F307" s="1914"/>
    </row>
    <row r="308" spans="1:7">
      <c r="E308" s="801"/>
      <c r="F308" s="801"/>
    </row>
    <row r="309" spans="1:7" ht="14.4">
      <c r="A309" s="798"/>
      <c r="B309" s="799" t="s">
        <v>2559</v>
      </c>
      <c r="D309" s="1943" t="s">
        <v>1465</v>
      </c>
      <c r="E309" s="1943"/>
      <c r="F309" s="1943"/>
    </row>
    <row r="310" spans="1:7" ht="14.4">
      <c r="A310" s="798"/>
      <c r="B310" s="798"/>
      <c r="D310" s="1943"/>
      <c r="E310" s="1943"/>
      <c r="F310" s="1943"/>
    </row>
    <row r="311" spans="1:7" ht="14.4">
      <c r="A311" s="798"/>
      <c r="B311" s="798"/>
      <c r="D311" s="1943"/>
      <c r="E311" s="1943"/>
      <c r="F311" s="1943"/>
    </row>
    <row r="312" spans="1:7" ht="14.4">
      <c r="A312" s="798"/>
      <c r="B312" s="798"/>
      <c r="D312" s="1943"/>
      <c r="E312" s="1943"/>
      <c r="F312" s="1943"/>
    </row>
    <row r="313" spans="1:7" ht="14.4">
      <c r="A313" s="798"/>
      <c r="B313" s="798"/>
      <c r="D313" s="1943"/>
      <c r="E313" s="1943"/>
      <c r="F313" s="1943"/>
    </row>
    <row r="314" spans="1:7" ht="14.4">
      <c r="A314" s="798"/>
      <c r="B314" s="798"/>
      <c r="D314" s="1943"/>
      <c r="E314" s="1943"/>
      <c r="F314" s="1943"/>
    </row>
    <row r="315" spans="1:7" ht="14.4">
      <c r="A315" s="798"/>
      <c r="B315" s="798"/>
      <c r="D315" s="1943"/>
      <c r="E315" s="1943"/>
      <c r="F315" s="1943"/>
    </row>
    <row r="316" spans="1:7" ht="14.4">
      <c r="A316" s="798"/>
      <c r="B316" s="798"/>
      <c r="D316" s="1943"/>
      <c r="E316" s="1943"/>
      <c r="F316" s="1943"/>
    </row>
    <row r="317" spans="1:7" ht="14.4">
      <c r="A317" s="798"/>
      <c r="B317" s="798"/>
      <c r="D317" s="1943"/>
      <c r="E317" s="1943"/>
      <c r="F317" s="1943"/>
    </row>
    <row r="318" spans="1:7" ht="14.4">
      <c r="A318" s="798"/>
      <c r="B318" s="798"/>
      <c r="D318" s="1943"/>
      <c r="E318" s="1943"/>
      <c r="F318" s="1943"/>
    </row>
    <row r="319" spans="1:7" ht="14.4">
      <c r="A319" s="798"/>
      <c r="B319" s="798"/>
      <c r="D319" s="1943"/>
      <c r="E319" s="1943"/>
      <c r="F319" s="1943"/>
    </row>
    <row r="320" spans="1:7" ht="14.4">
      <c r="A320" s="798"/>
      <c r="B320" s="798"/>
      <c r="D320" s="1943"/>
      <c r="E320" s="1943"/>
      <c r="F320" s="1943"/>
    </row>
    <row r="321" spans="1:7" ht="14.4">
      <c r="A321" s="798"/>
      <c r="B321" s="798"/>
      <c r="D321" s="1943"/>
      <c r="E321" s="1943"/>
      <c r="F321" s="1943"/>
    </row>
    <row r="322" spans="1:7" ht="14.4">
      <c r="A322" s="798"/>
      <c r="B322" s="798"/>
      <c r="D322" s="1943"/>
      <c r="E322" s="1943"/>
      <c r="F322" s="1943"/>
    </row>
    <row r="323" spans="1:7" ht="14.4">
      <c r="A323" s="798"/>
      <c r="B323" s="798"/>
      <c r="D323" s="1943"/>
      <c r="E323" s="1943"/>
      <c r="F323" s="1943"/>
    </row>
    <row r="324" spans="1:7">
      <c r="D324" s="801"/>
      <c r="E324" s="801"/>
      <c r="F324" s="801"/>
    </row>
    <row r="325" spans="1:7" ht="14.4">
      <c r="A325" s="798"/>
      <c r="B325" s="799" t="s">
        <v>2559</v>
      </c>
      <c r="D325" s="1943" t="s">
        <v>1313</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801"/>
      <c r="E334" s="801"/>
      <c r="F334" s="801"/>
    </row>
    <row r="335" spans="1:7" ht="14.4">
      <c r="A335" s="798"/>
      <c r="B335" s="799" t="s">
        <v>2559</v>
      </c>
      <c r="D335" s="1909" t="s">
        <v>1515</v>
      </c>
      <c r="E335" s="1909"/>
      <c r="F335" s="1909"/>
    </row>
    <row r="336" spans="1:7">
      <c r="D336" s="1909"/>
      <c r="E336" s="1909"/>
      <c r="F336" s="1909"/>
      <c r="G336" s="791"/>
    </row>
    <row r="337" spans="1:9">
      <c r="D337" s="1909"/>
      <c r="E337" s="1909"/>
      <c r="F337" s="1909"/>
      <c r="G337" s="791"/>
    </row>
    <row r="338" spans="1:9">
      <c r="D338" s="1909"/>
      <c r="E338" s="1909"/>
      <c r="F338" s="1909"/>
      <c r="G338" s="791"/>
    </row>
    <row r="339" spans="1:9">
      <c r="D339" s="1909"/>
      <c r="E339" s="1909"/>
      <c r="F339" s="1909"/>
      <c r="G339" s="791"/>
    </row>
    <row r="340" spans="1:9">
      <c r="D340" s="1909"/>
      <c r="E340" s="1909"/>
      <c r="F340" s="1909"/>
      <c r="G340" s="791"/>
    </row>
    <row r="341" spans="1:9">
      <c r="D341" s="785"/>
      <c r="E341" s="785"/>
      <c r="F341" s="785"/>
      <c r="G341" s="791"/>
    </row>
    <row r="342" spans="1:9" ht="13.8" thickBot="1">
      <c r="D342" s="1962" t="s">
        <v>1063</v>
      </c>
      <c r="E342" s="1962"/>
      <c r="F342" s="1962"/>
      <c r="G342" s="791"/>
    </row>
    <row r="343" spans="1:9" ht="13.8" thickTop="1">
      <c r="D343" s="1953" t="s">
        <v>1315</v>
      </c>
      <c r="E343" s="1953"/>
      <c r="F343" s="1953"/>
      <c r="G343" s="791"/>
    </row>
    <row r="344" spans="1:9">
      <c r="A344" s="815"/>
      <c r="B344" s="815"/>
      <c r="C344" s="815"/>
      <c r="D344" s="787"/>
      <c r="E344" s="787"/>
      <c r="F344" s="801"/>
      <c r="G344" s="791"/>
    </row>
    <row r="345" spans="1:9" ht="14.4">
      <c r="A345" s="798"/>
      <c r="B345" s="799" t="s">
        <v>2559</v>
      </c>
      <c r="C345" s="815"/>
      <c r="D345" s="1921" t="s">
        <v>1316</v>
      </c>
      <c r="E345" s="1921"/>
      <c r="F345" s="1921"/>
      <c r="G345" s="791"/>
    </row>
    <row r="346" spans="1:9">
      <c r="A346" s="815"/>
      <c r="B346" s="815"/>
      <c r="C346" s="815"/>
      <c r="D346" s="787"/>
      <c r="E346" s="787"/>
      <c r="F346" s="801"/>
      <c r="G346" s="791"/>
    </row>
    <row r="347" spans="1:9">
      <c r="A347" s="815"/>
      <c r="B347" s="799" t="s">
        <v>2559</v>
      </c>
      <c r="C347" s="815"/>
      <c r="D347" s="1905" t="s">
        <v>1440</v>
      </c>
      <c r="E347" s="1905"/>
      <c r="F347" s="1905"/>
      <c r="G347" s="791"/>
    </row>
    <row r="348" spans="1:9">
      <c r="A348" s="815"/>
      <c r="B348" s="815"/>
      <c r="C348" s="815"/>
      <c r="D348" s="1905"/>
      <c r="E348" s="1905"/>
      <c r="F348" s="1905"/>
      <c r="G348" s="791"/>
    </row>
    <row r="349" spans="1:9">
      <c r="A349" s="815"/>
      <c r="B349" s="815"/>
      <c r="C349" s="815"/>
      <c r="D349" s="1905"/>
      <c r="E349" s="1905"/>
      <c r="F349" s="1905"/>
      <c r="G349" s="791"/>
    </row>
    <row r="350" spans="1:9">
      <c r="A350" s="815"/>
      <c r="B350" s="815"/>
      <c r="C350" s="815"/>
      <c r="D350" s="1905"/>
      <c r="E350" s="1905"/>
      <c r="F350" s="1905"/>
      <c r="G350" s="791"/>
    </row>
    <row r="351" spans="1:9">
      <c r="A351" s="815"/>
      <c r="B351" s="815"/>
      <c r="C351" s="815"/>
      <c r="D351" s="1905"/>
      <c r="E351" s="1905"/>
      <c r="F351" s="1905"/>
      <c r="G351" s="791"/>
      <c r="I351" s="1790"/>
    </row>
    <row r="352" spans="1:9">
      <c r="A352" s="815"/>
      <c r="B352" s="815"/>
      <c r="C352" s="815"/>
      <c r="D352" s="1905"/>
      <c r="E352" s="1905"/>
      <c r="F352" s="1905"/>
      <c r="G352" s="791"/>
      <c r="I352" s="1790"/>
    </row>
    <row r="353" spans="1:9">
      <c r="A353" s="815"/>
      <c r="B353" s="815"/>
      <c r="C353" s="815"/>
      <c r="D353" s="1905"/>
      <c r="E353" s="1905"/>
      <c r="F353" s="1905"/>
      <c r="G353" s="791"/>
      <c r="I353" s="1790"/>
    </row>
    <row r="354" spans="1:9">
      <c r="A354" s="815"/>
      <c r="B354" s="815"/>
      <c r="C354" s="815"/>
      <c r="D354" s="1905"/>
      <c r="E354" s="1905"/>
      <c r="F354" s="1905"/>
      <c r="G354" s="791"/>
      <c r="I354" s="1790"/>
    </row>
    <row r="355" spans="1:9">
      <c r="A355" s="815"/>
      <c r="B355" s="815"/>
      <c r="C355" s="815"/>
      <c r="D355" s="1905"/>
      <c r="E355" s="1905"/>
      <c r="F355" s="1905"/>
      <c r="G355" s="791"/>
      <c r="I355" s="1790"/>
    </row>
    <row r="356" spans="1:9">
      <c r="A356" s="815"/>
      <c r="B356" s="815"/>
      <c r="C356" s="815"/>
      <c r="D356" s="1905"/>
      <c r="E356" s="1905"/>
      <c r="F356" s="1905"/>
      <c r="G356" s="791"/>
      <c r="I356" s="1790"/>
    </row>
    <row r="357" spans="1:9">
      <c r="A357" s="815"/>
      <c r="B357" s="815"/>
      <c r="C357" s="815"/>
      <c r="D357" s="1905"/>
      <c r="E357" s="1905"/>
      <c r="F357" s="1905"/>
      <c r="G357" s="791"/>
    </row>
    <row r="358" spans="1:9">
      <c r="A358" s="815"/>
      <c r="B358" s="815"/>
      <c r="C358" s="815"/>
      <c r="D358" s="1905"/>
      <c r="E358" s="1905"/>
      <c r="F358" s="1905"/>
      <c r="G358" s="791"/>
    </row>
    <row r="359" spans="1:9" s="1790" customFormat="1">
      <c r="A359" s="1795"/>
      <c r="B359" s="1795"/>
      <c r="C359" s="1795"/>
      <c r="D359" s="1797"/>
      <c r="E359" s="1797"/>
      <c r="F359" s="1797"/>
    </row>
    <row r="360" spans="1:9" ht="12.6" customHeight="1">
      <c r="A360" s="815"/>
      <c r="B360" s="799" t="s">
        <v>2559</v>
      </c>
      <c r="C360" s="815"/>
      <c r="D360" s="1947" t="s">
        <v>1441</v>
      </c>
      <c r="E360" s="1947"/>
      <c r="F360" s="1947"/>
      <c r="G360" s="791"/>
    </row>
    <row r="361" spans="1:9">
      <c r="A361" s="815"/>
      <c r="B361" s="815"/>
      <c r="C361" s="815"/>
      <c r="D361" s="1947"/>
      <c r="E361" s="1947"/>
      <c r="F361" s="1947"/>
      <c r="G361" s="791"/>
    </row>
    <row r="362" spans="1:9">
      <c r="A362" s="815"/>
      <c r="B362" s="815"/>
      <c r="C362" s="815"/>
      <c r="D362" s="1947"/>
      <c r="E362" s="1947"/>
      <c r="F362" s="1947"/>
      <c r="G362" s="791"/>
    </row>
    <row r="363" spans="1:9">
      <c r="A363" s="815"/>
      <c r="B363" s="815"/>
      <c r="C363" s="815"/>
      <c r="D363" s="1947"/>
      <c r="E363" s="1947"/>
      <c r="F363" s="1947"/>
      <c r="G363" s="791"/>
    </row>
    <row r="364" spans="1:9" s="1790" customFormat="1">
      <c r="A364" s="1795"/>
      <c r="B364" s="1795"/>
      <c r="C364" s="1795"/>
      <c r="D364" s="1796"/>
      <c r="E364" s="1796"/>
      <c r="F364" s="1796"/>
    </row>
    <row r="365" spans="1:9" s="1790" customFormat="1">
      <c r="A365" s="1795"/>
      <c r="B365" s="1793" t="s">
        <v>2559</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4">
      <c r="A372" s="798"/>
      <c r="B372" s="799" t="s">
        <v>2559</v>
      </c>
      <c r="C372" s="815"/>
      <c r="D372" s="1924" t="s">
        <v>1318</v>
      </c>
      <c r="E372" s="1924"/>
      <c r="F372" s="1924"/>
      <c r="G372" s="791"/>
    </row>
    <row r="373" spans="1:7">
      <c r="A373" s="815"/>
      <c r="B373" s="815"/>
      <c r="C373" s="815"/>
      <c r="D373" s="1924"/>
      <c r="E373" s="1924"/>
      <c r="F373" s="1924"/>
      <c r="G373" s="791"/>
    </row>
    <row r="374" spans="1:7">
      <c r="A374" s="815"/>
      <c r="B374" s="815"/>
      <c r="C374" s="815"/>
      <c r="D374" s="1924"/>
      <c r="E374" s="1924"/>
      <c r="F374" s="1924"/>
      <c r="G374" s="791"/>
    </row>
    <row r="375" spans="1:7">
      <c r="A375" s="815"/>
      <c r="B375" s="815"/>
      <c r="C375" s="815"/>
      <c r="D375" s="1924"/>
      <c r="E375" s="1924"/>
      <c r="F375" s="1924"/>
      <c r="G375" s="791"/>
    </row>
    <row r="376" spans="1:7">
      <c r="A376" s="815"/>
      <c r="B376" s="815"/>
      <c r="C376" s="815"/>
      <c r="D376" s="827"/>
      <c r="E376" s="787"/>
      <c r="F376" s="801"/>
      <c r="G376" s="791"/>
    </row>
    <row r="377" spans="1:7">
      <c r="A377" s="815"/>
      <c r="B377" s="815"/>
      <c r="C377" s="815"/>
      <c r="D377" s="1924" t="s">
        <v>1319</v>
      </c>
      <c r="E377" s="1924"/>
      <c r="F377" s="1924"/>
      <c r="G377" s="791"/>
    </row>
    <row r="378" spans="1:7">
      <c r="A378" s="815"/>
      <c r="B378" s="815"/>
      <c r="C378" s="815"/>
      <c r="D378" s="1924"/>
      <c r="E378" s="1924"/>
      <c r="F378" s="1924"/>
      <c r="G378" s="791"/>
    </row>
    <row r="379" spans="1:7">
      <c r="A379" s="815"/>
      <c r="B379" s="815"/>
      <c r="C379" s="815"/>
      <c r="D379" s="1924"/>
      <c r="E379" s="1924"/>
      <c r="F379" s="1924"/>
      <c r="G379" s="791"/>
    </row>
    <row r="380" spans="1:7">
      <c r="A380" s="815"/>
      <c r="B380" s="815"/>
      <c r="C380" s="815"/>
      <c r="D380" s="1924"/>
      <c r="E380" s="1924"/>
      <c r="F380" s="1924"/>
      <c r="G380" s="791"/>
    </row>
    <row r="381" spans="1:7" ht="18" customHeight="1">
      <c r="A381" s="815"/>
      <c r="B381" s="815"/>
      <c r="C381" s="815"/>
      <c r="D381" s="1924"/>
      <c r="E381" s="1924"/>
      <c r="F381" s="1924"/>
      <c r="G381" s="791"/>
    </row>
    <row r="382" spans="1:7">
      <c r="A382" s="815"/>
      <c r="B382" s="815"/>
      <c r="C382" s="815"/>
      <c r="D382" s="1924"/>
      <c r="E382" s="1924"/>
      <c r="F382" s="1924"/>
      <c r="G382" s="791"/>
    </row>
    <row r="383" spans="1:7">
      <c r="A383" s="815"/>
      <c r="B383" s="815"/>
      <c r="C383" s="815"/>
      <c r="D383" s="1924"/>
      <c r="E383" s="1924"/>
      <c r="F383" s="1924"/>
      <c r="G383" s="791"/>
    </row>
    <row r="384" spans="1:7">
      <c r="A384" s="815"/>
      <c r="B384" s="815"/>
      <c r="C384" s="815"/>
      <c r="D384" s="1924"/>
      <c r="E384" s="1924"/>
      <c r="F384" s="1924"/>
      <c r="G384" s="791"/>
    </row>
    <row r="385" spans="1:7" ht="8.25" customHeight="1">
      <c r="A385" s="815"/>
      <c r="B385" s="815"/>
      <c r="C385" s="815"/>
      <c r="D385" s="1924"/>
      <c r="E385" s="1924"/>
      <c r="F385" s="1924"/>
      <c r="G385" s="791"/>
    </row>
    <row r="386" spans="1:7" ht="13.95" customHeight="1">
      <c r="A386" s="815"/>
      <c r="B386" s="815"/>
      <c r="C386" s="815"/>
      <c r="D386" s="1917" t="s">
        <v>1320</v>
      </c>
      <c r="E386" s="1917"/>
      <c r="F386" s="1917"/>
      <c r="G386" s="791"/>
    </row>
    <row r="387" spans="1:7">
      <c r="A387" s="815"/>
      <c r="B387" s="815"/>
      <c r="C387" s="815"/>
      <c r="D387" s="1917"/>
      <c r="E387" s="1917"/>
      <c r="F387" s="1917"/>
      <c r="G387" s="791"/>
    </row>
    <row r="388" spans="1:7">
      <c r="A388" s="815"/>
      <c r="B388" s="815"/>
      <c r="C388" s="815"/>
      <c r="D388" s="1917"/>
      <c r="E388" s="1917"/>
      <c r="F388" s="1917"/>
      <c r="G388" s="791"/>
    </row>
    <row r="389" spans="1:7">
      <c r="A389" s="815"/>
      <c r="B389" s="815"/>
      <c r="C389" s="815"/>
      <c r="D389" s="1917"/>
      <c r="E389" s="1917"/>
      <c r="F389" s="1917"/>
      <c r="G389" s="791"/>
    </row>
    <row r="390" spans="1:7">
      <c r="A390" s="815"/>
      <c r="B390" s="815"/>
      <c r="C390" s="815"/>
      <c r="D390" s="1917"/>
      <c r="E390" s="1917"/>
      <c r="F390" s="1917"/>
      <c r="G390" s="791"/>
    </row>
    <row r="391" spans="1:7">
      <c r="A391" s="815"/>
      <c r="B391" s="815"/>
      <c r="C391" s="815"/>
      <c r="D391" s="1917"/>
      <c r="E391" s="1917"/>
      <c r="F391" s="1917"/>
      <c r="G391" s="791"/>
    </row>
    <row r="392" spans="1:7">
      <c r="A392" s="815"/>
      <c r="B392" s="815"/>
      <c r="C392" s="815"/>
      <c r="D392" s="1917"/>
      <c r="E392" s="1917"/>
      <c r="F392" s="1917"/>
      <c r="G392" s="791"/>
    </row>
    <row r="393" spans="1:7">
      <c r="A393" s="815"/>
      <c r="B393" s="815"/>
      <c r="C393" s="815"/>
      <c r="D393" s="1917"/>
      <c r="E393" s="1917"/>
      <c r="F393" s="1917"/>
      <c r="G393" s="791"/>
    </row>
    <row r="394" spans="1:7">
      <c r="A394" s="815"/>
      <c r="B394" s="815"/>
      <c r="C394" s="815"/>
      <c r="D394" s="1917"/>
      <c r="E394" s="1917"/>
      <c r="F394" s="1917"/>
      <c r="G394" s="791"/>
    </row>
    <row r="395" spans="1:7">
      <c r="A395" s="815"/>
      <c r="B395" s="815"/>
      <c r="C395" s="815"/>
      <c r="D395" s="1917"/>
      <c r="E395" s="1917"/>
      <c r="F395" s="1917"/>
      <c r="G395" s="791"/>
    </row>
    <row r="396" spans="1:7">
      <c r="A396" s="815"/>
      <c r="B396" s="815"/>
      <c r="C396" s="815"/>
      <c r="D396" s="1917"/>
      <c r="E396" s="1917"/>
      <c r="F396" s="1917"/>
      <c r="G396" s="791"/>
    </row>
    <row r="397" spans="1:7">
      <c r="A397" s="815"/>
      <c r="B397" s="815"/>
      <c r="C397" s="815"/>
      <c r="D397" s="1917"/>
      <c r="E397" s="1917"/>
      <c r="F397" s="1917"/>
      <c r="G397" s="791"/>
    </row>
    <row r="398" spans="1:7">
      <c r="A398" s="815"/>
      <c r="B398" s="815"/>
      <c r="C398" s="828"/>
      <c r="D398" s="1917"/>
      <c r="E398" s="1917"/>
      <c r="F398" s="1917"/>
      <c r="G398" s="791"/>
    </row>
    <row r="399" spans="1:7">
      <c r="A399" s="815"/>
      <c r="B399" s="815"/>
      <c r="C399" s="828"/>
      <c r="D399" s="1917"/>
      <c r="E399" s="1917"/>
      <c r="F399" s="1917"/>
      <c r="G399" s="791"/>
    </row>
    <row r="400" spans="1:7">
      <c r="A400" s="815"/>
      <c r="B400" s="815"/>
      <c r="C400" s="815"/>
      <c r="D400" s="1917"/>
      <c r="E400" s="1917"/>
      <c r="F400" s="1917"/>
      <c r="G400" s="791"/>
    </row>
    <row r="401" spans="1:7">
      <c r="A401" s="815"/>
      <c r="B401" s="815"/>
      <c r="C401" s="828"/>
      <c r="D401" s="1917"/>
      <c r="E401" s="1917"/>
      <c r="F401" s="1917"/>
      <c r="G401" s="791"/>
    </row>
    <row r="402" spans="1:7">
      <c r="A402" s="815"/>
      <c r="B402" s="815"/>
      <c r="C402" s="828"/>
      <c r="D402" s="1917"/>
      <c r="E402" s="1917"/>
      <c r="F402" s="1917"/>
      <c r="G402" s="791"/>
    </row>
    <row r="403" spans="1:7">
      <c r="A403" s="815"/>
      <c r="B403" s="815"/>
      <c r="C403" s="828"/>
      <c r="D403" s="1917"/>
      <c r="E403" s="1917"/>
      <c r="F403" s="1917"/>
      <c r="G403" s="791"/>
    </row>
    <row r="404" spans="1:7">
      <c r="A404" s="815"/>
      <c r="B404" s="815"/>
      <c r="C404" s="815"/>
      <c r="D404" s="827"/>
      <c r="E404" s="787"/>
      <c r="F404" s="801"/>
      <c r="G404" s="791"/>
    </row>
    <row r="405" spans="1:7">
      <c r="A405" s="815"/>
      <c r="B405" s="799" t="s">
        <v>2559</v>
      </c>
      <c r="C405" s="815"/>
      <c r="D405" s="1917" t="s">
        <v>1321</v>
      </c>
      <c r="E405" s="1917"/>
      <c r="F405" s="1917"/>
      <c r="G405" s="791"/>
    </row>
    <row r="406" spans="1:7">
      <c r="A406" s="815"/>
      <c r="B406" s="815"/>
      <c r="C406" s="815"/>
      <c r="D406" s="1917"/>
      <c r="E406" s="1917"/>
      <c r="F406" s="1917"/>
      <c r="G406" s="791"/>
    </row>
    <row r="407" spans="1:7">
      <c r="A407" s="815"/>
      <c r="B407" s="815"/>
      <c r="C407" s="815"/>
      <c r="D407" s="905"/>
      <c r="E407" s="905"/>
      <c r="F407" s="905"/>
      <c r="G407" s="791"/>
    </row>
    <row r="408" spans="1:7" ht="14.7" customHeight="1">
      <c r="A408" s="798"/>
      <c r="B408" s="799" t="s">
        <v>2559</v>
      </c>
      <c r="D408" s="1917" t="s">
        <v>1537</v>
      </c>
      <c r="E408" s="1917"/>
      <c r="F408" s="1917"/>
    </row>
    <row r="409" spans="1:7" ht="14.7" customHeight="1">
      <c r="A409" s="798"/>
      <c r="D409" s="1917"/>
      <c r="E409" s="1917"/>
      <c r="F409" s="1917"/>
    </row>
    <row r="410" spans="1:7" ht="14.7" customHeight="1">
      <c r="A410" s="798"/>
      <c r="D410" s="1917"/>
      <c r="E410" s="1917"/>
      <c r="F410" s="1917"/>
    </row>
    <row r="411" spans="1:7" ht="14.7" customHeight="1">
      <c r="A411" s="798"/>
      <c r="D411" s="1917"/>
      <c r="E411" s="1917"/>
      <c r="F411" s="1917"/>
    </row>
    <row r="412" spans="1:7" ht="14.7" customHeight="1">
      <c r="A412" s="798"/>
      <c r="D412" s="1917"/>
      <c r="E412" s="1917"/>
      <c r="F412" s="1917"/>
    </row>
    <row r="413" spans="1:7" ht="14.7" customHeight="1">
      <c r="A413" s="798"/>
      <c r="D413" s="880"/>
      <c r="E413" s="880"/>
      <c r="F413" s="880"/>
    </row>
    <row r="414" spans="1:7" ht="13.95" customHeight="1">
      <c r="A414" s="798"/>
      <c r="B414" s="799" t="s">
        <v>2559</v>
      </c>
      <c r="C414" s="815"/>
      <c r="D414" s="1905" t="s">
        <v>1466</v>
      </c>
      <c r="E414" s="1905"/>
      <c r="F414" s="1905"/>
      <c r="G414" s="791"/>
    </row>
    <row r="415" spans="1:7" ht="14.4">
      <c r="A415" s="829"/>
      <c r="B415" s="829"/>
      <c r="C415" s="815"/>
      <c r="D415" s="1905"/>
      <c r="E415" s="1905"/>
      <c r="F415" s="1905"/>
      <c r="G415" s="791"/>
    </row>
    <row r="416" spans="1:7" ht="14.4">
      <c r="A416" s="829"/>
      <c r="B416" s="829"/>
      <c r="C416" s="815"/>
      <c r="D416" s="1905"/>
      <c r="E416" s="1905"/>
      <c r="F416" s="1905"/>
      <c r="G416" s="791"/>
    </row>
    <row r="417" spans="1:7" ht="14.4">
      <c r="A417" s="829"/>
      <c r="B417" s="829"/>
      <c r="C417" s="815"/>
      <c r="D417" s="1905"/>
      <c r="E417" s="1905"/>
      <c r="F417" s="1905"/>
      <c r="G417" s="791"/>
    </row>
    <row r="418" spans="1:7" ht="15.75" customHeight="1">
      <c r="A418" s="829"/>
      <c r="B418" s="829"/>
      <c r="C418" s="815"/>
      <c r="D418" s="1954" t="s">
        <v>1516</v>
      </c>
      <c r="E418" s="1905"/>
      <c r="F418" s="1905"/>
      <c r="G418" s="791"/>
    </row>
    <row r="419" spans="1:7">
      <c r="D419" s="801"/>
      <c r="E419" s="801"/>
      <c r="F419" s="801"/>
      <c r="G419" s="791"/>
    </row>
    <row r="420" spans="1:7" ht="14.4">
      <c r="A420" s="798"/>
      <c r="B420" s="799" t="s">
        <v>2559</v>
      </c>
      <c r="C420" s="830"/>
      <c r="D420" s="1909" t="s">
        <v>1323</v>
      </c>
      <c r="E420" s="1909"/>
      <c r="F420" s="1909"/>
      <c r="G420" s="791"/>
    </row>
    <row r="421" spans="1:7" ht="14.4">
      <c r="A421" s="798"/>
      <c r="B421" s="798"/>
      <c r="D421" s="1909"/>
      <c r="E421" s="1909"/>
      <c r="F421" s="1909"/>
      <c r="G421" s="791"/>
    </row>
    <row r="422" spans="1:7">
      <c r="D422" s="1909"/>
      <c r="E422" s="1909"/>
      <c r="F422" s="1909"/>
      <c r="G422" s="791"/>
    </row>
    <row r="423" spans="1:7">
      <c r="D423" s="1909"/>
      <c r="E423" s="1909"/>
      <c r="F423" s="1909"/>
      <c r="G423" s="791"/>
    </row>
    <row r="424" spans="1:7">
      <c r="D424" s="1909"/>
      <c r="E424" s="1909"/>
      <c r="F424" s="1909"/>
      <c r="G424" s="791"/>
    </row>
    <row r="425" spans="1:7">
      <c r="D425" s="1909"/>
      <c r="E425" s="1909"/>
      <c r="F425" s="1909"/>
      <c r="G425" s="791"/>
    </row>
    <row r="426" spans="1:7">
      <c r="D426" s="1909"/>
      <c r="E426" s="1909"/>
      <c r="F426" s="1909"/>
      <c r="G426" s="791"/>
    </row>
    <row r="427" spans="1:7">
      <c r="D427" s="1909"/>
      <c r="E427" s="1909"/>
      <c r="F427" s="1909"/>
      <c r="G427" s="791"/>
    </row>
    <row r="428" spans="1:7">
      <c r="D428" s="1909"/>
      <c r="E428" s="1909"/>
      <c r="F428" s="1909"/>
      <c r="G428" s="791"/>
    </row>
    <row r="429" spans="1:7">
      <c r="D429" s="1909"/>
      <c r="E429" s="1909"/>
      <c r="F429" s="1909"/>
      <c r="G429" s="791"/>
    </row>
    <row r="430" spans="1:7">
      <c r="D430" s="1909"/>
      <c r="E430" s="1909"/>
      <c r="F430" s="1909"/>
      <c r="G430" s="791"/>
    </row>
    <row r="431" spans="1:7">
      <c r="D431" s="1909"/>
      <c r="E431" s="1909"/>
      <c r="F431" s="1909"/>
      <c r="G431" s="791"/>
    </row>
    <row r="432" spans="1:7">
      <c r="D432" s="1909"/>
      <c r="E432" s="1909"/>
      <c r="F432" s="1909"/>
      <c r="G432" s="791"/>
    </row>
    <row r="433" spans="1:7">
      <c r="A433" s="791"/>
      <c r="B433" s="791"/>
      <c r="C433" s="791"/>
      <c r="D433" s="1909"/>
      <c r="E433" s="1909"/>
      <c r="F433" s="1909"/>
      <c r="G433" s="791"/>
    </row>
    <row r="434" spans="1:7">
      <c r="A434" s="791"/>
      <c r="B434" s="791"/>
      <c r="C434" s="791"/>
      <c r="D434" s="1909"/>
      <c r="E434" s="1909"/>
      <c r="F434" s="1909"/>
      <c r="G434" s="791"/>
    </row>
    <row r="435" spans="1:7">
      <c r="A435" s="791"/>
      <c r="B435" s="791"/>
      <c r="C435" s="791"/>
      <c r="D435" s="1909"/>
      <c r="E435" s="1909"/>
      <c r="F435" s="1909"/>
      <c r="G435" s="791"/>
    </row>
    <row r="436" spans="1:7">
      <c r="A436" s="791"/>
      <c r="B436" s="791"/>
      <c r="C436" s="791"/>
      <c r="D436" s="1909"/>
      <c r="E436" s="1909"/>
      <c r="F436" s="1909"/>
      <c r="G436" s="791"/>
    </row>
    <row r="437" spans="1:7">
      <c r="A437" s="791"/>
      <c r="B437" s="791"/>
      <c r="C437" s="791"/>
      <c r="D437" s="1909"/>
      <c r="E437" s="1909"/>
      <c r="F437" s="1909"/>
      <c r="G437" s="791"/>
    </row>
    <row r="438" spans="1:7">
      <c r="A438" s="791"/>
      <c r="B438" s="791"/>
      <c r="C438" s="791"/>
      <c r="D438" s="1909"/>
      <c r="E438" s="1909"/>
      <c r="F438" s="1909"/>
      <c r="G438" s="791"/>
    </row>
    <row r="439" spans="1:7">
      <c r="A439" s="791"/>
      <c r="B439" s="791"/>
      <c r="C439" s="791"/>
      <c r="D439" s="1909"/>
      <c r="E439" s="1909"/>
      <c r="F439" s="1909"/>
      <c r="G439" s="791"/>
    </row>
    <row r="440" spans="1:7">
      <c r="A440" s="791"/>
      <c r="B440" s="791"/>
      <c r="C440" s="791"/>
      <c r="D440" s="1909"/>
      <c r="E440" s="1909"/>
      <c r="F440" s="1909"/>
      <c r="G440" s="791"/>
    </row>
    <row r="441" spans="1:7">
      <c r="A441" s="791"/>
      <c r="B441" s="791"/>
      <c r="C441" s="791"/>
      <c r="D441" s="1909"/>
      <c r="E441" s="1909"/>
      <c r="F441" s="1909"/>
      <c r="G441" s="791"/>
    </row>
    <row r="442" spans="1:7">
      <c r="A442" s="791"/>
      <c r="B442" s="791"/>
      <c r="C442" s="791"/>
      <c r="D442" s="1909"/>
      <c r="E442" s="1909"/>
      <c r="F442" s="1909"/>
      <c r="G442" s="791"/>
    </row>
    <row r="443" spans="1:7">
      <c r="A443" s="791"/>
      <c r="B443" s="791"/>
      <c r="C443" s="791"/>
      <c r="D443" s="1909"/>
      <c r="E443" s="1909"/>
      <c r="F443" s="1909"/>
      <c r="G443" s="791"/>
    </row>
    <row r="444" spans="1:7">
      <c r="A444" s="791"/>
      <c r="B444" s="791"/>
      <c r="C444" s="791"/>
      <c r="D444" s="1909"/>
      <c r="E444" s="1909"/>
      <c r="F444" s="1909"/>
      <c r="G444" s="791"/>
    </row>
    <row r="445" spans="1:7">
      <c r="A445" s="791"/>
      <c r="B445" s="791"/>
      <c r="C445" s="791"/>
      <c r="D445" s="1909"/>
      <c r="E445" s="1909"/>
      <c r="F445" s="1909"/>
      <c r="G445" s="791"/>
    </row>
    <row r="446" spans="1:7">
      <c r="A446" s="791"/>
      <c r="B446" s="791"/>
      <c r="C446" s="791"/>
      <c r="D446" s="1909"/>
      <c r="E446" s="1909"/>
      <c r="F446" s="1909"/>
      <c r="G446" s="791"/>
    </row>
    <row r="447" spans="1:7">
      <c r="A447" s="791"/>
      <c r="B447" s="791"/>
      <c r="C447" s="791"/>
      <c r="D447" s="1909"/>
      <c r="E447" s="1909"/>
      <c r="F447" s="1909"/>
      <c r="G447" s="791"/>
    </row>
    <row r="448" spans="1:7">
      <c r="A448" s="791"/>
      <c r="B448" s="791"/>
      <c r="C448" s="791"/>
      <c r="D448" s="1909"/>
      <c r="E448" s="1909"/>
      <c r="F448" s="1909"/>
      <c r="G448" s="791"/>
    </row>
    <row r="449" spans="1:7" s="832" customFormat="1">
      <c r="A449" s="789"/>
      <c r="B449" s="789"/>
      <c r="C449" s="789"/>
      <c r="D449" s="1909"/>
      <c r="E449" s="1909"/>
      <c r="F449" s="1909"/>
      <c r="G449" s="831"/>
    </row>
    <row r="450" spans="1:7" s="832" customFormat="1" ht="40.950000000000003" customHeight="1">
      <c r="A450" s="789"/>
      <c r="B450" s="789"/>
      <c r="C450" s="789"/>
      <c r="D450" s="1909"/>
      <c r="E450" s="1909"/>
      <c r="F450" s="1909"/>
      <c r="G450" s="831"/>
    </row>
    <row r="451" spans="1:7" s="832" customFormat="1">
      <c r="A451" s="789"/>
      <c r="B451" s="789"/>
      <c r="C451" s="789"/>
      <c r="D451" s="801"/>
      <c r="E451" s="801"/>
      <c r="F451" s="801"/>
      <c r="G451" s="831"/>
    </row>
    <row r="452" spans="1:7" ht="14.4">
      <c r="A452" s="798"/>
      <c r="B452" s="799" t="s">
        <v>2559</v>
      </c>
      <c r="C452" s="830"/>
      <c r="D452" s="1914" t="s">
        <v>1324</v>
      </c>
      <c r="E452" s="1914"/>
      <c r="F452" s="1914"/>
    </row>
    <row r="453" spans="1:7">
      <c r="D453" s="1918" t="s">
        <v>1463</v>
      </c>
      <c r="E453" s="1918"/>
      <c r="F453" s="1918"/>
    </row>
    <row r="454" spans="1:7">
      <c r="D454" s="1943" t="s">
        <v>1462</v>
      </c>
      <c r="E454" s="1943"/>
      <c r="F454" s="1943"/>
    </row>
    <row r="455" spans="1:7">
      <c r="D455" s="1943"/>
      <c r="E455" s="1943"/>
      <c r="F455" s="1943"/>
    </row>
    <row r="456" spans="1:7">
      <c r="D456" s="1943"/>
      <c r="E456" s="1943"/>
      <c r="F456" s="1943"/>
    </row>
    <row r="457" spans="1:7">
      <c r="D457" s="801"/>
      <c r="E457" s="801"/>
      <c r="F457" s="801"/>
      <c r="G457" s="791"/>
    </row>
    <row r="458" spans="1:7" ht="14.4">
      <c r="A458" s="798"/>
      <c r="B458" s="799" t="s">
        <v>2559</v>
      </c>
      <c r="C458" s="830"/>
      <c r="D458" s="1909" t="s">
        <v>1326</v>
      </c>
      <c r="E458" s="1909"/>
      <c r="F458" s="1909"/>
      <c r="G458" s="791"/>
    </row>
    <row r="459" spans="1:7">
      <c r="D459" s="1909"/>
      <c r="E459" s="1909"/>
      <c r="F459" s="1909"/>
      <c r="G459" s="791"/>
    </row>
    <row r="460" spans="1:7">
      <c r="D460" s="1909"/>
      <c r="E460" s="1909"/>
      <c r="F460" s="1909"/>
      <c r="G460" s="791"/>
    </row>
    <row r="461" spans="1:7">
      <c r="D461" s="785"/>
      <c r="E461" s="785"/>
      <c r="F461" s="785"/>
      <c r="G461" s="791"/>
    </row>
    <row r="462" spans="1:7" ht="14.4">
      <c r="B462" s="799" t="s">
        <v>2559</v>
      </c>
      <c r="C462" s="798"/>
      <c r="D462" s="1943" t="s">
        <v>1409</v>
      </c>
      <c r="E462" s="1943"/>
      <c r="F462" s="1943"/>
      <c r="G462" s="791"/>
    </row>
    <row r="463" spans="1:7">
      <c r="D463" s="1943"/>
      <c r="E463" s="1943"/>
      <c r="F463" s="1943"/>
      <c r="G463" s="791"/>
    </row>
    <row r="464" spans="1:7">
      <c r="D464" s="801"/>
      <c r="E464" s="801"/>
      <c r="F464" s="801"/>
      <c r="G464" s="791"/>
    </row>
    <row r="465" spans="1:7" ht="14.4">
      <c r="B465" s="799" t="s">
        <v>2559</v>
      </c>
      <c r="C465" s="798"/>
      <c r="D465" s="1943" t="s">
        <v>1328</v>
      </c>
      <c r="E465" s="1943"/>
      <c r="F465" s="1943"/>
      <c r="G465" s="791"/>
    </row>
    <row r="466" spans="1:7">
      <c r="D466" s="1943"/>
      <c r="E466" s="1943"/>
      <c r="F466" s="1943"/>
      <c r="G466" s="791"/>
    </row>
    <row r="467" spans="1:7">
      <c r="D467" s="1943"/>
      <c r="E467" s="1943"/>
      <c r="F467" s="1943"/>
      <c r="G467" s="791"/>
    </row>
    <row r="468" spans="1:7">
      <c r="D468" s="1943"/>
      <c r="E468" s="1943"/>
      <c r="F468" s="1943"/>
      <c r="G468" s="791"/>
    </row>
    <row r="469" spans="1:7">
      <c r="B469" s="799" t="s">
        <v>2559</v>
      </c>
      <c r="D469" s="1943"/>
      <c r="E469" s="1943"/>
      <c r="F469" s="1943"/>
      <c r="G469" s="791"/>
    </row>
    <row r="470" spans="1:7">
      <c r="A470" s="791"/>
      <c r="B470" s="791"/>
      <c r="C470" s="791"/>
      <c r="D470" s="1943"/>
      <c r="E470" s="1943"/>
      <c r="F470" s="1943"/>
      <c r="G470" s="791"/>
    </row>
    <row r="471" spans="1:7">
      <c r="A471" s="791"/>
      <c r="C471" s="791"/>
      <c r="D471" s="1943"/>
      <c r="E471" s="1943"/>
      <c r="F471" s="1943"/>
      <c r="G471" s="791"/>
    </row>
    <row r="472" spans="1:7">
      <c r="A472" s="791"/>
      <c r="B472" s="799" t="s">
        <v>2559</v>
      </c>
      <c r="C472" s="791"/>
      <c r="D472" s="1943"/>
      <c r="E472" s="1943"/>
      <c r="F472" s="1943"/>
      <c r="G472" s="791"/>
    </row>
    <row r="473" spans="1:7">
      <c r="A473" s="791"/>
      <c r="B473" s="791"/>
      <c r="C473" s="791"/>
      <c r="D473" s="1943"/>
      <c r="E473" s="1943"/>
      <c r="F473" s="1943"/>
      <c r="G473" s="791"/>
    </row>
    <row r="474" spans="1:7">
      <c r="A474" s="791"/>
      <c r="C474" s="791"/>
      <c r="D474" s="1943"/>
      <c r="E474" s="1943"/>
      <c r="F474" s="1943"/>
      <c r="G474" s="791"/>
    </row>
    <row r="475" spans="1:7">
      <c r="A475" s="791"/>
      <c r="C475" s="791"/>
      <c r="D475" s="1943"/>
      <c r="E475" s="1943"/>
      <c r="F475" s="1943"/>
      <c r="G475" s="791"/>
    </row>
    <row r="476" spans="1:7">
      <c r="A476" s="791"/>
      <c r="B476" s="799" t="s">
        <v>2559</v>
      </c>
      <c r="C476" s="791"/>
      <c r="D476" s="1943"/>
      <c r="E476" s="1943"/>
      <c r="F476" s="1943"/>
      <c r="G476" s="791"/>
    </row>
    <row r="477" spans="1:7">
      <c r="A477" s="791"/>
      <c r="B477" s="791"/>
      <c r="C477" s="791"/>
      <c r="D477" s="1943"/>
      <c r="E477" s="1943"/>
      <c r="F477" s="1943"/>
      <c r="G477" s="791"/>
    </row>
    <row r="478" spans="1:7">
      <c r="A478" s="791"/>
      <c r="B478" s="799" t="s">
        <v>2559</v>
      </c>
      <c r="C478" s="791"/>
      <c r="D478" s="1943"/>
      <c r="E478" s="1943"/>
      <c r="F478" s="1943"/>
      <c r="G478" s="791"/>
    </row>
    <row r="479" spans="1:7">
      <c r="A479" s="791"/>
      <c r="B479" s="791"/>
      <c r="C479" s="791"/>
      <c r="D479" s="833"/>
      <c r="E479" s="833"/>
      <c r="F479" s="833"/>
      <c r="G479" s="791"/>
    </row>
    <row r="480" spans="1:7">
      <c r="A480" s="791"/>
      <c r="B480" s="799" t="s">
        <v>2559</v>
      </c>
      <c r="C480" s="791"/>
      <c r="D480" s="1943" t="s">
        <v>1329</v>
      </c>
      <c r="E480" s="1943"/>
      <c r="F480" s="1943"/>
      <c r="G480" s="791"/>
    </row>
    <row r="481" spans="1:7">
      <c r="A481" s="791"/>
      <c r="B481" s="791"/>
      <c r="C481" s="791"/>
      <c r="D481" s="1943"/>
      <c r="E481" s="1943"/>
      <c r="F481" s="1943"/>
      <c r="G481" s="791"/>
    </row>
    <row r="482" spans="1:7">
      <c r="A482" s="791"/>
      <c r="B482" s="791"/>
      <c r="C482" s="791"/>
      <c r="D482" s="1943"/>
      <c r="E482" s="1943"/>
      <c r="F482" s="1943"/>
      <c r="G482" s="791"/>
    </row>
    <row r="483" spans="1:7">
      <c r="A483" s="791"/>
      <c r="B483" s="791"/>
      <c r="C483" s="791"/>
      <c r="D483" s="1943"/>
      <c r="E483" s="1943"/>
      <c r="F483" s="1943"/>
      <c r="G483" s="791"/>
    </row>
    <row r="484" spans="1:7">
      <c r="D484" s="1943"/>
      <c r="E484" s="1943"/>
      <c r="F484" s="1943"/>
    </row>
    <row r="485" spans="1:7">
      <c r="D485" s="801"/>
      <c r="E485" s="801"/>
      <c r="F485" s="801"/>
    </row>
    <row r="486" spans="1:7">
      <c r="B486" s="799" t="s">
        <v>2559</v>
      </c>
      <c r="D486" s="1946" t="s">
        <v>1330</v>
      </c>
      <c r="E486" s="1946"/>
      <c r="F486" s="1946"/>
    </row>
    <row r="487" spans="1:7">
      <c r="A487" s="801"/>
      <c r="B487" s="801"/>
    </row>
    <row r="488" spans="1:7">
      <c r="A488" s="1874" t="s">
        <v>1171</v>
      </c>
      <c r="B488" s="1874"/>
      <c r="C488" s="1874"/>
      <c r="D488" s="1874"/>
      <c r="E488" s="1874"/>
      <c r="F488" s="1874"/>
      <c r="G488" s="1874"/>
    </row>
    <row r="489" spans="1:7">
      <c r="A489" s="801"/>
      <c r="B489" s="801"/>
    </row>
    <row r="490" spans="1:7">
      <c r="D490" s="1925" t="s">
        <v>951</v>
      </c>
      <c r="E490" s="1925"/>
      <c r="F490" s="1925"/>
    </row>
    <row r="491" spans="1:7" s="792" customFormat="1" ht="14.4">
      <c r="A491" s="806"/>
      <c r="B491" s="806"/>
      <c r="C491" s="802"/>
      <c r="D491" s="1926" t="s">
        <v>1331</v>
      </c>
      <c r="E491" s="1926"/>
      <c r="F491" s="1926"/>
      <c r="G491" s="803"/>
    </row>
    <row r="492" spans="1:7" s="792" customFormat="1" ht="14.4">
      <c r="A492" s="806"/>
      <c r="B492" s="806"/>
      <c r="C492" s="802"/>
      <c r="D492" s="788"/>
      <c r="E492" s="673"/>
      <c r="F492" s="673"/>
      <c r="G492" s="803"/>
    </row>
    <row r="493" spans="1:7" s="792" customFormat="1" ht="14.4">
      <c r="A493" s="798"/>
      <c r="B493" s="799" t="s">
        <v>2559</v>
      </c>
      <c r="C493" s="802"/>
      <c r="D493" s="1927" t="s">
        <v>1332</v>
      </c>
      <c r="E493" s="1927"/>
      <c r="F493" s="1927"/>
      <c r="G493" s="803"/>
    </row>
    <row r="494" spans="1:7" s="792" customFormat="1" ht="14.4">
      <c r="A494" s="798"/>
      <c r="B494" s="798"/>
      <c r="C494" s="802"/>
      <c r="D494" s="1927"/>
      <c r="E494" s="1927"/>
      <c r="F494" s="1927"/>
      <c r="G494" s="803"/>
    </row>
    <row r="495" spans="1:7" s="792" customFormat="1" ht="14.4">
      <c r="A495" s="798"/>
      <c r="B495" s="798"/>
      <c r="C495" s="802"/>
      <c r="D495" s="786"/>
      <c r="E495" s="673"/>
      <c r="F495" s="673"/>
      <c r="G495" s="803"/>
    </row>
    <row r="496" spans="1:7" ht="12.75" customHeight="1">
      <c r="B496" s="799" t="s">
        <v>2559</v>
      </c>
      <c r="D496" s="1897" t="s">
        <v>1517</v>
      </c>
      <c r="E496" s="1897"/>
      <c r="F496" s="1897"/>
    </row>
    <row r="497" spans="1:7" ht="14.4">
      <c r="A497" s="798"/>
      <c r="D497" s="1897"/>
      <c r="E497" s="1897"/>
      <c r="F497" s="1897"/>
    </row>
    <row r="498" spans="1:7" ht="14.4">
      <c r="A498" s="798"/>
      <c r="B498" s="798"/>
      <c r="D498" s="1897"/>
      <c r="E498" s="1897"/>
      <c r="F498" s="1897"/>
    </row>
    <row r="499" spans="1:7" ht="14.4">
      <c r="A499" s="798"/>
      <c r="B499" s="798"/>
      <c r="D499" s="1897"/>
      <c r="E499" s="1897"/>
      <c r="F499" s="1897"/>
    </row>
    <row r="500" spans="1:7" ht="14.4">
      <c r="A500" s="798"/>
      <c r="D500" s="895"/>
      <c r="E500" s="895"/>
      <c r="F500" s="895"/>
      <c r="G500" s="791"/>
    </row>
    <row r="501" spans="1:7" ht="14.4">
      <c r="A501" s="798"/>
      <c r="B501" s="799" t="s">
        <v>2559</v>
      </c>
      <c r="D501" s="1914" t="s">
        <v>1335</v>
      </c>
      <c r="E501" s="1914"/>
      <c r="F501" s="1914"/>
      <c r="G501" s="791"/>
    </row>
    <row r="502" spans="1:7" ht="14.4">
      <c r="A502" s="798"/>
      <c r="B502" s="798"/>
      <c r="D502" s="786"/>
      <c r="E502" s="673"/>
      <c r="F502" s="673"/>
      <c r="G502" s="791"/>
    </row>
    <row r="503" spans="1:7" ht="14.4">
      <c r="A503" s="798"/>
      <c r="B503" s="799" t="s">
        <v>2559</v>
      </c>
      <c r="D503" s="1909" t="s">
        <v>1336</v>
      </c>
      <c r="E503" s="1909"/>
      <c r="F503" s="1909"/>
      <c r="G503" s="791"/>
    </row>
    <row r="504" spans="1:7" ht="14.4">
      <c r="A504" s="798"/>
      <c r="D504" s="1909"/>
      <c r="E504" s="1909"/>
      <c r="F504" s="1909"/>
      <c r="G504" s="791"/>
    </row>
    <row r="505" spans="1:7">
      <c r="A505" s="817"/>
      <c r="B505" s="817"/>
      <c r="D505" s="734"/>
      <c r="E505" s="673"/>
      <c r="F505" s="673"/>
      <c r="G505" s="791"/>
    </row>
    <row r="506" spans="1:7">
      <c r="A506" s="817"/>
      <c r="B506" s="799" t="s">
        <v>2559</v>
      </c>
      <c r="D506" s="1914" t="s">
        <v>1337</v>
      </c>
      <c r="E506" s="1914"/>
      <c r="F506" s="1914"/>
      <c r="G506" s="791"/>
    </row>
    <row r="507" spans="1:7" ht="14.4">
      <c r="A507" s="798"/>
      <c r="B507" s="798"/>
      <c r="D507" s="801"/>
    </row>
    <row r="508" spans="1:7">
      <c r="A508" s="1874" t="s">
        <v>1172</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1948" t="s">
        <v>854</v>
      </c>
      <c r="E510" s="1948"/>
      <c r="F510" s="194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95" customHeight="1">
      <c r="A514" s="796"/>
      <c r="B514" s="799" t="s">
        <v>2558</v>
      </c>
      <c r="C514" s="800"/>
      <c r="D514" s="1908" t="s">
        <v>2283</v>
      </c>
      <c r="E514" s="1908"/>
      <c r="F514" s="1908"/>
      <c r="G514" s="673"/>
    </row>
    <row r="515" spans="1:7" s="723" customFormat="1">
      <c r="A515" s="796"/>
      <c r="B515" s="796"/>
      <c r="C515" s="800"/>
      <c r="D515" s="1908"/>
      <c r="E515" s="1908"/>
      <c r="F515" s="1908"/>
      <c r="G515" s="673"/>
    </row>
    <row r="516" spans="1:7" s="723" customFormat="1">
      <c r="A516" s="796"/>
      <c r="B516" s="796"/>
      <c r="C516" s="800"/>
      <c r="D516" s="1712"/>
      <c r="E516" s="1712"/>
      <c r="F516" s="1712"/>
      <c r="G516" s="673"/>
    </row>
    <row r="517" spans="1:7" s="723" customFormat="1">
      <c r="A517" s="796"/>
      <c r="B517" s="799" t="s">
        <v>2559</v>
      </c>
      <c r="C517" s="805"/>
      <c r="D517" s="1908" t="s">
        <v>1210</v>
      </c>
      <c r="E517" s="1908"/>
      <c r="F517" s="1908"/>
      <c r="G517" s="673"/>
    </row>
    <row r="518" spans="1:7" s="723" customFormat="1">
      <c r="A518" s="796"/>
      <c r="B518" s="796"/>
      <c r="C518" s="805"/>
      <c r="D518" s="1908"/>
      <c r="E518" s="1908"/>
      <c r="F518" s="1908"/>
      <c r="G518" s="673"/>
    </row>
    <row r="519" spans="1:7" s="723" customFormat="1">
      <c r="A519" s="796"/>
      <c r="B519" s="796"/>
      <c r="C519" s="800"/>
      <c r="D519" s="1908"/>
      <c r="E519" s="1908"/>
      <c r="F519" s="1908"/>
      <c r="G519" s="673"/>
    </row>
    <row r="520" spans="1:7" s="723" customFormat="1">
      <c r="A520" s="796"/>
      <c r="B520" s="796"/>
      <c r="C520" s="800"/>
      <c r="D520" s="835"/>
      <c r="E520" s="673"/>
      <c r="F520" s="786"/>
      <c r="G520" s="673"/>
    </row>
    <row r="521" spans="1:7" s="723" customFormat="1" ht="13.35" customHeight="1">
      <c r="A521" s="796"/>
      <c r="B521" s="799" t="s">
        <v>2559</v>
      </c>
      <c r="C521" s="800"/>
      <c r="D521" s="1950" t="s">
        <v>1236</v>
      </c>
      <c r="E521" s="1950"/>
      <c r="F521" s="1950"/>
      <c r="G521" s="673"/>
    </row>
    <row r="522" spans="1:7" s="723" customFormat="1">
      <c r="A522" s="796"/>
      <c r="B522" s="796"/>
      <c r="C522" s="800"/>
      <c r="D522" s="1950"/>
      <c r="E522" s="1950"/>
      <c r="F522" s="1950"/>
      <c r="G522" s="673"/>
    </row>
    <row r="523" spans="1:7" s="723" customFormat="1" ht="12" customHeight="1">
      <c r="A523" s="801"/>
      <c r="B523" s="801"/>
      <c r="C523" s="809"/>
      <c r="D523" s="801"/>
      <c r="E523" s="673"/>
      <c r="F523" s="837"/>
      <c r="G523" s="673"/>
    </row>
    <row r="524" spans="1:7">
      <c r="A524" s="1874" t="s">
        <v>1173</v>
      </c>
      <c r="B524" s="1874"/>
      <c r="C524" s="1874"/>
      <c r="D524" s="1874"/>
      <c r="E524" s="1874"/>
      <c r="F524" s="1874"/>
      <c r="G524" s="1874"/>
    </row>
    <row r="525" spans="1:7">
      <c r="A525" s="801"/>
      <c r="B525" s="801"/>
      <c r="C525" s="830"/>
      <c r="F525" s="838"/>
    </row>
    <row r="526" spans="1:7">
      <c r="B526" s="1944" t="s">
        <v>471</v>
      </c>
      <c r="C526" s="1944"/>
      <c r="D526" s="1944"/>
      <c r="E526" s="1944"/>
      <c r="F526" s="1944"/>
    </row>
    <row r="527" spans="1:7">
      <c r="A527" s="801"/>
      <c r="B527" s="801"/>
      <c r="C527" s="830"/>
      <c r="D527" s="801"/>
      <c r="F527" s="801"/>
    </row>
    <row r="528" spans="1:7">
      <c r="A528" s="1875" t="s">
        <v>1174</v>
      </c>
      <c r="B528" s="1875"/>
      <c r="C528" s="1875"/>
      <c r="D528" s="1875"/>
      <c r="E528" s="1875"/>
      <c r="F528" s="1875"/>
      <c r="G528" s="1875"/>
    </row>
    <row r="529" spans="1:7">
      <c r="A529" s="801"/>
      <c r="B529" s="801"/>
      <c r="C529" s="830"/>
      <c r="D529" s="801"/>
      <c r="F529" s="801"/>
    </row>
    <row r="530" spans="1:7">
      <c r="C530" s="830"/>
      <c r="D530" s="1864" t="s">
        <v>721</v>
      </c>
      <c r="E530" s="1864"/>
      <c r="F530" s="1864"/>
    </row>
    <row r="531" spans="1:7">
      <c r="C531" s="830"/>
      <c r="D531" s="1914" t="s">
        <v>1231</v>
      </c>
      <c r="E531" s="1914"/>
      <c r="F531" s="1914"/>
    </row>
    <row r="532" spans="1:7">
      <c r="C532" s="830"/>
      <c r="D532" s="786"/>
      <c r="E532" s="786"/>
      <c r="F532" s="786"/>
    </row>
    <row r="533" spans="1:7" ht="13.95" customHeight="1">
      <c r="A533" s="798"/>
      <c r="B533" s="799" t="s">
        <v>2558</v>
      </c>
      <c r="C533" s="830"/>
      <c r="D533" s="1914" t="s">
        <v>952</v>
      </c>
      <c r="E533" s="1914"/>
      <c r="F533" s="1914"/>
      <c r="G533" s="791"/>
    </row>
    <row r="534" spans="1:7" ht="13.95" customHeight="1">
      <c r="A534" s="830"/>
      <c r="B534" s="830"/>
      <c r="C534" s="830"/>
      <c r="D534" s="786"/>
      <c r="E534" s="619"/>
      <c r="F534" s="619"/>
      <c r="G534" s="791"/>
    </row>
    <row r="535" spans="1:7" ht="14.4">
      <c r="A535" s="798"/>
      <c r="B535" s="799" t="s">
        <v>2558</v>
      </c>
      <c r="C535" s="830"/>
      <c r="D535" s="1909" t="s">
        <v>1232</v>
      </c>
      <c r="E535" s="1909"/>
      <c r="F535" s="1909"/>
      <c r="G535" s="791"/>
    </row>
    <row r="536" spans="1:7">
      <c r="A536" s="830"/>
      <c r="B536" s="830"/>
      <c r="C536" s="830"/>
      <c r="D536" s="1909"/>
      <c r="E536" s="1909"/>
      <c r="F536" s="1909"/>
      <c r="G536" s="791"/>
    </row>
    <row r="537" spans="1:7">
      <c r="A537" s="830"/>
      <c r="B537" s="830"/>
      <c r="C537" s="830"/>
      <c r="D537" s="801"/>
      <c r="E537" s="801"/>
      <c r="F537" s="801"/>
      <c r="G537" s="791"/>
    </row>
    <row r="538" spans="1:7" ht="14.4">
      <c r="A538" s="798"/>
      <c r="B538" s="799" t="s">
        <v>2558</v>
      </c>
      <c r="C538" s="830"/>
      <c r="D538" s="1909" t="s">
        <v>1233</v>
      </c>
      <c r="E538" s="1909"/>
      <c r="F538" s="1909"/>
      <c r="G538" s="791"/>
    </row>
    <row r="539" spans="1:7">
      <c r="A539" s="830"/>
      <c r="B539" s="830"/>
      <c r="C539" s="830"/>
      <c r="D539" s="1909"/>
      <c r="E539" s="1909"/>
      <c r="F539" s="1909"/>
      <c r="G539" s="791"/>
    </row>
    <row r="540" spans="1:7">
      <c r="A540" s="830"/>
      <c r="B540" s="830"/>
      <c r="C540" s="830"/>
      <c r="D540" s="801"/>
      <c r="E540" s="801"/>
      <c r="F540" s="801"/>
      <c r="G540" s="791"/>
    </row>
    <row r="541" spans="1:7" ht="14.4">
      <c r="A541" s="798"/>
      <c r="B541" s="799" t="s">
        <v>2558</v>
      </c>
      <c r="C541" s="830"/>
      <c r="D541" s="1909" t="s">
        <v>1234</v>
      </c>
      <c r="E541" s="1909"/>
      <c r="F541" s="1909"/>
      <c r="G541" s="791"/>
    </row>
    <row r="542" spans="1:7">
      <c r="A542" s="830"/>
      <c r="B542" s="830"/>
      <c r="C542" s="830"/>
      <c r="D542" s="1909"/>
      <c r="E542" s="1909"/>
      <c r="F542" s="1909"/>
      <c r="G542" s="791"/>
    </row>
    <row r="543" spans="1:7">
      <c r="A543" s="830"/>
      <c r="B543" s="830"/>
      <c r="C543" s="830"/>
      <c r="D543" s="801"/>
      <c r="E543" s="801"/>
      <c r="F543" s="801"/>
      <c r="G543" s="791"/>
    </row>
    <row r="544" spans="1:7" ht="14.4">
      <c r="A544" s="798"/>
      <c r="B544" s="799" t="s">
        <v>2558</v>
      </c>
      <c r="C544" s="830"/>
      <c r="D544" s="1909" t="s">
        <v>1235</v>
      </c>
      <c r="E544" s="1909"/>
      <c r="F544" s="1909"/>
      <c r="G544" s="791"/>
    </row>
    <row r="545" spans="1:7">
      <c r="A545" s="830"/>
      <c r="B545" s="830"/>
      <c r="C545" s="830"/>
      <c r="D545" s="1909"/>
      <c r="E545" s="1909"/>
      <c r="F545" s="1909"/>
      <c r="G545" s="791"/>
    </row>
    <row r="546" spans="1:7">
      <c r="A546" s="830"/>
      <c r="B546" s="830"/>
      <c r="C546" s="830"/>
      <c r="D546" s="1909"/>
      <c r="E546" s="1909"/>
      <c r="F546" s="1909"/>
      <c r="G546" s="791"/>
    </row>
    <row r="547" spans="1:7">
      <c r="A547" s="830"/>
      <c r="B547" s="830"/>
      <c r="C547" s="830"/>
      <c r="D547" s="801"/>
      <c r="E547" s="801"/>
      <c r="F547" s="801"/>
    </row>
    <row r="548" spans="1:7" ht="14.4">
      <c r="A548" s="798"/>
      <c r="B548" s="799" t="s">
        <v>2559</v>
      </c>
      <c r="C548" s="830"/>
      <c r="D548" s="1950" t="s">
        <v>1353</v>
      </c>
      <c r="E548" s="1950"/>
      <c r="F548" s="1950"/>
    </row>
    <row r="549" spans="1:7">
      <c r="A549" s="830"/>
      <c r="B549" s="830"/>
      <c r="C549" s="830"/>
      <c r="D549" s="1950"/>
      <c r="E549" s="1950"/>
      <c r="F549" s="1950"/>
    </row>
    <row r="550" spans="1:7">
      <c r="A550" s="830"/>
      <c r="B550" s="830"/>
      <c r="C550" s="830"/>
      <c r="D550" s="801"/>
      <c r="E550" s="801"/>
      <c r="F550" s="801"/>
    </row>
    <row r="551" spans="1:7" ht="14.4">
      <c r="A551" s="798"/>
      <c r="B551" s="799" t="s">
        <v>2558</v>
      </c>
      <c r="C551" s="830"/>
      <c r="D551" s="1909" t="s">
        <v>1237</v>
      </c>
      <c r="E551" s="1909"/>
      <c r="F551" s="1909"/>
    </row>
    <row r="552" spans="1:7">
      <c r="A552" s="830"/>
      <c r="B552" s="830"/>
      <c r="C552" s="830"/>
      <c r="D552" s="1909"/>
      <c r="E552" s="1909"/>
      <c r="F552" s="1909"/>
      <c r="G552" s="820"/>
    </row>
    <row r="553" spans="1:7">
      <c r="A553" s="830"/>
      <c r="B553" s="830"/>
      <c r="C553" s="830"/>
      <c r="D553" s="801"/>
      <c r="E553" s="801"/>
      <c r="F553" s="801"/>
      <c r="G553" s="820"/>
    </row>
    <row r="554" spans="1:7" ht="14.4">
      <c r="A554" s="798"/>
      <c r="B554" s="799" t="s">
        <v>2558</v>
      </c>
      <c r="C554" s="830"/>
      <c r="D554" s="1914" t="s">
        <v>1238</v>
      </c>
      <c r="E554" s="1914"/>
      <c r="F554" s="1914"/>
      <c r="G554" s="820"/>
    </row>
    <row r="555" spans="1:7">
      <c r="A555" s="817"/>
      <c r="B555" s="817"/>
      <c r="C555" s="830"/>
      <c r="D555" s="1914" t="s">
        <v>884</v>
      </c>
      <c r="E555" s="1914"/>
      <c r="F555" s="1914"/>
      <c r="G555" s="820"/>
    </row>
    <row r="556" spans="1:7">
      <c r="A556" s="817"/>
      <c r="B556" s="817"/>
      <c r="C556" s="830"/>
      <c r="D556" s="673"/>
      <c r="E556" s="1956" t="s">
        <v>1239</v>
      </c>
      <c r="F556" s="1956"/>
      <c r="G556" s="820"/>
    </row>
    <row r="557" spans="1:7" ht="14.4">
      <c r="A557" s="798"/>
      <c r="B557" s="798"/>
      <c r="C557" s="830"/>
      <c r="E557" s="801"/>
      <c r="F557" s="801"/>
      <c r="G557" s="820"/>
    </row>
    <row r="558" spans="1:7" ht="14.4">
      <c r="A558" s="798"/>
      <c r="B558" s="799" t="s">
        <v>2558</v>
      </c>
      <c r="C558" s="830"/>
      <c r="D558" s="1955" t="s">
        <v>1240</v>
      </c>
      <c r="E558" s="1955"/>
      <c r="F558" s="1955"/>
      <c r="G558" s="820"/>
    </row>
    <row r="559" spans="1:7">
      <c r="C559" s="830"/>
      <c r="D559" s="1909" t="s">
        <v>1241</v>
      </c>
      <c r="E559" s="1909"/>
      <c r="F559" s="1909"/>
      <c r="G559" s="820"/>
    </row>
    <row r="560" spans="1:7">
      <c r="A560" s="830"/>
      <c r="B560" s="830"/>
      <c r="C560" s="830"/>
      <c r="D560" s="1909"/>
      <c r="E560" s="1909"/>
      <c r="F560" s="1909"/>
      <c r="G560" s="820"/>
    </row>
    <row r="561" spans="1:7">
      <c r="A561" s="830"/>
      <c r="B561" s="830"/>
      <c r="C561" s="830"/>
      <c r="D561" s="1909"/>
      <c r="E561" s="1909"/>
      <c r="F561" s="1909"/>
      <c r="G561" s="820"/>
    </row>
    <row r="562" spans="1:7">
      <c r="A562" s="830"/>
      <c r="B562" s="830"/>
      <c r="C562" s="830"/>
      <c r="D562" s="801"/>
      <c r="E562" s="801"/>
      <c r="F562" s="801"/>
      <c r="G562" s="820"/>
    </row>
    <row r="563" spans="1:7" ht="14.4">
      <c r="A563" s="798"/>
      <c r="B563" s="799" t="s">
        <v>2558</v>
      </c>
      <c r="C563" s="830"/>
      <c r="D563" s="1909" t="s">
        <v>1242</v>
      </c>
      <c r="E563" s="1909"/>
      <c r="F563" s="1909"/>
      <c r="G563" s="820"/>
    </row>
    <row r="564" spans="1:7" ht="14.4">
      <c r="A564" s="798"/>
      <c r="B564" s="798"/>
      <c r="C564" s="830"/>
      <c r="D564" s="1909"/>
      <c r="E564" s="1909"/>
      <c r="F564" s="1909"/>
      <c r="G564" s="820"/>
    </row>
    <row r="565" spans="1:7" ht="14.4">
      <c r="A565" s="798"/>
      <c r="B565" s="798"/>
      <c r="C565" s="830"/>
      <c r="D565" s="1909"/>
      <c r="E565" s="1909"/>
      <c r="F565" s="1909"/>
      <c r="G565" s="820"/>
    </row>
    <row r="566" spans="1:7" ht="14.4">
      <c r="A566" s="798"/>
      <c r="B566" s="798"/>
      <c r="C566" s="830"/>
      <c r="D566" s="1909"/>
      <c r="E566" s="1909"/>
      <c r="F566" s="1909"/>
      <c r="G566" s="820"/>
    </row>
    <row r="567" spans="1:7" ht="14.4">
      <c r="A567" s="798"/>
      <c r="B567" s="798"/>
      <c r="C567" s="830"/>
      <c r="D567" s="801"/>
      <c r="E567" s="801"/>
      <c r="F567" s="801"/>
      <c r="G567" s="820"/>
    </row>
    <row r="568" spans="1:7">
      <c r="A568" s="1874" t="s">
        <v>1175</v>
      </c>
      <c r="B568" s="1874"/>
      <c r="C568" s="1874"/>
      <c r="D568" s="1874"/>
      <c r="E568" s="1874"/>
      <c r="F568" s="1874"/>
      <c r="G568" s="1874"/>
    </row>
    <row r="569" spans="1:7">
      <c r="A569" s="830"/>
      <c r="B569" s="830"/>
      <c r="C569" s="830"/>
      <c r="E569" s="801"/>
      <c r="F569" s="801"/>
      <c r="G569" s="820"/>
    </row>
    <row r="570" spans="1:7" ht="12.75" customHeight="1">
      <c r="C570" s="794"/>
      <c r="D570" s="1945" t="s">
        <v>217</v>
      </c>
      <c r="E570" s="1945"/>
      <c r="F570" s="1945"/>
      <c r="G570" s="820"/>
    </row>
    <row r="571" spans="1:7">
      <c r="A571" s="796"/>
      <c r="B571" s="796"/>
      <c r="C571" s="796"/>
      <c r="D571" s="1896" t="s">
        <v>1191</v>
      </c>
      <c r="E571" s="1896"/>
      <c r="F571" s="1896"/>
      <c r="G571" s="820"/>
    </row>
    <row r="572" spans="1:7">
      <c r="A572" s="791"/>
      <c r="B572" s="791"/>
      <c r="C572" s="796"/>
      <c r="D572" s="839"/>
      <c r="G572" s="820"/>
    </row>
    <row r="573" spans="1:7">
      <c r="A573" s="796"/>
      <c r="B573" s="799" t="s">
        <v>2558</v>
      </c>
      <c r="D573" s="1896" t="s">
        <v>958</v>
      </c>
      <c r="E573" s="1896"/>
      <c r="F573" s="1896"/>
      <c r="G573" s="820"/>
    </row>
    <row r="574" spans="1:7">
      <c r="A574" s="817"/>
      <c r="B574" s="817"/>
      <c r="D574" s="815"/>
    </row>
    <row r="575" spans="1:7">
      <c r="A575" s="817"/>
      <c r="B575" s="799" t="s">
        <v>2558</v>
      </c>
      <c r="D575" s="1897" t="s">
        <v>1192</v>
      </c>
      <c r="E575" s="1897"/>
      <c r="F575" s="1897"/>
    </row>
    <row r="576" spans="1:7">
      <c r="A576" s="817"/>
      <c r="B576" s="817"/>
      <c r="D576" s="1897"/>
      <c r="E576" s="1897"/>
      <c r="F576" s="1897"/>
      <c r="G576" s="791"/>
    </row>
    <row r="577" spans="1:7">
      <c r="A577" s="817"/>
      <c r="B577" s="817"/>
      <c r="D577" s="1897"/>
      <c r="E577" s="1897"/>
      <c r="F577" s="1897"/>
      <c r="G577" s="791"/>
    </row>
    <row r="578" spans="1:7">
      <c r="A578" s="817"/>
      <c r="B578" s="817"/>
      <c r="D578" s="1897"/>
      <c r="E578" s="1897"/>
      <c r="F578" s="1897"/>
      <c r="G578" s="791"/>
    </row>
    <row r="579" spans="1:7">
      <c r="A579" s="817"/>
      <c r="B579" s="799" t="s">
        <v>2559</v>
      </c>
      <c r="D579" s="1897" t="s">
        <v>1193</v>
      </c>
      <c r="E579" s="1897"/>
      <c r="F579" s="1897"/>
      <c r="G579" s="791"/>
    </row>
    <row r="580" spans="1:7">
      <c r="A580" s="817"/>
      <c r="B580" s="817"/>
      <c r="D580" s="1897"/>
      <c r="E580" s="1897"/>
      <c r="F580" s="1897"/>
      <c r="G580" s="791"/>
    </row>
    <row r="581" spans="1:7">
      <c r="A581" s="817"/>
      <c r="B581" s="817"/>
      <c r="D581" s="1897"/>
      <c r="E581" s="1897"/>
      <c r="F581" s="1897"/>
      <c r="G581" s="791"/>
    </row>
    <row r="582" spans="1:7">
      <c r="A582" s="817"/>
      <c r="B582" s="817"/>
      <c r="D582" s="1897"/>
      <c r="E582" s="1897"/>
      <c r="F582" s="1897"/>
      <c r="G582" s="791"/>
    </row>
    <row r="583" spans="1:7">
      <c r="A583" s="817"/>
      <c r="B583" s="817"/>
      <c r="D583" s="784"/>
      <c r="E583" s="784"/>
      <c r="F583" s="784"/>
      <c r="G583" s="791"/>
    </row>
    <row r="584" spans="1:7">
      <c r="A584" s="817"/>
      <c r="B584" s="799" t="s">
        <v>1162</v>
      </c>
      <c r="D584" s="1897" t="s">
        <v>1194</v>
      </c>
      <c r="E584" s="1897"/>
      <c r="F584" s="1897"/>
      <c r="G584" s="791"/>
    </row>
    <row r="585" spans="1:7">
      <c r="A585" s="817"/>
      <c r="B585" s="817"/>
      <c r="D585" s="1897"/>
      <c r="E585" s="1897"/>
      <c r="F585" s="1897"/>
      <c r="G585" s="791"/>
    </row>
    <row r="586" spans="1:7">
      <c r="A586" s="817"/>
      <c r="B586" s="817"/>
      <c r="D586" s="839"/>
      <c r="G586" s="791"/>
    </row>
    <row r="587" spans="1:7">
      <c r="A587" s="817"/>
      <c r="B587" s="799" t="s">
        <v>2559</v>
      </c>
      <c r="D587" s="1896" t="s">
        <v>1195</v>
      </c>
      <c r="E587" s="1896"/>
      <c r="F587" s="1896"/>
      <c r="G587" s="791"/>
    </row>
    <row r="588" spans="1:7">
      <c r="A588" s="817"/>
      <c r="B588" s="817"/>
      <c r="D588" s="1896"/>
      <c r="E588" s="1896"/>
      <c r="F588" s="1896"/>
      <c r="G588" s="791"/>
    </row>
    <row r="589" spans="1:7">
      <c r="A589" s="817"/>
      <c r="B589" s="817"/>
      <c r="D589" s="839"/>
      <c r="G589" s="791"/>
    </row>
    <row r="590" spans="1:7" ht="14.4">
      <c r="A590" s="798"/>
      <c r="B590" s="799" t="s">
        <v>2558</v>
      </c>
      <c r="D590" s="1896" t="s">
        <v>953</v>
      </c>
      <c r="E590" s="1896"/>
      <c r="F590" s="1896"/>
      <c r="G590" s="791"/>
    </row>
    <row r="591" spans="1:7" ht="14.4">
      <c r="A591" s="798"/>
      <c r="B591" s="798"/>
      <c r="D591" s="839"/>
      <c r="G591" s="791"/>
    </row>
    <row r="592" spans="1:7">
      <c r="A592" s="1874" t="s">
        <v>1176</v>
      </c>
      <c r="B592" s="1874"/>
      <c r="C592" s="1874"/>
      <c r="D592" s="1874"/>
      <c r="E592" s="1874"/>
      <c r="F592" s="1874"/>
      <c r="G592" s="1874"/>
    </row>
    <row r="593" spans="1:7"/>
    <row r="594" spans="1:7">
      <c r="D594" s="1864" t="s">
        <v>1276</v>
      </c>
      <c r="E594" s="1864"/>
      <c r="F594" s="1864"/>
    </row>
    <row r="595" spans="1:7">
      <c r="D595" s="1865" t="s">
        <v>1277</v>
      </c>
      <c r="E595" s="1865"/>
      <c r="F595" s="1865"/>
    </row>
    <row r="596" spans="1:7">
      <c r="D596" s="781"/>
      <c r="E596" s="723"/>
      <c r="F596" s="723"/>
    </row>
    <row r="597" spans="1:7" s="792" customFormat="1" ht="14.4">
      <c r="A597" s="806"/>
      <c r="B597" s="799" t="s">
        <v>2558</v>
      </c>
      <c r="C597" s="802"/>
      <c r="D597" s="1866" t="s">
        <v>1278</v>
      </c>
      <c r="E597" s="1866"/>
      <c r="F597" s="1866"/>
      <c r="G597" s="803"/>
    </row>
    <row r="598" spans="1:7">
      <c r="D598" s="1866"/>
      <c r="E598" s="1866"/>
      <c r="F598" s="1866"/>
    </row>
    <row r="599" spans="1:7">
      <c r="D599" s="1866"/>
      <c r="E599" s="1866"/>
      <c r="F599" s="1866"/>
    </row>
    <row r="600" spans="1:7"/>
    <row r="601" spans="1:7">
      <c r="A601" s="1874" t="s">
        <v>1177</v>
      </c>
      <c r="B601" s="1874"/>
      <c r="C601" s="1874"/>
      <c r="D601" s="1874"/>
      <c r="E601" s="1874"/>
      <c r="F601" s="1874"/>
      <c r="G601" s="1874"/>
    </row>
    <row r="602" spans="1:7">
      <c r="A602" s="801"/>
      <c r="B602" s="801"/>
      <c r="G602" s="820"/>
    </row>
    <row r="603" spans="1:7">
      <c r="A603" s="840"/>
      <c r="B603" s="840"/>
      <c r="C603" s="794"/>
      <c r="D603" s="1867" t="s">
        <v>1279</v>
      </c>
      <c r="E603" s="1867"/>
      <c r="F603" s="1867"/>
      <c r="G603" s="820"/>
    </row>
    <row r="604" spans="1:7">
      <c r="A604" s="840"/>
      <c r="B604" s="840"/>
      <c r="C604" s="794"/>
      <c r="D604" s="1867"/>
      <c r="E604" s="1867"/>
      <c r="F604" s="1867"/>
      <c r="G604" s="820"/>
    </row>
    <row r="605" spans="1:7">
      <c r="C605" s="796"/>
      <c r="D605" s="1865" t="s">
        <v>1280</v>
      </c>
      <c r="E605" s="1865"/>
      <c r="F605" s="1865"/>
      <c r="G605" s="820"/>
    </row>
    <row r="606" spans="1:7">
      <c r="C606" s="796"/>
      <c r="D606" s="781"/>
      <c r="E606" s="781"/>
      <c r="F606" s="781"/>
      <c r="G606" s="820"/>
    </row>
    <row r="607" spans="1:7">
      <c r="A607" s="817"/>
      <c r="B607" s="799" t="s">
        <v>2558</v>
      </c>
      <c r="D607" s="1865" t="s">
        <v>455</v>
      </c>
      <c r="E607" s="1865"/>
      <c r="F607" s="1865"/>
      <c r="G607" s="820"/>
    </row>
    <row r="608" spans="1:7">
      <c r="C608" s="841"/>
      <c r="E608" s="791"/>
      <c r="G608" s="820"/>
    </row>
    <row r="609" spans="1:7">
      <c r="A609" s="817"/>
      <c r="B609" s="799" t="s">
        <v>2558</v>
      </c>
      <c r="D609" s="1868" t="s">
        <v>1281</v>
      </c>
      <c r="E609" s="1868"/>
      <c r="F609" s="1868"/>
      <c r="G609" s="820"/>
    </row>
    <row r="610" spans="1:7">
      <c r="D610" s="1868"/>
      <c r="E610" s="1868"/>
      <c r="F610" s="1868"/>
      <c r="G610" s="820"/>
    </row>
    <row r="611" spans="1:7">
      <c r="D611" s="791"/>
      <c r="G611" s="820"/>
    </row>
    <row r="612" spans="1:7">
      <c r="B612" s="799" t="s">
        <v>2558</v>
      </c>
      <c r="D612" s="1868" t="s">
        <v>1282</v>
      </c>
      <c r="E612" s="1868"/>
      <c r="F612" s="1868"/>
      <c r="G612" s="820"/>
    </row>
    <row r="613" spans="1:7">
      <c r="C613" s="841"/>
      <c r="D613" s="1868"/>
      <c r="E613" s="1868"/>
      <c r="F613" s="1868"/>
      <c r="G613" s="820"/>
    </row>
    <row r="614" spans="1:7">
      <c r="C614" s="841"/>
      <c r="G614" s="820"/>
    </row>
    <row r="615" spans="1:7">
      <c r="B615" s="799" t="s">
        <v>2559</v>
      </c>
      <c r="C615" s="841"/>
      <c r="D615" s="1868" t="s">
        <v>1283</v>
      </c>
      <c r="E615" s="1868"/>
      <c r="F615" s="1868"/>
      <c r="G615" s="820"/>
    </row>
    <row r="616" spans="1:7">
      <c r="C616" s="841"/>
      <c r="D616" s="1868"/>
      <c r="E616" s="1868"/>
      <c r="F616" s="1868"/>
      <c r="G616" s="820"/>
    </row>
    <row r="617" spans="1:7">
      <c r="C617" s="841"/>
      <c r="G617" s="820"/>
    </row>
    <row r="618" spans="1:7">
      <c r="A618" s="1874" t="s">
        <v>1178</v>
      </c>
      <c r="B618" s="1874"/>
      <c r="C618" s="1874"/>
      <c r="D618" s="1874"/>
      <c r="E618" s="1874"/>
      <c r="F618" s="1874"/>
      <c r="G618" s="1874"/>
    </row>
    <row r="619" spans="1:7">
      <c r="A619" s="842"/>
      <c r="B619" s="842"/>
      <c r="C619" s="842"/>
      <c r="G619" s="820"/>
    </row>
    <row r="620" spans="1:7">
      <c r="C620" s="817"/>
      <c r="D620" s="1864" t="s">
        <v>1284</v>
      </c>
      <c r="E620" s="1864"/>
      <c r="F620" s="1864"/>
      <c r="G620" s="820"/>
    </row>
    <row r="621" spans="1:7">
      <c r="A621" s="817"/>
      <c r="B621" s="817"/>
      <c r="C621" s="819"/>
      <c r="D621" s="795"/>
      <c r="G621" s="820"/>
    </row>
    <row r="622" spans="1:7" ht="14.4">
      <c r="A622" s="798"/>
      <c r="B622" s="799" t="s">
        <v>2558</v>
      </c>
      <c r="C622" s="819"/>
      <c r="D622" s="1909" t="s">
        <v>1511</v>
      </c>
      <c r="E622" s="1909"/>
      <c r="F622" s="1909"/>
      <c r="G622" s="820"/>
    </row>
    <row r="623" spans="1:7">
      <c r="C623" s="819"/>
      <c r="D623" s="1909"/>
      <c r="E623" s="1909"/>
      <c r="F623" s="1909"/>
      <c r="G623" s="820"/>
    </row>
    <row r="624" spans="1:7">
      <c r="C624" s="819"/>
      <c r="D624" s="1909"/>
      <c r="E624" s="1909"/>
      <c r="F624" s="1909"/>
      <c r="G624" s="820"/>
    </row>
    <row r="625" spans="1:7">
      <c r="C625" s="819"/>
      <c r="D625" s="1909"/>
      <c r="E625" s="1909"/>
      <c r="F625" s="1909"/>
      <c r="G625" s="820"/>
    </row>
    <row r="626" spans="1:7">
      <c r="C626" s="819"/>
      <c r="D626" s="1909"/>
      <c r="E626" s="1909"/>
      <c r="F626" s="1909"/>
      <c r="G626" s="820"/>
    </row>
    <row r="627" spans="1:7">
      <c r="C627" s="819"/>
      <c r="D627" s="1909"/>
      <c r="E627" s="1909"/>
      <c r="F627" s="1909"/>
      <c r="G627" s="820"/>
    </row>
    <row r="628" spans="1:7">
      <c r="C628" s="819"/>
      <c r="D628" s="785"/>
      <c r="E628" s="785"/>
      <c r="F628" s="785"/>
      <c r="G628" s="820"/>
    </row>
    <row r="629" spans="1:7" ht="14.4">
      <c r="A629" s="798"/>
      <c r="B629" s="799" t="s">
        <v>1162</v>
      </c>
      <c r="C629" s="819"/>
      <c r="D629" s="1909" t="s">
        <v>1286</v>
      </c>
      <c r="E629" s="1909"/>
      <c r="F629" s="1909"/>
      <c r="G629" s="820"/>
    </row>
    <row r="630" spans="1:7">
      <c r="A630" s="830"/>
      <c r="B630" s="830"/>
      <c r="C630" s="830"/>
      <c r="D630" s="1909"/>
      <c r="E630" s="1909"/>
      <c r="F630" s="1909"/>
      <c r="G630" s="820"/>
    </row>
    <row r="631" spans="1:7">
      <c r="A631" s="830"/>
      <c r="B631" s="830"/>
      <c r="C631" s="830"/>
      <c r="D631" s="786"/>
      <c r="E631" s="843"/>
      <c r="F631" s="843"/>
      <c r="G631" s="820"/>
    </row>
    <row r="632" spans="1:7" ht="14.4">
      <c r="A632" s="798"/>
      <c r="B632" s="799" t="s">
        <v>2559</v>
      </c>
      <c r="C632" s="830"/>
      <c r="D632" s="1866" t="s">
        <v>1447</v>
      </c>
      <c r="E632" s="1866"/>
      <c r="F632" s="1866"/>
      <c r="G632" s="820"/>
    </row>
    <row r="633" spans="1:7" ht="14.4">
      <c r="A633" s="798"/>
      <c r="B633" s="798"/>
      <c r="C633" s="830"/>
      <c r="D633" s="1866"/>
      <c r="E633" s="1866"/>
      <c r="F633" s="1866"/>
      <c r="G633" s="820"/>
    </row>
    <row r="634" spans="1:7" ht="14.4">
      <c r="A634" s="798"/>
      <c r="B634" s="798"/>
      <c r="C634" s="830"/>
      <c r="D634" s="1866"/>
      <c r="E634" s="1866"/>
      <c r="F634" s="1866"/>
      <c r="G634" s="820"/>
    </row>
    <row r="635" spans="1:7">
      <c r="A635" s="830"/>
      <c r="B635" s="799" t="s">
        <v>2559</v>
      </c>
      <c r="C635" s="830"/>
      <c r="D635" s="1914" t="s">
        <v>1288</v>
      </c>
      <c r="E635" s="1914"/>
      <c r="F635" s="1914"/>
      <c r="G635" s="820"/>
    </row>
    <row r="636" spans="1:7">
      <c r="A636" s="830"/>
      <c r="B636" s="830"/>
      <c r="C636" s="830"/>
      <c r="D636" s="728"/>
      <c r="E636" s="728"/>
      <c r="F636" s="728"/>
      <c r="G636" s="820"/>
    </row>
    <row r="637" spans="1:7">
      <c r="A637" s="1874" t="s">
        <v>1179</v>
      </c>
      <c r="B637" s="1874"/>
      <c r="C637" s="1874"/>
      <c r="D637" s="1874"/>
      <c r="E637" s="1874"/>
      <c r="F637" s="1874"/>
      <c r="G637" s="1874"/>
    </row>
    <row r="638" spans="1:7">
      <c r="A638" s="801"/>
      <c r="B638" s="801"/>
      <c r="C638" s="830"/>
      <c r="D638" s="843"/>
      <c r="E638" s="843"/>
      <c r="F638" s="843"/>
      <c r="G638" s="820"/>
    </row>
    <row r="639" spans="1:7">
      <c r="C639" s="842"/>
      <c r="D639" s="1960" t="s">
        <v>1338</v>
      </c>
      <c r="E639" s="1960"/>
      <c r="F639" s="1960"/>
      <c r="G639" s="820"/>
    </row>
    <row r="640" spans="1:7">
      <c r="A640" s="796"/>
      <c r="B640" s="796"/>
      <c r="C640" s="796"/>
      <c r="D640" s="1961" t="s">
        <v>1339</v>
      </c>
      <c r="E640" s="1961"/>
      <c r="F640" s="1961"/>
      <c r="G640" s="820"/>
    </row>
    <row r="641" spans="1:7">
      <c r="A641" s="796"/>
      <c r="B641" s="796"/>
      <c r="C641" s="796"/>
      <c r="D641" s="728"/>
      <c r="E641" s="728"/>
      <c r="F641" s="728"/>
      <c r="G641" s="820"/>
    </row>
    <row r="642" spans="1:7" ht="12.75" customHeight="1">
      <c r="B642" s="799" t="s">
        <v>2558</v>
      </c>
      <c r="C642" s="830"/>
      <c r="D642" s="1951" t="s">
        <v>1533</v>
      </c>
      <c r="E642" s="1951"/>
      <c r="F642" s="1951"/>
    </row>
    <row r="643" spans="1:7">
      <c r="D643" s="1951"/>
      <c r="E643" s="1951"/>
      <c r="F643" s="1951"/>
    </row>
    <row r="644" spans="1:7">
      <c r="D644" s="1951"/>
      <c r="E644" s="1951"/>
      <c r="F644" s="1951"/>
    </row>
    <row r="645" spans="1:7">
      <c r="D645" s="1951"/>
      <c r="E645" s="1951"/>
      <c r="F645" s="1951"/>
    </row>
    <row r="646" spans="1:7" ht="14.7" customHeight="1">
      <c r="A646" s="798"/>
      <c r="B646" s="798"/>
      <c r="C646" s="830"/>
      <c r="D646" s="902"/>
      <c r="E646" s="902"/>
      <c r="F646" s="902"/>
      <c r="G646" s="820"/>
    </row>
    <row r="647" spans="1:7" ht="12.75" customHeight="1">
      <c r="A647" s="796"/>
      <c r="B647" s="799" t="s">
        <v>2559</v>
      </c>
      <c r="C647" s="830"/>
      <c r="D647" s="1951" t="s">
        <v>1536</v>
      </c>
      <c r="E647" s="1951"/>
      <c r="F647" s="1951"/>
      <c r="G647" s="820"/>
    </row>
    <row r="648" spans="1:7" ht="14.4">
      <c r="A648" s="796"/>
      <c r="B648" s="798"/>
      <c r="C648" s="830"/>
      <c r="D648" s="1951"/>
      <c r="E648" s="1951"/>
      <c r="F648" s="1951"/>
      <c r="G648" s="820"/>
    </row>
    <row r="649" spans="1:7" ht="14.4">
      <c r="A649" s="796"/>
      <c r="B649" s="798"/>
      <c r="C649" s="830"/>
      <c r="D649" s="1951"/>
      <c r="E649" s="1951"/>
      <c r="F649" s="1951"/>
      <c r="G649" s="820"/>
    </row>
    <row r="650" spans="1:7" ht="14.4">
      <c r="A650" s="796"/>
      <c r="B650" s="798"/>
      <c r="C650" s="830"/>
      <c r="D650" s="1951"/>
      <c r="E650" s="1951"/>
      <c r="F650" s="1951"/>
      <c r="G650" s="820"/>
    </row>
    <row r="651" spans="1:7" ht="14.4">
      <c r="A651" s="796"/>
      <c r="B651" s="798"/>
      <c r="C651" s="830"/>
      <c r="D651" s="1951"/>
      <c r="E651" s="1951"/>
      <c r="F651" s="1951"/>
      <c r="G651" s="820"/>
    </row>
    <row r="652" spans="1:7" ht="14.25" customHeight="1">
      <c r="A652" s="796"/>
      <c r="B652" s="798"/>
      <c r="C652" s="830"/>
      <c r="F652" s="903"/>
      <c r="G652" s="820"/>
    </row>
    <row r="653" spans="1:7" ht="12.75" customHeight="1">
      <c r="A653" s="796"/>
      <c r="B653" s="799" t="s">
        <v>2559</v>
      </c>
      <c r="C653" s="830"/>
      <c r="D653" s="1951" t="s">
        <v>1534</v>
      </c>
      <c r="E653" s="1951"/>
      <c r="F653" s="1951"/>
      <c r="G653" s="820"/>
    </row>
    <row r="654" spans="1:7" ht="14.4">
      <c r="A654" s="796"/>
      <c r="B654" s="798"/>
      <c r="C654" s="830"/>
      <c r="D654" s="1951"/>
      <c r="E654" s="1951"/>
      <c r="F654" s="1951"/>
      <c r="G654" s="820"/>
    </row>
    <row r="655" spans="1:7" ht="14.4">
      <c r="A655" s="798"/>
      <c r="B655" s="798"/>
      <c r="C655" s="830"/>
      <c r="D655" s="1951"/>
      <c r="E655" s="1951"/>
      <c r="F655" s="1951"/>
      <c r="G655" s="820"/>
    </row>
    <row r="656" spans="1:7" ht="14.4">
      <c r="A656" s="798"/>
      <c r="B656" s="798"/>
      <c r="C656" s="830"/>
      <c r="D656" s="1951"/>
      <c r="E656" s="1951"/>
      <c r="F656" s="1951"/>
      <c r="G656" s="820"/>
    </row>
    <row r="657" spans="1:11" ht="14.4">
      <c r="A657" s="798"/>
      <c r="B657" s="798"/>
      <c r="C657" s="830"/>
      <c r="D657" s="894"/>
      <c r="E657" s="894"/>
      <c r="F657" s="894"/>
      <c r="G657" s="820"/>
    </row>
    <row r="658" spans="1:11" ht="12.75" customHeight="1">
      <c r="A658" s="796"/>
      <c r="B658" s="799" t="s">
        <v>2559</v>
      </c>
      <c r="C658" s="830"/>
      <c r="D658" s="1951" t="s">
        <v>1535</v>
      </c>
      <c r="E658" s="1951"/>
      <c r="F658" s="1951"/>
      <c r="G658" s="820"/>
    </row>
    <row r="659" spans="1:11" ht="12.75" customHeight="1">
      <c r="A659" s="796"/>
      <c r="B659" s="798"/>
      <c r="C659" s="830"/>
      <c r="D659" s="1951"/>
      <c r="E659" s="1951"/>
      <c r="F659" s="1951"/>
      <c r="G659" s="820"/>
    </row>
    <row r="660" spans="1:11" ht="12.75" customHeight="1">
      <c r="A660" s="796"/>
      <c r="B660" s="798"/>
      <c r="C660" s="830"/>
      <c r="D660" s="1951"/>
      <c r="E660" s="1951"/>
      <c r="F660" s="1951"/>
      <c r="G660" s="820"/>
    </row>
    <row r="661" spans="1:11" ht="12.75" customHeight="1">
      <c r="A661" s="796"/>
      <c r="B661" s="798"/>
      <c r="C661" s="830"/>
      <c r="D661" s="1951"/>
      <c r="E661" s="1951"/>
      <c r="F661" s="1951"/>
      <c r="G661" s="820"/>
    </row>
    <row r="662" spans="1:11" ht="12.75" customHeight="1">
      <c r="A662" s="796"/>
      <c r="B662" s="798"/>
      <c r="C662" s="830"/>
      <c r="D662" s="1951"/>
      <c r="E662" s="1951"/>
      <c r="F662" s="1951"/>
      <c r="G662" s="820"/>
    </row>
    <row r="663" spans="1:11" ht="12.75" customHeight="1">
      <c r="A663" s="796"/>
      <c r="B663" s="798"/>
      <c r="C663" s="830"/>
      <c r="D663" s="1951"/>
      <c r="E663" s="1951"/>
      <c r="F663" s="1951"/>
      <c r="G663" s="820"/>
    </row>
    <row r="664" spans="1:11" ht="12.75" customHeight="1">
      <c r="A664" s="796"/>
      <c r="B664" s="798"/>
      <c r="C664" s="830"/>
      <c r="D664" s="1951"/>
      <c r="E664" s="1951"/>
      <c r="F664" s="1951"/>
      <c r="G664" s="820"/>
    </row>
    <row r="665" spans="1:11" ht="12.75" customHeight="1">
      <c r="A665" s="796"/>
      <c r="B665" s="798"/>
      <c r="C665" s="830"/>
      <c r="D665" s="1951"/>
      <c r="E665" s="1951"/>
      <c r="F665" s="1951"/>
      <c r="G665" s="820"/>
    </row>
    <row r="666" spans="1:11" ht="12.75" customHeight="1">
      <c r="A666" s="796"/>
      <c r="B666" s="798"/>
      <c r="C666" s="830"/>
      <c r="D666" s="1951"/>
      <c r="E666" s="1951"/>
      <c r="F666" s="1951"/>
      <c r="G666" s="820"/>
    </row>
    <row r="667" spans="1:11">
      <c r="A667" s="830"/>
      <c r="B667" s="830"/>
      <c r="C667" s="830"/>
      <c r="D667" s="843"/>
      <c r="E667" s="843"/>
      <c r="F667" s="843"/>
      <c r="G667" s="820"/>
    </row>
    <row r="668" spans="1:11">
      <c r="A668" s="1874" t="s">
        <v>1180</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64" t="s">
        <v>104</v>
      </c>
      <c r="E670" s="1864"/>
      <c r="F670" s="1864"/>
      <c r="G670" s="820"/>
      <c r="H670" s="844"/>
      <c r="I670" s="844"/>
      <c r="J670" s="844"/>
      <c r="K670" s="844"/>
    </row>
    <row r="671" spans="1:11">
      <c r="A671" s="842"/>
      <c r="B671" s="842"/>
      <c r="C671" s="842"/>
      <c r="D671" s="1864" t="s">
        <v>128</v>
      </c>
      <c r="E671" s="1864"/>
      <c r="F671" s="1864"/>
      <c r="G671" s="820"/>
      <c r="H671" s="844"/>
      <c r="I671" s="844"/>
      <c r="J671" s="844"/>
      <c r="K671" s="844"/>
    </row>
    <row r="672" spans="1:11">
      <c r="A672" s="796"/>
      <c r="B672" s="796"/>
      <c r="C672" s="796"/>
      <c r="D672" s="1914" t="s">
        <v>1216</v>
      </c>
      <c r="E672" s="1914"/>
      <c r="F672" s="1914"/>
      <c r="G672" s="820"/>
      <c r="H672" s="844"/>
      <c r="I672" s="844"/>
      <c r="J672" s="844"/>
      <c r="K672" s="844"/>
    </row>
    <row r="673" spans="1:11">
      <c r="A673" s="796"/>
      <c r="B673" s="796"/>
      <c r="C673" s="796"/>
      <c r="G673" s="820"/>
      <c r="H673" s="844"/>
      <c r="I673" s="844"/>
      <c r="J673" s="844"/>
      <c r="K673" s="844"/>
    </row>
    <row r="674" spans="1:11" ht="14.4">
      <c r="A674" s="798"/>
      <c r="B674" s="799" t="s">
        <v>2558</v>
      </c>
      <c r="C674" s="796"/>
      <c r="D674" s="1914" t="s">
        <v>954</v>
      </c>
      <c r="E674" s="1914"/>
      <c r="F674" s="1914"/>
      <c r="G674" s="820"/>
      <c r="H674" s="844"/>
      <c r="I674" s="844"/>
      <c r="J674" s="844"/>
      <c r="K674" s="844"/>
    </row>
    <row r="675" spans="1:11">
      <c r="A675" s="796"/>
      <c r="B675" s="796"/>
      <c r="C675" s="796"/>
      <c r="D675" s="1914" t="s">
        <v>965</v>
      </c>
      <c r="E675" s="1914"/>
      <c r="F675" s="1914"/>
      <c r="G675" s="820"/>
      <c r="H675" s="844"/>
      <c r="I675" s="844"/>
      <c r="J675" s="844"/>
      <c r="K675" s="844"/>
    </row>
    <row r="676" spans="1:11">
      <c r="A676" s="796"/>
      <c r="B676" s="796"/>
      <c r="C676" s="796"/>
      <c r="D676" s="673"/>
      <c r="E676" s="1975" t="s">
        <v>1217</v>
      </c>
      <c r="F676" s="1975"/>
      <c r="G676" s="820"/>
      <c r="H676" s="844"/>
      <c r="I676" s="844"/>
      <c r="J676" s="844"/>
      <c r="K676" s="844"/>
    </row>
    <row r="677" spans="1:11">
      <c r="A677" s="796"/>
      <c r="B677" s="796"/>
      <c r="C677" s="796"/>
      <c r="D677" s="673"/>
      <c r="E677" s="1975"/>
      <c r="F677" s="1975"/>
      <c r="G677" s="820"/>
      <c r="H677" s="844"/>
      <c r="I677" s="844"/>
      <c r="J677" s="844"/>
      <c r="K677" s="844"/>
    </row>
    <row r="678" spans="1:11">
      <c r="A678" s="796"/>
      <c r="B678" s="796"/>
      <c r="C678" s="796"/>
      <c r="D678" s="845"/>
      <c r="E678" s="801"/>
      <c r="G678" s="820"/>
      <c r="H678" s="844"/>
      <c r="I678" s="844"/>
      <c r="J678" s="844"/>
      <c r="K678" s="844"/>
    </row>
    <row r="679" spans="1:11" ht="14.4">
      <c r="A679" s="798"/>
      <c r="B679" s="799" t="s">
        <v>2559</v>
      </c>
      <c r="C679" s="796"/>
      <c r="D679" s="1909" t="s">
        <v>1413</v>
      </c>
      <c r="E679" s="1909"/>
      <c r="F679" s="1909"/>
      <c r="G679" s="820"/>
      <c r="H679" s="844"/>
      <c r="I679" s="844"/>
      <c r="J679" s="844"/>
      <c r="K679" s="844"/>
    </row>
    <row r="680" spans="1:11">
      <c r="A680" s="817"/>
      <c r="B680" s="817"/>
      <c r="C680" s="796"/>
      <c r="D680" s="1909"/>
      <c r="E680" s="1909"/>
      <c r="F680" s="1909"/>
      <c r="G680" s="820"/>
      <c r="H680" s="844"/>
      <c r="I680" s="844"/>
      <c r="J680" s="844"/>
      <c r="K680" s="844"/>
    </row>
    <row r="681" spans="1:11">
      <c r="A681" s="796"/>
      <c r="B681" s="796"/>
      <c r="C681" s="796"/>
      <c r="D681" s="1909"/>
      <c r="E681" s="1909"/>
      <c r="F681" s="1909"/>
      <c r="G681" s="820"/>
      <c r="H681" s="844"/>
      <c r="I681" s="844"/>
      <c r="J681" s="844"/>
      <c r="K681" s="844"/>
    </row>
    <row r="682" spans="1:11">
      <c r="A682" s="796"/>
      <c r="B682" s="796"/>
      <c r="C682" s="796"/>
      <c r="G682" s="820"/>
      <c r="H682" s="844"/>
      <c r="I682" s="844"/>
      <c r="J682" s="844"/>
      <c r="K682" s="844"/>
    </row>
    <row r="683" spans="1:11" ht="14.4">
      <c r="A683" s="798"/>
      <c r="B683" s="799" t="s">
        <v>2559</v>
      </c>
      <c r="C683" s="796"/>
      <c r="D683" s="1914" t="s">
        <v>994</v>
      </c>
      <c r="E683" s="1914"/>
      <c r="F683" s="1914"/>
      <c r="G683" s="820"/>
      <c r="H683" s="844"/>
      <c r="I683" s="844"/>
      <c r="J683" s="844"/>
      <c r="K683" s="844"/>
    </row>
    <row r="684" spans="1:11" ht="14.4">
      <c r="A684" s="798"/>
      <c r="B684" s="798"/>
      <c r="C684" s="796"/>
      <c r="D684" s="1914" t="s">
        <v>965</v>
      </c>
      <c r="E684" s="1914"/>
      <c r="F684" s="1914"/>
      <c r="G684" s="820"/>
      <c r="H684" s="844"/>
      <c r="I684" s="844"/>
      <c r="J684" s="844"/>
      <c r="K684" s="844"/>
    </row>
    <row r="685" spans="1:11">
      <c r="A685" s="796"/>
      <c r="B685" s="796"/>
      <c r="C685" s="796"/>
      <c r="D685" s="673"/>
      <c r="E685" s="1956" t="s">
        <v>1219</v>
      </c>
      <c r="F685" s="1956"/>
      <c r="G685" s="820"/>
      <c r="H685" s="844"/>
      <c r="I685" s="844"/>
      <c r="J685" s="844"/>
      <c r="K685" s="844"/>
    </row>
    <row r="686" spans="1:11">
      <c r="A686" s="796"/>
      <c r="B686" s="796"/>
      <c r="C686" s="796"/>
      <c r="D686" s="795"/>
      <c r="G686" s="820"/>
      <c r="H686" s="844"/>
      <c r="I686" s="844"/>
      <c r="J686" s="844"/>
      <c r="K686" s="844"/>
    </row>
    <row r="687" spans="1:11" ht="14.4">
      <c r="A687" s="798"/>
      <c r="B687" s="799" t="s">
        <v>2559</v>
      </c>
      <c r="C687" s="796"/>
      <c r="D687" s="1950" t="s">
        <v>1229</v>
      </c>
      <c r="E687" s="1950"/>
      <c r="F687" s="1950"/>
      <c r="G687" s="820"/>
      <c r="H687" s="844"/>
      <c r="I687" s="844"/>
      <c r="J687" s="844"/>
      <c r="K687" s="844"/>
    </row>
    <row r="688" spans="1:11">
      <c r="A688" s="796"/>
      <c r="B688" s="796"/>
      <c r="C688" s="796"/>
      <c r="D688" s="1950"/>
      <c r="E688" s="1950"/>
      <c r="F688" s="1950"/>
      <c r="G688" s="820"/>
      <c r="H688" s="844"/>
      <c r="I688" s="844"/>
      <c r="J688" s="844"/>
      <c r="K688" s="844"/>
    </row>
    <row r="689" spans="1:11">
      <c r="A689" s="796"/>
      <c r="B689" s="796"/>
      <c r="C689" s="796"/>
      <c r="D689" s="1950"/>
      <c r="E689" s="1950"/>
      <c r="F689" s="1950"/>
      <c r="G689" s="820"/>
      <c r="H689" s="844"/>
      <c r="I689" s="844"/>
      <c r="J689" s="844"/>
      <c r="K689" s="844"/>
    </row>
    <row r="690" spans="1:11">
      <c r="A690" s="796"/>
      <c r="B690" s="796"/>
      <c r="C690" s="796"/>
      <c r="D690" s="1950"/>
      <c r="E690" s="1950"/>
      <c r="F690" s="1950"/>
      <c r="G690" s="820"/>
      <c r="H690" s="844"/>
      <c r="I690" s="844"/>
      <c r="J690" s="844"/>
      <c r="K690" s="844"/>
    </row>
    <row r="691" spans="1:11">
      <c r="A691" s="796"/>
      <c r="B691" s="796"/>
      <c r="C691" s="796"/>
      <c r="D691" s="1950"/>
      <c r="E691" s="1950"/>
      <c r="F691" s="1950"/>
      <c r="G691" s="820"/>
      <c r="H691" s="844"/>
      <c r="I691" s="844"/>
      <c r="J691" s="844"/>
      <c r="K691" s="844"/>
    </row>
    <row r="692" spans="1:11" s="792" customFormat="1">
      <c r="A692" s="836"/>
      <c r="B692" s="836"/>
      <c r="C692" s="836"/>
      <c r="D692" s="1950"/>
      <c r="E692" s="1950"/>
      <c r="F692" s="195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2559</v>
      </c>
      <c r="C694" s="836"/>
      <c r="D694" s="1950" t="s">
        <v>1415</v>
      </c>
      <c r="E694" s="1950"/>
      <c r="F694" s="1950"/>
      <c r="G694" s="846"/>
      <c r="H694" s="847"/>
      <c r="I694" s="847"/>
      <c r="J694" s="847"/>
      <c r="K694" s="847"/>
    </row>
    <row r="695" spans="1:11" s="792" customFormat="1">
      <c r="A695" s="836"/>
      <c r="B695" s="836"/>
      <c r="C695" s="836"/>
      <c r="D695" s="1950"/>
      <c r="E695" s="1950"/>
      <c r="F695" s="1950"/>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2559</v>
      </c>
      <c r="C697" s="796"/>
      <c r="D697" s="1950" t="s">
        <v>1220</v>
      </c>
      <c r="E697" s="1950"/>
      <c r="F697" s="1950"/>
      <c r="G697" s="820"/>
      <c r="H697" s="844"/>
      <c r="I697" s="844"/>
      <c r="J697" s="844"/>
      <c r="K697" s="844"/>
    </row>
    <row r="698" spans="1:11">
      <c r="A698" s="796"/>
      <c r="B698" s="796"/>
      <c r="C698" s="796"/>
      <c r="D698" s="1950"/>
      <c r="E698" s="1950"/>
      <c r="F698" s="1950"/>
      <c r="G698" s="820"/>
      <c r="H698" s="844"/>
      <c r="I698" s="844"/>
      <c r="J698" s="844"/>
      <c r="K698" s="844"/>
    </row>
    <row r="699" spans="1:11">
      <c r="A699" s="796"/>
      <c r="B699" s="796"/>
      <c r="C699" s="796"/>
      <c r="D699" s="1950"/>
      <c r="E699" s="1950"/>
      <c r="F699" s="1950"/>
      <c r="G699" s="820"/>
      <c r="H699" s="844"/>
      <c r="I699" s="844"/>
      <c r="J699" s="844"/>
      <c r="K699" s="844"/>
    </row>
    <row r="700" spans="1:11" ht="15" customHeight="1">
      <c r="A700" s="796"/>
      <c r="B700" s="796"/>
      <c r="C700" s="796"/>
      <c r="D700" s="1950"/>
      <c r="E700" s="1950"/>
      <c r="F700" s="1950"/>
      <c r="G700" s="820"/>
      <c r="H700" s="844"/>
      <c r="I700" s="844"/>
      <c r="J700" s="844"/>
      <c r="K700" s="844"/>
    </row>
    <row r="701" spans="1:11" ht="15" customHeight="1">
      <c r="A701" s="796"/>
      <c r="B701" s="796"/>
      <c r="C701" s="796"/>
      <c r="D701" s="1950"/>
      <c r="E701" s="1950"/>
      <c r="F701" s="1950"/>
      <c r="G701" s="820"/>
      <c r="H701" s="844"/>
      <c r="I701" s="844"/>
      <c r="J701" s="844"/>
      <c r="K701" s="844"/>
    </row>
    <row r="702" spans="1:11">
      <c r="A702" s="796"/>
      <c r="B702" s="796"/>
      <c r="C702" s="796"/>
      <c r="D702" s="1950"/>
      <c r="E702" s="1950"/>
      <c r="F702" s="1950"/>
      <c r="G702" s="820"/>
      <c r="H702" s="844"/>
      <c r="I702" s="844"/>
      <c r="J702" s="844"/>
      <c r="K702" s="844"/>
    </row>
    <row r="703" spans="1:11">
      <c r="A703" s="796"/>
      <c r="B703" s="796"/>
      <c r="C703" s="796"/>
      <c r="D703" s="1950"/>
      <c r="E703" s="1950"/>
      <c r="F703" s="1950"/>
      <c r="G703" s="820"/>
      <c r="H703" s="844"/>
      <c r="I703" s="844"/>
      <c r="J703" s="844"/>
      <c r="K703" s="844"/>
    </row>
    <row r="704" spans="1:11">
      <c r="A704" s="796"/>
      <c r="B704" s="796"/>
      <c r="C704" s="796"/>
      <c r="D704" s="1950"/>
      <c r="E704" s="1950"/>
      <c r="F704" s="1950"/>
      <c r="G704" s="820"/>
      <c r="H704" s="844"/>
      <c r="I704" s="844"/>
      <c r="J704" s="844"/>
      <c r="K704" s="844"/>
    </row>
    <row r="705" spans="1:11" ht="15" customHeight="1">
      <c r="A705" s="796"/>
      <c r="B705" s="796"/>
      <c r="C705" s="796"/>
      <c r="D705" s="1950"/>
      <c r="E705" s="1950"/>
      <c r="F705" s="1950"/>
      <c r="G705" s="820"/>
      <c r="H705" s="844"/>
      <c r="I705" s="844"/>
      <c r="J705" s="844"/>
      <c r="K705" s="844"/>
    </row>
    <row r="706" spans="1:11">
      <c r="A706" s="796"/>
      <c r="B706" s="796"/>
      <c r="C706" s="796"/>
      <c r="D706" s="1950"/>
      <c r="E706" s="1950"/>
      <c r="F706" s="1950"/>
      <c r="G706" s="820"/>
      <c r="H706" s="844"/>
      <c r="I706" s="844"/>
      <c r="J706" s="844"/>
      <c r="K706" s="844"/>
    </row>
    <row r="707" spans="1:11">
      <c r="A707" s="796"/>
      <c r="B707" s="796"/>
      <c r="C707" s="796"/>
      <c r="D707" s="1950"/>
      <c r="E707" s="1950"/>
      <c r="F707" s="1950"/>
      <c r="G707" s="820"/>
      <c r="H707" s="844"/>
      <c r="I707" s="844"/>
      <c r="J707" s="844"/>
      <c r="K707" s="844"/>
    </row>
    <row r="708" spans="1:11">
      <c r="A708" s="796"/>
      <c r="B708" s="796"/>
      <c r="C708" s="796"/>
      <c r="D708" s="1950"/>
      <c r="E708" s="1950"/>
      <c r="F708" s="1950"/>
      <c r="G708" s="820"/>
      <c r="H708" s="844"/>
      <c r="I708" s="844"/>
      <c r="J708" s="844"/>
      <c r="K708" s="844"/>
    </row>
    <row r="709" spans="1:11">
      <c r="A709" s="796"/>
      <c r="B709" s="796"/>
      <c r="C709" s="796"/>
      <c r="D709" s="1950"/>
      <c r="E709" s="1950"/>
      <c r="F709" s="1950"/>
      <c r="G709" s="820"/>
      <c r="H709" s="844"/>
      <c r="I709" s="844"/>
      <c r="J709" s="844"/>
      <c r="K709" s="844"/>
    </row>
    <row r="710" spans="1:11">
      <c r="A710" s="796"/>
      <c r="B710" s="799" t="s">
        <v>2559</v>
      </c>
      <c r="C710" s="796"/>
      <c r="D710" s="1950" t="s">
        <v>1227</v>
      </c>
      <c r="E710" s="1950"/>
      <c r="F710" s="1950"/>
      <c r="G710" s="820"/>
      <c r="H710" s="844"/>
      <c r="I710" s="844"/>
      <c r="J710" s="844"/>
      <c r="K710" s="844"/>
    </row>
    <row r="711" spans="1:11">
      <c r="A711" s="796"/>
      <c r="B711" s="796"/>
      <c r="C711" s="796"/>
      <c r="D711" s="1950"/>
      <c r="E711" s="1950"/>
      <c r="F711" s="195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2559</v>
      </c>
      <c r="C713" s="796"/>
      <c r="D713" s="1950" t="s">
        <v>1228</v>
      </c>
      <c r="E713" s="1950"/>
      <c r="F713" s="1950"/>
      <c r="G713" s="820"/>
      <c r="H713" s="844"/>
      <c r="I713" s="844"/>
      <c r="J713" s="844"/>
      <c r="K713" s="844"/>
    </row>
    <row r="714" spans="1:11">
      <c r="A714" s="796"/>
      <c r="B714" s="796"/>
      <c r="C714" s="796"/>
      <c r="D714" s="1950"/>
      <c r="E714" s="1950"/>
      <c r="F714" s="1950"/>
      <c r="G714" s="820"/>
      <c r="H714" s="844"/>
      <c r="I714" s="844"/>
      <c r="J714" s="844"/>
      <c r="K714" s="844"/>
    </row>
    <row r="715" spans="1:11">
      <c r="A715" s="796"/>
      <c r="B715" s="796"/>
      <c r="C715" s="796"/>
      <c r="D715" s="1950"/>
      <c r="E715" s="1950"/>
      <c r="F715" s="195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2559</v>
      </c>
      <c r="C717" s="796"/>
      <c r="D717" s="1950" t="s">
        <v>1221</v>
      </c>
      <c r="E717" s="1950"/>
      <c r="F717" s="1950"/>
      <c r="G717" s="820"/>
      <c r="H717" s="844"/>
      <c r="I717" s="844"/>
      <c r="J717" s="844"/>
      <c r="K717" s="844"/>
    </row>
    <row r="718" spans="1:11">
      <c r="A718" s="796"/>
      <c r="B718" s="796"/>
      <c r="C718" s="796"/>
      <c r="D718" s="1950"/>
      <c r="E718" s="1950"/>
      <c r="F718" s="1950"/>
      <c r="G718" s="820"/>
      <c r="H718" s="844"/>
      <c r="I718" s="844"/>
      <c r="J718" s="844"/>
      <c r="K718" s="844"/>
    </row>
    <row r="719" spans="1:11">
      <c r="A719" s="796"/>
      <c r="B719" s="796"/>
      <c r="C719" s="796"/>
      <c r="D719" s="1950"/>
      <c r="E719" s="1950"/>
      <c r="F719" s="1950"/>
      <c r="G719" s="820"/>
      <c r="H719" s="844"/>
      <c r="I719" s="844"/>
      <c r="J719" s="844"/>
      <c r="K719" s="844"/>
    </row>
    <row r="720" spans="1:11">
      <c r="A720" s="796"/>
      <c r="B720" s="796"/>
      <c r="C720" s="796"/>
      <c r="D720" s="803"/>
      <c r="G720" s="820"/>
      <c r="H720" s="844"/>
      <c r="I720" s="844"/>
      <c r="J720" s="844"/>
      <c r="K720" s="844"/>
    </row>
    <row r="721" spans="1:11">
      <c r="A721" s="796"/>
      <c r="B721" s="799" t="s">
        <v>2559</v>
      </c>
      <c r="C721" s="796"/>
      <c r="D721" s="1950" t="s">
        <v>1222</v>
      </c>
      <c r="E721" s="1950"/>
      <c r="F721" s="1950"/>
      <c r="G721" s="820"/>
      <c r="H721" s="844"/>
      <c r="I721" s="844"/>
      <c r="J721" s="844"/>
      <c r="K721" s="844"/>
    </row>
    <row r="722" spans="1:11">
      <c r="A722" s="796"/>
      <c r="B722" s="796"/>
      <c r="C722" s="796"/>
      <c r="D722" s="1950"/>
      <c r="E722" s="1950"/>
      <c r="F722" s="1950"/>
      <c r="G722" s="820"/>
      <c r="H722" s="844"/>
      <c r="I722" s="844"/>
      <c r="J722" s="844"/>
      <c r="K722" s="844"/>
    </row>
    <row r="723" spans="1:11">
      <c r="A723" s="796"/>
      <c r="B723" s="796"/>
      <c r="C723" s="796"/>
      <c r="D723" s="1950"/>
      <c r="E723" s="1950"/>
      <c r="F723" s="1950"/>
      <c r="G723" s="820"/>
      <c r="H723" s="844"/>
      <c r="I723" s="844"/>
      <c r="J723" s="844"/>
      <c r="K723" s="844"/>
    </row>
    <row r="724" spans="1:11">
      <c r="A724" s="796"/>
      <c r="B724" s="796"/>
      <c r="C724" s="796"/>
      <c r="D724" s="791"/>
      <c r="G724" s="820"/>
      <c r="H724" s="844"/>
      <c r="I724" s="844"/>
      <c r="J724" s="844"/>
      <c r="K724" s="844"/>
    </row>
    <row r="725" spans="1:11" ht="14.4">
      <c r="A725" s="798"/>
      <c r="B725" s="799" t="s">
        <v>2559</v>
      </c>
      <c r="C725" s="796"/>
      <c r="D725" s="1909" t="s">
        <v>1223</v>
      </c>
      <c r="E725" s="1909"/>
      <c r="F725" s="1909"/>
      <c r="G725" s="820"/>
      <c r="H725" s="844"/>
      <c r="I725" s="844"/>
      <c r="J725" s="844"/>
      <c r="K725" s="844"/>
    </row>
    <row r="726" spans="1:11">
      <c r="A726" s="796"/>
      <c r="B726" s="796"/>
      <c r="C726" s="796"/>
      <c r="D726" s="1909"/>
      <c r="E726" s="1909"/>
      <c r="F726" s="1909"/>
      <c r="G726" s="820"/>
      <c r="H726" s="844"/>
      <c r="I726" s="844"/>
      <c r="J726" s="844"/>
      <c r="K726" s="844"/>
    </row>
    <row r="727" spans="1:11">
      <c r="A727" s="796"/>
      <c r="B727" s="796"/>
      <c r="C727" s="796"/>
      <c r="D727" s="1909"/>
      <c r="E727" s="1909"/>
      <c r="F727" s="1909"/>
      <c r="G727" s="820"/>
      <c r="H727" s="844"/>
      <c r="I727" s="844"/>
      <c r="J727" s="844"/>
      <c r="K727" s="844"/>
    </row>
    <row r="728" spans="1:11">
      <c r="A728" s="796"/>
      <c r="B728" s="796"/>
      <c r="C728" s="796"/>
      <c r="D728" s="1909"/>
      <c r="E728" s="1909"/>
      <c r="F728" s="1909"/>
      <c r="G728" s="820"/>
      <c r="H728" s="844"/>
      <c r="I728" s="844"/>
      <c r="J728" s="844"/>
      <c r="K728" s="844"/>
    </row>
    <row r="729" spans="1:11">
      <c r="A729" s="796"/>
      <c r="B729" s="796"/>
      <c r="C729" s="796"/>
      <c r="D729" s="823"/>
      <c r="G729" s="820"/>
      <c r="H729" s="844"/>
      <c r="I729" s="844"/>
      <c r="J729" s="844"/>
      <c r="K729" s="844"/>
    </row>
    <row r="730" spans="1:11" ht="14.4">
      <c r="A730" s="798"/>
      <c r="B730" s="799" t="s">
        <v>2559</v>
      </c>
      <c r="C730" s="796"/>
      <c r="D730" s="1950" t="s">
        <v>1356</v>
      </c>
      <c r="E730" s="1950"/>
      <c r="F730" s="1950"/>
      <c r="G730" s="820"/>
      <c r="H730" s="844"/>
      <c r="I730" s="844"/>
      <c r="J730" s="844"/>
      <c r="K730" s="844"/>
    </row>
    <row r="731" spans="1:11">
      <c r="A731" s="796"/>
      <c r="B731" s="796"/>
      <c r="C731" s="796"/>
      <c r="D731" s="1950"/>
      <c r="E731" s="1950"/>
      <c r="F731" s="1950"/>
      <c r="G731" s="820"/>
      <c r="H731" s="844"/>
      <c r="I731" s="844"/>
      <c r="J731" s="844"/>
      <c r="K731" s="844"/>
    </row>
    <row r="732" spans="1:11">
      <c r="A732" s="796"/>
      <c r="B732" s="796"/>
      <c r="C732" s="796"/>
      <c r="D732" s="1950"/>
      <c r="E732" s="1950"/>
      <c r="F732" s="1950"/>
      <c r="G732" s="820"/>
      <c r="H732" s="844"/>
      <c r="I732" s="844"/>
      <c r="J732" s="844"/>
      <c r="K732" s="844"/>
    </row>
    <row r="733" spans="1:11">
      <c r="A733" s="796"/>
      <c r="B733" s="796"/>
      <c r="C733" s="796"/>
      <c r="D733" s="1950"/>
      <c r="E733" s="1950"/>
      <c r="F733" s="1950"/>
      <c r="G733" s="820"/>
      <c r="H733" s="844"/>
      <c r="I733" s="844"/>
      <c r="J733" s="844"/>
      <c r="K733" s="844"/>
    </row>
    <row r="734" spans="1:11">
      <c r="A734" s="796"/>
      <c r="B734" s="796"/>
      <c r="C734" s="796"/>
      <c r="D734" s="1950"/>
      <c r="E734" s="1950"/>
      <c r="F734" s="1950"/>
      <c r="G734" s="820"/>
      <c r="H734" s="844"/>
      <c r="I734" s="844"/>
      <c r="J734" s="844"/>
      <c r="K734" s="844"/>
    </row>
    <row r="735" spans="1:11">
      <c r="A735" s="796"/>
      <c r="B735" s="796"/>
      <c r="C735" s="796"/>
      <c r="D735" s="1950"/>
      <c r="E735" s="1950"/>
      <c r="F735" s="1950"/>
      <c r="G735" s="820"/>
      <c r="H735" s="844"/>
      <c r="I735" s="844"/>
      <c r="J735" s="844"/>
      <c r="K735" s="844"/>
    </row>
    <row r="736" spans="1:11">
      <c r="A736" s="796"/>
      <c r="B736" s="796"/>
      <c r="C736" s="796"/>
      <c r="D736" s="1950"/>
      <c r="E736" s="1950"/>
      <c r="F736" s="1950"/>
      <c r="G736" s="820"/>
      <c r="H736" s="844"/>
      <c r="I736" s="844"/>
      <c r="J736" s="844"/>
      <c r="K736" s="844"/>
    </row>
    <row r="737" spans="1:11">
      <c r="A737" s="796"/>
      <c r="B737" s="796"/>
      <c r="C737" s="796"/>
      <c r="D737" s="1882" t="s">
        <v>1224</v>
      </c>
      <c r="E737" s="1882"/>
      <c r="F737" s="1882"/>
      <c r="G737" s="820"/>
      <c r="H737" s="844"/>
      <c r="I737" s="844"/>
      <c r="J737" s="844"/>
      <c r="K737" s="844"/>
    </row>
    <row r="738" spans="1:11">
      <c r="A738" s="796"/>
      <c r="B738" s="796"/>
      <c r="C738" s="796"/>
      <c r="D738" s="783"/>
      <c r="G738" s="820"/>
      <c r="H738" s="844"/>
      <c r="I738" s="844"/>
      <c r="J738" s="844"/>
      <c r="K738" s="844"/>
    </row>
    <row r="739" spans="1:11">
      <c r="A739" s="1875" t="s">
        <v>1181</v>
      </c>
      <c r="B739" s="1875"/>
      <c r="C739" s="1875"/>
      <c r="D739" s="1875"/>
      <c r="E739" s="1875"/>
      <c r="F739" s="1875"/>
      <c r="G739" s="1875"/>
      <c r="H739" s="844"/>
      <c r="I739" s="844"/>
      <c r="J739" s="844"/>
      <c r="K739" s="844"/>
    </row>
    <row r="740" spans="1:11">
      <c r="A740" s="796"/>
      <c r="B740" s="796"/>
      <c r="C740" s="796"/>
      <c r="D740" s="823"/>
      <c r="G740" s="849"/>
      <c r="H740" s="844"/>
      <c r="I740" s="844"/>
      <c r="J740" s="844"/>
      <c r="K740" s="844"/>
    </row>
    <row r="741" spans="1:11" ht="13.95" customHeight="1">
      <c r="C741" s="796"/>
      <c r="D741" s="1945" t="s">
        <v>1197</v>
      </c>
      <c r="E741" s="1945"/>
      <c r="F741" s="1945"/>
      <c r="G741" s="849"/>
      <c r="H741" s="844"/>
      <c r="I741" s="844"/>
      <c r="J741" s="844"/>
      <c r="K741" s="844"/>
    </row>
    <row r="742" spans="1:11">
      <c r="A742" s="796"/>
      <c r="B742" s="796"/>
      <c r="C742" s="796"/>
      <c r="D742" s="1888" t="s">
        <v>1198</v>
      </c>
      <c r="E742" s="1888"/>
      <c r="F742" s="1888"/>
      <c r="G742" s="849"/>
      <c r="H742" s="844"/>
      <c r="I742" s="844"/>
      <c r="J742" s="844"/>
      <c r="K742" s="844"/>
    </row>
    <row r="743" spans="1:11">
      <c r="A743" s="796"/>
      <c r="B743" s="796"/>
      <c r="C743" s="796"/>
      <c r="G743" s="849"/>
      <c r="H743" s="844"/>
      <c r="I743" s="844"/>
      <c r="J743" s="844"/>
      <c r="K743" s="844"/>
    </row>
    <row r="744" spans="1:11" s="792" customFormat="1" ht="14.4">
      <c r="A744" s="798"/>
      <c r="B744" s="799" t="s">
        <v>2558</v>
      </c>
      <c r="C744" s="789"/>
      <c r="D744" s="1909" t="s">
        <v>1199</v>
      </c>
      <c r="E744" s="1909"/>
      <c r="F744" s="1909"/>
      <c r="G744" s="849"/>
      <c r="H744" s="847"/>
      <c r="I744" s="847"/>
      <c r="J744" s="847"/>
      <c r="K744" s="847"/>
    </row>
    <row r="745" spans="1:11" s="792" customFormat="1" ht="10.5" customHeight="1">
      <c r="A745" s="789"/>
      <c r="B745" s="789"/>
      <c r="C745" s="789"/>
      <c r="D745" s="1909"/>
      <c r="E745" s="1909"/>
      <c r="F745" s="1909"/>
      <c r="G745" s="849"/>
      <c r="H745" s="847"/>
      <c r="I745" s="847"/>
      <c r="J745" s="847"/>
      <c r="K745" s="847"/>
    </row>
    <row r="746" spans="1:11" s="792" customFormat="1">
      <c r="A746" s="789"/>
      <c r="B746" s="789"/>
      <c r="C746" s="789"/>
      <c r="D746" s="1909"/>
      <c r="E746" s="1909"/>
      <c r="F746" s="1909"/>
      <c r="G746" s="849"/>
      <c r="H746" s="847"/>
      <c r="I746" s="847"/>
      <c r="J746" s="847"/>
      <c r="K746" s="847"/>
    </row>
    <row r="747" spans="1:11">
      <c r="D747" s="1909"/>
      <c r="E747" s="1909"/>
      <c r="F747" s="1909"/>
      <c r="G747" s="849"/>
      <c r="H747" s="844"/>
      <c r="I747" s="844"/>
      <c r="J747" s="844"/>
      <c r="K747" s="844"/>
    </row>
    <row r="748" spans="1:11">
      <c r="A748" s="802"/>
      <c r="B748" s="802"/>
      <c r="C748" s="802"/>
      <c r="D748" s="1909"/>
      <c r="E748" s="1909"/>
      <c r="F748" s="1909"/>
      <c r="G748" s="850"/>
      <c r="H748" s="844"/>
      <c r="I748" s="844"/>
      <c r="J748" s="844"/>
      <c r="K748" s="844"/>
    </row>
    <row r="749" spans="1:11" ht="15.6" customHeight="1">
      <c r="A749" s="802"/>
      <c r="B749" s="802"/>
      <c r="C749" s="802"/>
      <c r="D749" s="1909"/>
      <c r="E749" s="1909"/>
      <c r="F749" s="1909"/>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2558</v>
      </c>
      <c r="C751" s="853"/>
      <c r="D751" s="1866" t="s">
        <v>1467</v>
      </c>
      <c r="E751" s="1866"/>
      <c r="F751" s="1866"/>
      <c r="G751" s="854"/>
    </row>
    <row r="752" spans="1:11" s="855" customFormat="1">
      <c r="A752" s="853"/>
      <c r="B752" s="853"/>
      <c r="C752" s="853"/>
      <c r="D752" s="1866"/>
      <c r="E752" s="1866"/>
      <c r="F752" s="1866"/>
      <c r="G752" s="854"/>
    </row>
    <row r="753" spans="1:11" s="855" customFormat="1">
      <c r="A753" s="853"/>
      <c r="B753" s="853"/>
      <c r="C753" s="853"/>
      <c r="D753" s="1866"/>
      <c r="E753" s="1866"/>
      <c r="F753" s="1866"/>
      <c r="G753" s="854"/>
    </row>
    <row r="754" spans="1:11" s="855" customFormat="1">
      <c r="A754" s="853"/>
      <c r="B754" s="853"/>
      <c r="C754" s="853"/>
      <c r="D754" s="1866"/>
      <c r="E754" s="1866"/>
      <c r="F754" s="1866"/>
      <c r="G754" s="854"/>
    </row>
    <row r="755" spans="1:11" s="855" customFormat="1">
      <c r="A755" s="853"/>
      <c r="B755" s="853"/>
      <c r="C755" s="853"/>
      <c r="D755" s="839"/>
      <c r="E755" s="854"/>
      <c r="F755" s="854"/>
      <c r="G755" s="854"/>
    </row>
    <row r="756" spans="1:11" s="855" customFormat="1" ht="14.4">
      <c r="A756" s="798"/>
      <c r="B756" s="799" t="s">
        <v>2558</v>
      </c>
      <c r="C756" s="853"/>
      <c r="D756" s="1976" t="s">
        <v>1468</v>
      </c>
      <c r="E756" s="1976"/>
      <c r="F756" s="1976"/>
      <c r="G756" s="854"/>
    </row>
    <row r="757" spans="1:11" s="855" customFormat="1">
      <c r="A757" s="853"/>
      <c r="B757" s="853"/>
      <c r="C757" s="853"/>
      <c r="D757" s="1976"/>
      <c r="E757" s="1976"/>
      <c r="F757" s="1976"/>
      <c r="G757" s="854"/>
    </row>
    <row r="758" spans="1:11" s="855" customFormat="1">
      <c r="A758" s="853"/>
      <c r="B758" s="853"/>
      <c r="C758" s="853"/>
      <c r="D758" s="1976"/>
      <c r="E758" s="1976"/>
      <c r="F758" s="1976"/>
      <c r="G758" s="854"/>
    </row>
    <row r="759" spans="1:11">
      <c r="A759" s="802"/>
      <c r="B759" s="802"/>
      <c r="C759" s="802"/>
      <c r="D759" s="839"/>
      <c r="E759" s="851"/>
      <c r="F759" s="851"/>
      <c r="G759" s="850"/>
      <c r="H759" s="844"/>
      <c r="I759" s="844"/>
      <c r="J759" s="844"/>
      <c r="K759" s="844"/>
    </row>
    <row r="760" spans="1:11" ht="14.4">
      <c r="A760" s="798"/>
      <c r="B760" s="799" t="s">
        <v>2559</v>
      </c>
      <c r="C760" s="802"/>
      <c r="D760" s="1866" t="s">
        <v>1410</v>
      </c>
      <c r="E760" s="1866"/>
      <c r="F760" s="1866"/>
      <c r="G760" s="850"/>
      <c r="H760" s="844"/>
      <c r="I760" s="844"/>
      <c r="J760" s="844"/>
      <c r="K760" s="844"/>
    </row>
    <row r="761" spans="1:11">
      <c r="A761" s="802"/>
      <c r="B761" s="802"/>
      <c r="C761" s="802"/>
      <c r="D761" s="1866"/>
      <c r="E761" s="1866"/>
      <c r="F761" s="186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2559</v>
      </c>
      <c r="C763" s="802"/>
      <c r="D763" s="1866" t="s">
        <v>1432</v>
      </c>
      <c r="E763" s="1866"/>
      <c r="F763" s="1866"/>
      <c r="G763" s="850"/>
      <c r="H763" s="844"/>
      <c r="I763" s="844"/>
      <c r="J763" s="844"/>
      <c r="K763" s="844"/>
    </row>
    <row r="764" spans="1:11">
      <c r="A764" s="802"/>
      <c r="B764" s="802"/>
      <c r="C764" s="802"/>
      <c r="D764" s="1866"/>
      <c r="E764" s="1866"/>
      <c r="F764" s="1866"/>
      <c r="G764" s="850"/>
      <c r="H764" s="844"/>
      <c r="I764" s="844"/>
      <c r="J764" s="844"/>
      <c r="K764" s="844"/>
    </row>
    <row r="765" spans="1:11">
      <c r="A765" s="802"/>
      <c r="B765" s="802"/>
      <c r="C765" s="802"/>
      <c r="D765" s="1866"/>
      <c r="E765" s="1866"/>
      <c r="F765" s="1866"/>
      <c r="G765" s="850"/>
      <c r="H765" s="844"/>
      <c r="I765" s="844"/>
      <c r="J765" s="844"/>
      <c r="K765" s="844"/>
    </row>
    <row r="766" spans="1:11">
      <c r="A766" s="802"/>
      <c r="B766" s="802"/>
      <c r="C766" s="802"/>
      <c r="D766" s="782"/>
      <c r="E766" s="782"/>
      <c r="F766" s="782"/>
      <c r="G766" s="850"/>
      <c r="H766" s="844"/>
      <c r="I766" s="844"/>
      <c r="J766" s="844"/>
      <c r="K766" s="844"/>
    </row>
    <row r="767" spans="1:11">
      <c r="A767" s="1957" t="s">
        <v>2381</v>
      </c>
      <c r="B767" s="1957"/>
      <c r="C767" s="1957"/>
      <c r="D767" s="1957"/>
      <c r="E767" s="1957"/>
      <c r="F767" s="1957"/>
      <c r="G767" s="1957"/>
    </row>
    <row r="768" spans="1:11">
      <c r="A768" s="93"/>
      <c r="B768" s="93"/>
      <c r="C768" s="1739"/>
      <c r="D768" s="155"/>
      <c r="E768" s="155"/>
      <c r="F768" s="155"/>
      <c r="G768" s="687"/>
    </row>
    <row r="769" spans="1:7">
      <c r="A769" s="93"/>
      <c r="B769" s="93"/>
      <c r="C769" s="1739"/>
      <c r="D769" s="1958" t="s">
        <v>2448</v>
      </c>
      <c r="E769" s="1958"/>
      <c r="F769" s="1958"/>
      <c r="G769" s="687"/>
    </row>
    <row r="770" spans="1:7">
      <c r="A770" s="93"/>
      <c r="B770" s="93"/>
      <c r="C770" s="1739"/>
      <c r="D770" s="1959" t="s">
        <v>2284</v>
      </c>
      <c r="E770" s="1959"/>
      <c r="F770" s="1959"/>
      <c r="G770" s="687"/>
    </row>
    <row r="771" spans="1:7">
      <c r="A771" s="93"/>
      <c r="B771" s="93"/>
      <c r="C771" s="1739"/>
      <c r="D771" s="734"/>
      <c r="E771" s="734"/>
      <c r="F771" s="734"/>
      <c r="G771" s="687"/>
    </row>
    <row r="772" spans="1:7">
      <c r="A772" s="93"/>
      <c r="B772" s="799" t="s">
        <v>2559</v>
      </c>
      <c r="C772" s="1739"/>
      <c r="D772" s="1893" t="s">
        <v>2285</v>
      </c>
      <c r="E772" s="1893"/>
      <c r="F772" s="1893"/>
      <c r="G772" s="687"/>
    </row>
    <row r="773" spans="1:7">
      <c r="A773" s="93"/>
      <c r="B773" s="93"/>
      <c r="C773" s="1739"/>
      <c r="D773" s="1893"/>
      <c r="E773" s="1893"/>
      <c r="F773" s="1893"/>
      <c r="G773" s="687"/>
    </row>
    <row r="774" spans="1:7">
      <c r="A774" s="721"/>
      <c r="B774" s="721"/>
      <c r="C774" s="314"/>
      <c r="D774" s="1893"/>
      <c r="E774" s="1893"/>
      <c r="F774" s="1893"/>
      <c r="G774" s="1740"/>
    </row>
    <row r="775" spans="1:7">
      <c r="A775" s="1733"/>
      <c r="B775" s="1733"/>
      <c r="C775" s="1741"/>
      <c r="D775" s="1716"/>
      <c r="E775" s="687"/>
      <c r="F775" s="687"/>
      <c r="G775" s="687"/>
    </row>
    <row r="776" spans="1:7">
      <c r="A776" s="267"/>
      <c r="B776" s="799" t="s">
        <v>2559</v>
      </c>
      <c r="C776" s="1742"/>
      <c r="D776" s="1893" t="s">
        <v>2286</v>
      </c>
      <c r="E776" s="1893"/>
      <c r="F776" s="1893"/>
      <c r="G776" s="687"/>
    </row>
    <row r="777" spans="1:7">
      <c r="A777" s="1743"/>
      <c r="B777" s="1743"/>
      <c r="C777" s="1744"/>
      <c r="D777" s="1893"/>
      <c r="E777" s="1893"/>
      <c r="F777" s="1893"/>
      <c r="G777" s="687"/>
    </row>
    <row r="778" spans="1:7">
      <c r="A778" s="267"/>
      <c r="B778" s="267"/>
      <c r="C778" s="1742"/>
      <c r="D778" s="1893"/>
      <c r="E778" s="1893"/>
      <c r="F778" s="1893"/>
      <c r="G778" s="687"/>
    </row>
    <row r="779" spans="1:7">
      <c r="A779" s="721"/>
      <c r="B779" s="721"/>
      <c r="C779" s="314"/>
      <c r="D779" s="6"/>
      <c r="E779" s="1745"/>
      <c r="F779" s="1745"/>
      <c r="G779" s="1746"/>
    </row>
    <row r="780" spans="1:7" ht="14.4">
      <c r="A780" s="715"/>
      <c r="B780" s="799" t="s">
        <v>2558</v>
      </c>
      <c r="C780" s="1747"/>
      <c r="D780" s="1893" t="s">
        <v>2287</v>
      </c>
      <c r="E780" s="1893"/>
      <c r="F780" s="1893"/>
      <c r="G780" s="1746"/>
    </row>
    <row r="781" spans="1:7" ht="14.4">
      <c r="A781" s="715"/>
      <c r="B781" s="715"/>
      <c r="C781" s="1747"/>
      <c r="D781" s="1893"/>
      <c r="E781" s="1893"/>
      <c r="F781" s="1893"/>
      <c r="G781" s="1746"/>
    </row>
    <row r="782" spans="1:7" ht="14.4">
      <c r="A782" s="715"/>
      <c r="B782" s="715"/>
      <c r="C782" s="1747"/>
      <c r="D782" s="1893"/>
      <c r="E782" s="1893"/>
      <c r="F782" s="1893"/>
      <c r="G782" s="1746"/>
    </row>
    <row r="783" spans="1:7" ht="14.4">
      <c r="A783" s="715"/>
      <c r="B783" s="715"/>
      <c r="C783" s="1747"/>
      <c r="D783" s="1713"/>
      <c r="E783" s="6"/>
      <c r="F783" s="6"/>
      <c r="G783" s="1746"/>
    </row>
    <row r="784" spans="1:7" ht="14.4">
      <c r="A784" s="715"/>
      <c r="B784" s="799" t="s">
        <v>2559</v>
      </c>
      <c r="C784" s="1747"/>
      <c r="D784" s="1893" t="s">
        <v>2288</v>
      </c>
      <c r="E784" s="1893"/>
      <c r="F784" s="1893"/>
      <c r="G784" s="1746"/>
    </row>
    <row r="785" spans="1:7" ht="14.4">
      <c r="A785" s="715"/>
      <c r="B785" s="715"/>
      <c r="C785" s="1747"/>
      <c r="D785" s="1893"/>
      <c r="E785" s="1893"/>
      <c r="F785" s="1893"/>
      <c r="G785" s="1746"/>
    </row>
    <row r="786" spans="1:7" ht="14.4">
      <c r="A786" s="715"/>
      <c r="B786" s="715"/>
      <c r="C786" s="1747"/>
      <c r="D786" s="1893"/>
      <c r="E786" s="1893"/>
      <c r="F786" s="1893"/>
      <c r="G786" s="1746"/>
    </row>
    <row r="787" spans="1:7" ht="14.4">
      <c r="A787" s="715"/>
      <c r="B787" s="715"/>
      <c r="C787" s="1747"/>
      <c r="D787" s="1893"/>
      <c r="E787" s="1893"/>
      <c r="F787" s="1893"/>
      <c r="G787" s="1746"/>
    </row>
    <row r="788" spans="1:7" ht="14.4">
      <c r="A788" s="715"/>
      <c r="B788" s="715"/>
      <c r="C788" s="1747"/>
      <c r="D788" s="1893"/>
      <c r="E788" s="1893"/>
      <c r="F788" s="1893"/>
      <c r="G788" s="1746"/>
    </row>
    <row r="789" spans="1:7" ht="14.4">
      <c r="A789" s="715"/>
      <c r="B789" s="715"/>
      <c r="C789" s="1747"/>
      <c r="D789" s="1893"/>
      <c r="E789" s="1893"/>
      <c r="F789" s="1893"/>
      <c r="G789" s="1746"/>
    </row>
    <row r="790" spans="1:7" ht="14.4">
      <c r="A790" s="715"/>
      <c r="B790" s="715"/>
      <c r="C790" s="1747"/>
      <c r="D790" s="1893" t="s">
        <v>2382</v>
      </c>
      <c r="E790" s="1893"/>
      <c r="F790" s="1893"/>
      <c r="G790" s="1746"/>
    </row>
    <row r="791" spans="1:7" ht="14.4">
      <c r="A791" s="715"/>
      <c r="B791" s="715"/>
      <c r="C791" s="1747"/>
      <c r="D791" s="1893"/>
      <c r="E791" s="1893"/>
      <c r="F791" s="1893"/>
      <c r="G791" s="1746"/>
    </row>
    <row r="792" spans="1:7" ht="14.4">
      <c r="A792" s="715"/>
      <c r="B792" s="715"/>
      <c r="C792" s="1747"/>
      <c r="D792" s="1893"/>
      <c r="E792" s="1893"/>
      <c r="F792" s="1893"/>
      <c r="G792" s="1746"/>
    </row>
    <row r="793" spans="1:7" ht="14.4">
      <c r="A793" s="715"/>
      <c r="B793" s="557"/>
      <c r="C793" s="1747"/>
      <c r="D793" s="1748"/>
      <c r="E793" s="1748"/>
      <c r="F793" s="1748"/>
      <c r="G793" s="1746"/>
    </row>
    <row r="794" spans="1:7" ht="14.4">
      <c r="A794" s="715"/>
      <c r="B794" s="799" t="s">
        <v>2559</v>
      </c>
      <c r="C794" s="1747"/>
      <c r="D794" s="1893" t="s">
        <v>2289</v>
      </c>
      <c r="E794" s="1893"/>
      <c r="F794" s="1893"/>
      <c r="G794" s="1746"/>
    </row>
    <row r="795" spans="1:7" ht="14.4">
      <c r="A795" s="715"/>
      <c r="B795" s="715"/>
      <c r="C795" s="1747"/>
      <c r="D795" s="1893"/>
      <c r="E795" s="1893"/>
      <c r="F795" s="1893"/>
      <c r="G795" s="1746"/>
    </row>
    <row r="796" spans="1:7" ht="14.4">
      <c r="A796" s="715"/>
      <c r="B796" s="715"/>
      <c r="C796" s="1747"/>
      <c r="D796" s="1893"/>
      <c r="E796" s="1893"/>
      <c r="F796" s="1893"/>
      <c r="G796" s="1746"/>
    </row>
    <row r="797" spans="1:7" ht="14.4">
      <c r="A797" s="715"/>
      <c r="B797" s="715"/>
      <c r="C797" s="1747"/>
      <c r="D797" s="1893"/>
      <c r="E797" s="1893"/>
      <c r="F797" s="1893"/>
      <c r="G797" s="1746"/>
    </row>
    <row r="798" spans="1:7" ht="14.4">
      <c r="A798" s="715"/>
      <c r="B798" s="715"/>
      <c r="C798" s="1747"/>
      <c r="D798" s="1893"/>
      <c r="E798" s="1893"/>
      <c r="F798" s="1893"/>
      <c r="G798" s="1746"/>
    </row>
    <row r="799" spans="1:7" ht="14.4">
      <c r="A799" s="715"/>
      <c r="B799" s="715"/>
      <c r="C799" s="1747"/>
      <c r="D799" s="1893"/>
      <c r="E799" s="1893"/>
      <c r="F799" s="1893"/>
      <c r="G799" s="1746"/>
    </row>
    <row r="800" spans="1:7" ht="14.4">
      <c r="A800" s="715"/>
      <c r="B800" s="715"/>
      <c r="C800" s="1747"/>
      <c r="D800" s="1724"/>
      <c r="E800" s="1724"/>
      <c r="F800" s="1724"/>
      <c r="G800" s="1746"/>
    </row>
    <row r="801" spans="1:7" ht="14.4">
      <c r="A801" s="715"/>
      <c r="B801" s="799" t="s">
        <v>2559</v>
      </c>
      <c r="C801" s="1747"/>
      <c r="D801" s="1893" t="s">
        <v>2290</v>
      </c>
      <c r="E801" s="1893"/>
      <c r="F801" s="1893"/>
      <c r="G801" s="1746"/>
    </row>
    <row r="802" spans="1:7" ht="14.4">
      <c r="A802" s="715"/>
      <c r="B802" s="715"/>
      <c r="C802" s="1747"/>
      <c r="D802" s="1893"/>
      <c r="E802" s="1893"/>
      <c r="F802" s="1893"/>
      <c r="G802" s="1746"/>
    </row>
    <row r="803" spans="1:7" ht="14.4">
      <c r="A803" s="715"/>
      <c r="B803" s="715"/>
      <c r="C803" s="1747"/>
      <c r="D803" s="1893"/>
      <c r="E803" s="1893"/>
      <c r="F803" s="1893"/>
      <c r="G803" s="1746"/>
    </row>
    <row r="804" spans="1:7" ht="14.4">
      <c r="A804" s="715"/>
      <c r="B804" s="715"/>
      <c r="C804" s="1747"/>
      <c r="D804" s="1893"/>
      <c r="E804" s="1893"/>
      <c r="F804" s="1893"/>
      <c r="G804" s="1746"/>
    </row>
    <row r="805" spans="1:7" ht="14.4">
      <c r="A805" s="715"/>
      <c r="B805" s="715"/>
      <c r="C805" s="1747"/>
      <c r="D805" s="1893"/>
      <c r="E805" s="1893"/>
      <c r="F805" s="1893"/>
      <c r="G805" s="1746"/>
    </row>
    <row r="806" spans="1:7" ht="14.4">
      <c r="A806" s="715"/>
      <c r="B806" s="715"/>
      <c r="C806" s="1747"/>
      <c r="D806" s="1893"/>
      <c r="E806" s="1893"/>
      <c r="F806" s="1893"/>
      <c r="G806" s="1746"/>
    </row>
    <row r="807" spans="1:7" ht="14.4">
      <c r="A807" s="715"/>
      <c r="B807" s="715"/>
      <c r="C807" s="1747"/>
      <c r="D807" s="1724"/>
      <c r="E807" s="1724"/>
      <c r="F807" s="1724"/>
      <c r="G807" s="1746"/>
    </row>
    <row r="808" spans="1:7" ht="14.4">
      <c r="A808" s="715"/>
      <c r="B808" s="799" t="s">
        <v>2559</v>
      </c>
      <c r="C808" s="1747"/>
      <c r="D808" s="1906" t="s">
        <v>2291</v>
      </c>
      <c r="E808" s="1906"/>
      <c r="F808" s="1906"/>
      <c r="G808" s="1746"/>
    </row>
    <row r="809" spans="1:7" ht="14.4">
      <c r="A809" s="715"/>
      <c r="B809" s="715"/>
      <c r="C809" s="1747"/>
      <c r="D809" s="1906"/>
      <c r="E809" s="1906"/>
      <c r="F809" s="1906"/>
      <c r="G809" s="1746"/>
    </row>
    <row r="810" spans="1:7">
      <c r="A810" s="1732"/>
      <c r="B810" s="1732"/>
      <c r="C810" s="1747"/>
      <c r="D810" s="1906"/>
      <c r="E810" s="1906"/>
      <c r="F810" s="1906"/>
      <c r="G810" s="1746"/>
    </row>
    <row r="811" spans="1:7" ht="14.4">
      <c r="A811" s="715"/>
      <c r="B811" s="1732"/>
      <c r="C811" s="1747"/>
      <c r="D811" s="1906"/>
      <c r="E811" s="1906"/>
      <c r="F811" s="1906"/>
      <c r="G811" s="1746"/>
    </row>
    <row r="812" spans="1:7" ht="12.75" customHeight="1">
      <c r="A812" s="715"/>
      <c r="B812" s="1732"/>
      <c r="C812" s="1747"/>
      <c r="D812" s="1906"/>
      <c r="E812" s="1906"/>
      <c r="F812" s="1906"/>
      <c r="G812" s="1746"/>
    </row>
    <row r="813" spans="1:7" ht="12.75" customHeight="1">
      <c r="A813" s="715"/>
      <c r="B813" s="1732"/>
      <c r="C813" s="1747"/>
      <c r="D813" s="1906"/>
      <c r="E813" s="1906"/>
      <c r="F813" s="1906"/>
      <c r="G813" s="1746"/>
    </row>
    <row r="814" spans="1:7" ht="12.75" customHeight="1">
      <c r="A814" s="1732"/>
      <c r="B814" s="1732"/>
      <c r="C814" s="1747"/>
      <c r="D814" s="1745"/>
      <c r="E814" s="6"/>
      <c r="F814" s="6"/>
      <c r="G814" s="1746"/>
    </row>
    <row r="815" spans="1:7" ht="12.75" customHeight="1">
      <c r="A815" s="1883" t="s">
        <v>2292</v>
      </c>
      <c r="B815" s="1883"/>
      <c r="C815" s="1883"/>
      <c r="D815" s="1883"/>
      <c r="E815" s="1883"/>
      <c r="F815" s="1883"/>
      <c r="G815" s="1883"/>
    </row>
    <row r="816" spans="1:7" ht="12.75" customHeight="1">
      <c r="A816" s="1721"/>
      <c r="B816" s="1721"/>
      <c r="C816" s="1747"/>
      <c r="D816" s="1745"/>
      <c r="E816" s="1745"/>
      <c r="F816" s="1745"/>
      <c r="G816" s="1746"/>
    </row>
    <row r="817" spans="1:7" ht="12.75" customHeight="1">
      <c r="A817" s="715"/>
      <c r="B817" s="715"/>
      <c r="C817" s="557"/>
      <c r="D817" s="1890" t="s">
        <v>2383</v>
      </c>
      <c r="E817" s="1890"/>
      <c r="F817" s="1890"/>
      <c r="G817" s="679"/>
    </row>
    <row r="818" spans="1:7" ht="14.25" customHeight="1">
      <c r="A818" s="715"/>
      <c r="B818" s="715"/>
      <c r="C818" s="557"/>
      <c r="D818" s="1848" t="s">
        <v>2293</v>
      </c>
      <c r="E818" s="1848"/>
      <c r="F818" s="1848"/>
      <c r="G818" s="679"/>
    </row>
    <row r="819" spans="1:7" ht="12.75" customHeight="1">
      <c r="A819" s="715"/>
      <c r="B819" s="715"/>
      <c r="C819" s="557"/>
      <c r="D819" s="1707"/>
      <c r="E819" s="1707"/>
      <c r="F819" s="1707"/>
      <c r="G819" s="679"/>
    </row>
    <row r="820" spans="1:7" ht="12.75" customHeight="1">
      <c r="A820" s="1749"/>
      <c r="B820" s="799" t="s">
        <v>2558</v>
      </c>
      <c r="C820" s="1747"/>
      <c r="D820" s="1848" t="s">
        <v>2294</v>
      </c>
      <c r="E820" s="1848"/>
      <c r="F820" s="1848"/>
      <c r="G820" s="679"/>
    </row>
    <row r="821" spans="1:7" ht="14.25" customHeight="1">
      <c r="A821" s="1732"/>
      <c r="B821" s="1732"/>
      <c r="C821" s="1747"/>
      <c r="D821" s="5" t="s">
        <v>2270</v>
      </c>
      <c r="E821" s="1852" t="s">
        <v>2295</v>
      </c>
      <c r="F821" s="1852"/>
      <c r="G821" s="679"/>
    </row>
    <row r="822" spans="1:7" ht="12.75" customHeight="1">
      <c r="A822" s="1732"/>
      <c r="B822" s="1732"/>
      <c r="C822" s="1747"/>
      <c r="D822" s="1750"/>
      <c r="E822" s="6"/>
      <c r="F822" s="6"/>
      <c r="G822" s="679"/>
    </row>
    <row r="823" spans="1:7" ht="14.25" hidden="1" customHeight="1">
      <c r="A823" s="1732"/>
      <c r="B823" s="799" t="s">
        <v>318</v>
      </c>
      <c r="C823" s="1747"/>
      <c r="D823" s="1979" t="s">
        <v>2296</v>
      </c>
      <c r="E823" s="1979"/>
      <c r="F823" s="1979"/>
      <c r="G823" s="679"/>
    </row>
    <row r="824" spans="1:7" ht="12.75" hidden="1" customHeight="1">
      <c r="A824" s="1732"/>
      <c r="B824" s="1732"/>
      <c r="C824" s="1747"/>
      <c r="D824" s="1979"/>
      <c r="E824" s="1979"/>
      <c r="F824" s="1979"/>
      <c r="G824" s="679"/>
    </row>
    <row r="825" spans="1:7" ht="12.75" hidden="1" customHeight="1">
      <c r="A825" s="1732"/>
      <c r="B825" s="1732"/>
      <c r="C825" s="1747"/>
      <c r="D825" s="1979"/>
      <c r="E825" s="1979"/>
      <c r="F825" s="1979"/>
      <c r="G825" s="679"/>
    </row>
    <row r="826" spans="1:7" ht="12.75" hidden="1" customHeight="1">
      <c r="A826" s="1732"/>
      <c r="B826" s="1732"/>
      <c r="C826" s="1747"/>
      <c r="D826" s="1979"/>
      <c r="E826" s="1979"/>
      <c r="F826" s="1979"/>
      <c r="G826" s="679"/>
    </row>
    <row r="827" spans="1:7" ht="12.75" hidden="1" customHeight="1">
      <c r="A827" s="1732"/>
      <c r="B827" s="1732"/>
      <c r="C827" s="1747"/>
      <c r="D827" s="1979"/>
      <c r="E827" s="1979"/>
      <c r="F827" s="1979"/>
      <c r="G827" s="679"/>
    </row>
    <row r="828" spans="1:7" ht="12.75" hidden="1" customHeight="1">
      <c r="A828" s="1732"/>
      <c r="B828" s="1732"/>
      <c r="C828" s="1747"/>
      <c r="D828" s="1979"/>
      <c r="E828" s="1979"/>
      <c r="F828" s="1979"/>
      <c r="G828" s="679"/>
    </row>
    <row r="829" spans="1:7" ht="12.75" hidden="1" customHeight="1">
      <c r="A829" s="1732"/>
      <c r="B829" s="1732"/>
      <c r="C829" s="1747"/>
      <c r="D829" s="1979"/>
      <c r="E829" s="1979"/>
      <c r="F829" s="1979"/>
      <c r="G829" s="679"/>
    </row>
    <row r="830" spans="1:7" ht="12.75" hidden="1" customHeight="1">
      <c r="A830" s="1732"/>
      <c r="B830" s="1732"/>
      <c r="C830" s="1747"/>
      <c r="D830" s="1979"/>
      <c r="E830" s="1979"/>
      <c r="F830" s="1979"/>
      <c r="G830" s="679"/>
    </row>
    <row r="831" spans="1:7" ht="12.75" hidden="1" customHeight="1">
      <c r="A831" s="1732"/>
      <c r="B831" s="1732"/>
      <c r="C831" s="1747"/>
      <c r="D831" s="1979"/>
      <c r="E831" s="1979"/>
      <c r="F831" s="1979"/>
      <c r="G831" s="679"/>
    </row>
    <row r="832" spans="1:7" ht="12.75" hidden="1" customHeight="1">
      <c r="A832" s="1732"/>
      <c r="B832" s="1732"/>
      <c r="C832" s="1747"/>
      <c r="D832" s="1979"/>
      <c r="E832" s="1979"/>
      <c r="F832" s="1979"/>
      <c r="G832" s="679"/>
    </row>
    <row r="833" spans="1:7" ht="12.75" hidden="1" customHeight="1">
      <c r="A833" s="1732"/>
      <c r="B833" s="1732"/>
      <c r="C833" s="1747"/>
      <c r="D833" s="1750"/>
      <c r="E833" s="6"/>
      <c r="F833" s="6"/>
      <c r="G833" s="679"/>
    </row>
    <row r="834" spans="1:7" ht="12.75" customHeight="1">
      <c r="A834" s="715"/>
      <c r="B834" s="799" t="s">
        <v>2558</v>
      </c>
      <c r="C834" s="1747"/>
      <c r="D834" s="1848" t="s">
        <v>2297</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2559</v>
      </c>
      <c r="C838" s="1751"/>
      <c r="D838" s="1980" t="s">
        <v>2298</v>
      </c>
      <c r="E838" s="1980"/>
      <c r="F838" s="1980"/>
      <c r="G838" s="679"/>
    </row>
    <row r="839" spans="1:7" ht="12.75" customHeight="1">
      <c r="A839" s="557"/>
      <c r="B839" s="1752"/>
      <c r="C839" s="1751"/>
      <c r="D839" s="1980"/>
      <c r="E839" s="1980"/>
      <c r="F839" s="1980"/>
      <c r="G839" s="679"/>
    </row>
    <row r="840" spans="1:7" ht="12.75" customHeight="1">
      <c r="A840" s="404"/>
      <c r="B840" s="557"/>
      <c r="C840" s="1751"/>
      <c r="D840" s="1850" t="s">
        <v>2299</v>
      </c>
      <c r="E840" s="1850"/>
      <c r="F840" s="1850"/>
      <c r="G840" s="679"/>
    </row>
    <row r="841" spans="1:7" ht="12.75" customHeight="1">
      <c r="A841" s="404"/>
      <c r="B841" s="404"/>
      <c r="C841" s="1751"/>
      <c r="D841" s="1850"/>
      <c r="E841" s="1850"/>
      <c r="F841" s="1850"/>
      <c r="G841" s="679"/>
    </row>
    <row r="842" spans="1:7" ht="12.75" customHeight="1">
      <c r="A842" s="404"/>
      <c r="B842" s="404"/>
      <c r="C842" s="1751"/>
      <c r="D842" s="1850"/>
      <c r="E842" s="1850"/>
      <c r="F842" s="1850"/>
      <c r="G842" s="679"/>
    </row>
    <row r="843" spans="1:7" ht="12.75" customHeight="1">
      <c r="A843" s="404"/>
      <c r="B843" s="404"/>
      <c r="C843" s="1751"/>
      <c r="D843" s="1850"/>
      <c r="E843" s="1850"/>
      <c r="F843" s="1850"/>
      <c r="G843" s="679"/>
    </row>
    <row r="844" spans="1:7" ht="12.75" customHeight="1">
      <c r="A844" s="404"/>
      <c r="B844" s="404"/>
      <c r="C844" s="1751"/>
      <c r="D844" s="1850"/>
      <c r="E844" s="1850"/>
      <c r="F844" s="1850"/>
      <c r="G844" s="679"/>
    </row>
    <row r="845" spans="1:7" ht="12.75" customHeight="1">
      <c r="A845" s="404"/>
      <c r="B845" s="404"/>
      <c r="C845" s="1751"/>
      <c r="D845" s="1850"/>
      <c r="E845" s="1850"/>
      <c r="F845" s="1850"/>
      <c r="G845" s="679"/>
    </row>
    <row r="846" spans="1:7" ht="12.75" customHeight="1">
      <c r="A846" s="404"/>
      <c r="B846" s="404"/>
      <c r="C846" s="1751"/>
      <c r="D846" s="1728"/>
      <c r="E846" s="679"/>
      <c r="F846" s="679"/>
      <c r="G846" s="679"/>
    </row>
    <row r="847" spans="1:7" ht="12.75" customHeight="1">
      <c r="A847" s="404"/>
      <c r="B847" s="799" t="s">
        <v>2559</v>
      </c>
      <c r="C847" s="1751"/>
      <c r="D847" s="1850" t="s">
        <v>2300</v>
      </c>
      <c r="E847" s="1850"/>
      <c r="F847" s="1850"/>
      <c r="G847" s="679"/>
    </row>
    <row r="848" spans="1:7" ht="12.75" customHeight="1">
      <c r="A848" s="404"/>
      <c r="B848" s="404"/>
      <c r="C848" s="1751"/>
      <c r="D848" s="1850" t="s">
        <v>2301</v>
      </c>
      <c r="E848" s="1850"/>
      <c r="F848" s="1850"/>
      <c r="G848" s="679"/>
    </row>
    <row r="849" spans="1:7" ht="12.75" customHeight="1">
      <c r="A849" s="404"/>
      <c r="B849" s="404"/>
      <c r="C849" s="1751"/>
      <c r="D849" s="183" t="s">
        <v>2267</v>
      </c>
      <c r="E849" s="1981" t="s">
        <v>2302</v>
      </c>
      <c r="F849" s="1981"/>
      <c r="G849" s="679"/>
    </row>
    <row r="850" spans="1:7" ht="12.75" customHeight="1">
      <c r="A850" s="404"/>
      <c r="B850" s="404"/>
      <c r="C850" s="1751"/>
      <c r="D850" s="1728"/>
      <c r="E850" s="679"/>
      <c r="F850" s="679"/>
      <c r="G850" s="679"/>
    </row>
    <row r="851" spans="1:7" ht="12.75" customHeight="1">
      <c r="A851" s="404"/>
      <c r="B851" s="799" t="s">
        <v>2559</v>
      </c>
      <c r="C851" s="1751"/>
      <c r="D851" s="1850" t="s">
        <v>2303</v>
      </c>
      <c r="E851" s="1850"/>
      <c r="F851" s="1850"/>
      <c r="G851" s="679"/>
    </row>
    <row r="852" spans="1:7" ht="12.75" customHeight="1">
      <c r="A852" s="404"/>
      <c r="B852" s="404"/>
      <c r="C852" s="1751"/>
      <c r="D852" s="1850"/>
      <c r="E852" s="1850"/>
      <c r="F852" s="1850"/>
      <c r="G852" s="679"/>
    </row>
    <row r="853" spans="1:7" ht="12.75" customHeight="1">
      <c r="A853" s="404"/>
      <c r="B853" s="404"/>
      <c r="C853" s="1751"/>
      <c r="D853" s="1850"/>
      <c r="E853" s="1850"/>
      <c r="F853" s="1850"/>
      <c r="G853" s="679"/>
    </row>
    <row r="854" spans="1:7" ht="12.75" customHeight="1">
      <c r="A854" s="404"/>
      <c r="B854" s="404"/>
      <c r="C854" s="1751"/>
      <c r="D854" s="1850"/>
      <c r="E854" s="1850"/>
      <c r="F854" s="1850"/>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2" t="s">
        <v>2384</v>
      </c>
      <c r="E858" s="1872"/>
      <c r="F858" s="1872"/>
      <c r="G858" s="1746"/>
    </row>
    <row r="859" spans="1:7" ht="12.75" customHeight="1">
      <c r="A859" s="1749"/>
      <c r="B859" s="1749"/>
      <c r="C859" s="314"/>
      <c r="D859" s="1982" t="s">
        <v>2305</v>
      </c>
      <c r="E859" s="1982"/>
      <c r="F859" s="1982"/>
      <c r="G859" s="1746"/>
    </row>
    <row r="860" spans="1:7" ht="12.75" customHeight="1">
      <c r="A860" s="1749"/>
      <c r="B860" s="1749"/>
      <c r="C860" s="314"/>
      <c r="D860" s="1757"/>
      <c r="E860" s="1757"/>
      <c r="F860" s="1757"/>
      <c r="G860" s="1746"/>
    </row>
    <row r="861" spans="1:7" ht="12.75" customHeight="1">
      <c r="A861" s="715"/>
      <c r="B861" s="799" t="s">
        <v>2558</v>
      </c>
      <c r="C861" s="557"/>
      <c r="D861" s="1873" t="s">
        <v>2306</v>
      </c>
      <c r="E861" s="1873"/>
      <c r="F861" s="1873"/>
      <c r="G861" s="1746"/>
    </row>
    <row r="862" spans="1:7" ht="12.75" customHeight="1">
      <c r="A862" s="1749"/>
      <c r="B862" s="1749"/>
      <c r="C862" s="557"/>
      <c r="D862" s="5" t="s">
        <v>2267</v>
      </c>
      <c r="E862" s="1984" t="s">
        <v>2302</v>
      </c>
      <c r="F862" s="1984"/>
      <c r="G862" s="1746"/>
    </row>
    <row r="863" spans="1:7" ht="12.75" customHeight="1">
      <c r="A863" s="1749"/>
      <c r="B863" s="1749"/>
      <c r="C863" s="557"/>
      <c r="D863" s="1713"/>
      <c r="E863" s="1745"/>
      <c r="F863" s="1745"/>
      <c r="G863" s="1746"/>
    </row>
    <row r="864" spans="1:7" ht="12.75" customHeight="1">
      <c r="A864" s="715"/>
      <c r="B864" s="799" t="s">
        <v>2558</v>
      </c>
      <c r="C864" s="557"/>
      <c r="D864" s="1848" t="s">
        <v>2307</v>
      </c>
      <c r="E864" s="1922"/>
      <c r="F864" s="1922"/>
      <c r="G864" s="679"/>
    </row>
    <row r="865" spans="1:7" ht="12.75" customHeight="1">
      <c r="A865" s="1749"/>
      <c r="B865" s="1749"/>
      <c r="C865" s="557"/>
      <c r="D865" s="1922"/>
      <c r="E865" s="1922"/>
      <c r="F865" s="1922"/>
      <c r="G865" s="679"/>
    </row>
    <row r="866" spans="1:7" ht="12.75" customHeight="1">
      <c r="A866" s="1749"/>
      <c r="B866" s="1749"/>
      <c r="C866" s="557"/>
      <c r="D866" s="1713"/>
      <c r="E866" s="6"/>
      <c r="F866" s="6"/>
      <c r="G866" s="679"/>
    </row>
    <row r="867" spans="1:7" ht="12.75" customHeight="1">
      <c r="A867" s="557"/>
      <c r="B867" s="799" t="s">
        <v>2559</v>
      </c>
      <c r="C867" s="558"/>
      <c r="D867" s="1985" t="s">
        <v>2308</v>
      </c>
      <c r="E867" s="1985"/>
      <c r="F867" s="1985"/>
      <c r="G867" s="1746"/>
    </row>
    <row r="868" spans="1:7" ht="12.75" customHeight="1">
      <c r="A868" s="557"/>
      <c r="B868" s="1758"/>
      <c r="C868" s="558"/>
      <c r="D868" s="1985"/>
      <c r="E868" s="1985"/>
      <c r="F868" s="1985"/>
      <c r="G868" s="1746"/>
    </row>
    <row r="869" spans="1:7" ht="12.75" customHeight="1">
      <c r="A869" s="715"/>
      <c r="B869" s="678"/>
      <c r="C869" s="557"/>
      <c r="D869" s="1850" t="s">
        <v>2299</v>
      </c>
      <c r="E869" s="1850"/>
      <c r="F869" s="1850"/>
      <c r="G869" s="1746"/>
    </row>
    <row r="870" spans="1:7" ht="12.75" customHeight="1">
      <c r="A870" s="715"/>
      <c r="B870" s="715"/>
      <c r="C870" s="557"/>
      <c r="D870" s="1850"/>
      <c r="E870" s="1850"/>
      <c r="F870" s="1850"/>
      <c r="G870" s="1746"/>
    </row>
    <row r="871" spans="1:7" ht="12.75" customHeight="1">
      <c r="A871" s="715"/>
      <c r="B871" s="715"/>
      <c r="C871" s="557"/>
      <c r="D871" s="1850"/>
      <c r="E871" s="1850"/>
      <c r="F871" s="1850"/>
      <c r="G871" s="1746"/>
    </row>
    <row r="872" spans="1:7" ht="12.75" customHeight="1">
      <c r="A872" s="715"/>
      <c r="B872" s="715"/>
      <c r="C872" s="557"/>
      <c r="D872" s="1850"/>
      <c r="E872" s="1850"/>
      <c r="F872" s="1850"/>
      <c r="G872" s="1746"/>
    </row>
    <row r="873" spans="1:7" ht="12.75" customHeight="1">
      <c r="A873" s="715"/>
      <c r="B873" s="715"/>
      <c r="C873" s="557"/>
      <c r="D873" s="1850"/>
      <c r="E873" s="1850"/>
      <c r="F873" s="1850"/>
      <c r="G873" s="1746"/>
    </row>
    <row r="874" spans="1:7" ht="12.75" customHeight="1">
      <c r="A874" s="715"/>
      <c r="B874" s="715"/>
      <c r="C874" s="557"/>
      <c r="D874" s="1850"/>
      <c r="E874" s="1850"/>
      <c r="F874" s="1850"/>
      <c r="G874" s="1746"/>
    </row>
    <row r="875" spans="1:7" ht="12.75" customHeight="1">
      <c r="A875" s="715"/>
      <c r="B875" s="715"/>
      <c r="C875" s="557"/>
      <c r="D875" s="1713"/>
      <c r="E875" s="1745"/>
      <c r="F875" s="1745"/>
      <c r="G875" s="1746"/>
    </row>
    <row r="876" spans="1:7" ht="12.75" customHeight="1">
      <c r="A876" s="715"/>
      <c r="B876" s="799" t="s">
        <v>2559</v>
      </c>
      <c r="C876" s="557"/>
      <c r="D876" s="1877" t="s">
        <v>2300</v>
      </c>
      <c r="E876" s="1877"/>
      <c r="F876" s="1877"/>
      <c r="G876" s="1746"/>
    </row>
    <row r="877" spans="1:7" ht="12.75" customHeight="1">
      <c r="A877" s="715"/>
      <c r="B877" s="715"/>
      <c r="C877" s="557"/>
      <c r="D877" s="1877" t="s">
        <v>2301</v>
      </c>
      <c r="E877" s="1877"/>
      <c r="F877" s="1877"/>
      <c r="G877" s="1746"/>
    </row>
    <row r="878" spans="1:7" ht="12.75" customHeight="1">
      <c r="A878" s="715"/>
      <c r="B878" s="715"/>
      <c r="C878" s="557"/>
      <c r="D878" s="5" t="s">
        <v>1512</v>
      </c>
      <c r="E878" s="1986" t="s">
        <v>2302</v>
      </c>
      <c r="F878" s="1986"/>
      <c r="G878" s="1746"/>
    </row>
    <row r="879" spans="1:7" ht="12.75" customHeight="1">
      <c r="A879" s="715"/>
      <c r="B879" s="715"/>
      <c r="C879" s="557"/>
      <c r="D879" s="1713"/>
      <c r="E879" s="1745"/>
      <c r="F879" s="1745"/>
      <c r="G879" s="1746"/>
    </row>
    <row r="880" spans="1:7" ht="12.75" customHeight="1">
      <c r="A880" s="715"/>
      <c r="B880" s="799" t="s">
        <v>2559</v>
      </c>
      <c r="C880" s="557"/>
      <c r="D880" s="1848" t="s">
        <v>2303</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883" t="s">
        <v>2385</v>
      </c>
      <c r="B885" s="1883"/>
      <c r="C885" s="1883"/>
      <c r="D885" s="1883"/>
      <c r="E885" s="1883"/>
      <c r="F885" s="1883"/>
      <c r="G885" s="1883"/>
    </row>
    <row r="886" spans="1:7" s="1790" customFormat="1" ht="12.75" customHeight="1">
      <c r="A886" s="93"/>
      <c r="B886" s="93"/>
      <c r="C886" s="93"/>
      <c r="D886" s="93"/>
      <c r="E886" s="93"/>
      <c r="F886" s="93"/>
      <c r="G886" s="93"/>
    </row>
    <row r="887" spans="1:7" s="1790" customFormat="1" ht="12.75" customHeight="1">
      <c r="A887" s="93"/>
      <c r="B887" s="93"/>
      <c r="C887" s="93"/>
      <c r="D887" s="1892" t="s">
        <v>2391</v>
      </c>
      <c r="E887" s="1892"/>
      <c r="F887" s="1892"/>
      <c r="G887" s="93"/>
    </row>
    <row r="888" spans="1:7" s="1790" customFormat="1" ht="12.75" customHeight="1">
      <c r="A888" s="93"/>
      <c r="B888" s="93"/>
      <c r="C888" s="93"/>
      <c r="D888" s="1723"/>
      <c r="E888" s="1723"/>
      <c r="F888" s="1723"/>
      <c r="G888" s="93"/>
    </row>
    <row r="889" spans="1:7" s="1790" customFormat="1" ht="12.75" customHeight="1">
      <c r="A889" s="93"/>
      <c r="B889" s="1793" t="s">
        <v>2558</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2" t="s">
        <v>2386</v>
      </c>
      <c r="E891" s="1892"/>
      <c r="F891" s="1892"/>
      <c r="G891" s="1746"/>
    </row>
    <row r="892" spans="1:7" ht="12.75" customHeight="1">
      <c r="A892" s="1721"/>
      <c r="B892" s="1721"/>
      <c r="C892" s="1753"/>
      <c r="D892" s="1873" t="s">
        <v>2309</v>
      </c>
      <c r="E892" s="1873"/>
      <c r="F892" s="1873"/>
      <c r="G892" s="1746"/>
    </row>
    <row r="893" spans="1:7" ht="12.75" customHeight="1">
      <c r="A893" s="1721"/>
      <c r="B893" s="1721"/>
      <c r="C893" s="1753"/>
      <c r="D893" s="6"/>
      <c r="E893" s="6"/>
      <c r="F893" s="1745"/>
      <c r="G893" s="1746"/>
    </row>
    <row r="894" spans="1:7" ht="12.75" customHeight="1">
      <c r="A894" s="404"/>
      <c r="B894" s="799" t="s">
        <v>2558</v>
      </c>
      <c r="C894" s="487"/>
      <c r="D894" s="1981" t="s">
        <v>2310</v>
      </c>
      <c r="E894" s="1981"/>
      <c r="F894" s="1981"/>
      <c r="G894" s="1746"/>
    </row>
    <row r="895" spans="1:7" ht="12.75" customHeight="1">
      <c r="A895" s="404"/>
      <c r="B895" s="404"/>
      <c r="C895" s="487"/>
      <c r="D895" s="1981"/>
      <c r="E895" s="1981"/>
      <c r="F895" s="1981"/>
      <c r="G895" s="1746"/>
    </row>
    <row r="896" spans="1:7" ht="12.75" customHeight="1">
      <c r="A896" s="404"/>
      <c r="B896" s="404"/>
      <c r="C896" s="487"/>
      <c r="D896" s="1981"/>
      <c r="E896" s="1981"/>
      <c r="F896" s="1981"/>
      <c r="G896" s="1746"/>
    </row>
    <row r="897" spans="1:7" ht="12.75" customHeight="1">
      <c r="A897" s="404"/>
      <c r="B897" s="404"/>
      <c r="C897" s="487"/>
      <c r="D897" s="1981"/>
      <c r="E897" s="1981"/>
      <c r="F897" s="1981"/>
      <c r="G897" s="1746"/>
    </row>
    <row r="898" spans="1:7" ht="12.75" customHeight="1">
      <c r="A898" s="488"/>
      <c r="B898" s="488"/>
      <c r="C898" s="487"/>
      <c r="D898" s="1981"/>
      <c r="E898" s="1981"/>
      <c r="F898" s="1981"/>
      <c r="G898" s="1746"/>
    </row>
    <row r="899" spans="1:7" ht="12.75" customHeight="1">
      <c r="A899" s="488"/>
      <c r="B899" s="488"/>
      <c r="C899" s="487"/>
      <c r="D899" s="1981"/>
      <c r="E899" s="1981"/>
      <c r="F899" s="1981"/>
      <c r="G899" s="1746"/>
    </row>
    <row r="900" spans="1:7" ht="12.75" customHeight="1">
      <c r="A900" s="488"/>
      <c r="B900" s="488"/>
      <c r="C900" s="487"/>
      <c r="D900" s="1981"/>
      <c r="E900" s="1981"/>
      <c r="F900" s="1981"/>
      <c r="G900" s="1746"/>
    </row>
    <row r="901" spans="1:7" ht="12.75" customHeight="1">
      <c r="A901" s="488"/>
      <c r="B901" s="488"/>
      <c r="C901" s="487"/>
      <c r="D901" s="183"/>
      <c r="E901" s="679"/>
      <c r="F901" s="1746"/>
      <c r="G901" s="1746"/>
    </row>
    <row r="902" spans="1:7" ht="12.75" customHeight="1">
      <c r="A902" s="1759"/>
      <c r="B902" s="799" t="s">
        <v>2558</v>
      </c>
      <c r="C902" s="1760"/>
      <c r="D902" s="1981" t="s">
        <v>2311</v>
      </c>
      <c r="E902" s="1981"/>
      <c r="F902" s="1981"/>
      <c r="G902" s="1761"/>
    </row>
    <row r="903" spans="1:7" ht="12.75" customHeight="1">
      <c r="A903" s="1759"/>
      <c r="B903" s="1759"/>
      <c r="C903" s="1760"/>
      <c r="D903" s="1981"/>
      <c r="E903" s="1981"/>
      <c r="F903" s="1981"/>
      <c r="G903" s="1761"/>
    </row>
    <row r="904" spans="1:7" ht="12.75" customHeight="1">
      <c r="A904" s="1759"/>
      <c r="B904" s="1759"/>
      <c r="C904" s="1760"/>
      <c r="D904" s="1981"/>
      <c r="E904" s="1981"/>
      <c r="F904" s="1981"/>
      <c r="G904" s="1761"/>
    </row>
    <row r="905" spans="1:7" ht="12.75" customHeight="1">
      <c r="A905" s="1759"/>
      <c r="B905" s="1759"/>
      <c r="C905" s="1760"/>
      <c r="D905" s="1981"/>
      <c r="E905" s="1981"/>
      <c r="F905" s="1981"/>
      <c r="G905" s="1761"/>
    </row>
    <row r="906" spans="1:7" ht="12.75" customHeight="1">
      <c r="A906" s="1759"/>
      <c r="B906" s="1759"/>
      <c r="C906" s="1760"/>
      <c r="D906" s="1981"/>
      <c r="E906" s="1981"/>
      <c r="F906" s="1981"/>
      <c r="G906" s="1761"/>
    </row>
    <row r="907" spans="1:7" ht="12.75" customHeight="1">
      <c r="A907" s="1759"/>
      <c r="B907" s="1759"/>
      <c r="C907" s="1760"/>
      <c r="D907" s="1981"/>
      <c r="E907" s="1981"/>
      <c r="F907" s="1981"/>
      <c r="G907" s="1761"/>
    </row>
    <row r="908" spans="1:7" ht="12.75" customHeight="1">
      <c r="A908" s="1759"/>
      <c r="B908" s="1759"/>
      <c r="C908" s="1760"/>
      <c r="D908" s="1981"/>
      <c r="E908" s="1981"/>
      <c r="F908" s="1981"/>
      <c r="G908" s="1761"/>
    </row>
    <row r="909" spans="1:7" ht="12.75" customHeight="1">
      <c r="A909" s="1759"/>
      <c r="B909" s="1759"/>
      <c r="C909" s="1760"/>
      <c r="D909" s="1981"/>
      <c r="E909" s="1981"/>
      <c r="F909" s="1981"/>
      <c r="G909" s="1761"/>
    </row>
    <row r="910" spans="1:7" ht="12.75" customHeight="1">
      <c r="A910" s="1759"/>
      <c r="B910" s="1759"/>
      <c r="C910" s="1760"/>
      <c r="D910" s="1981"/>
      <c r="E910" s="1981"/>
      <c r="F910" s="1981"/>
      <c r="G910" s="1761"/>
    </row>
    <row r="911" spans="1:7" ht="12.75" customHeight="1">
      <c r="A911" s="488"/>
      <c r="B911" s="488"/>
      <c r="C911" s="487"/>
      <c r="D911" s="183"/>
      <c r="E911" s="679"/>
      <c r="F911" s="1746"/>
      <c r="G911" s="1746"/>
    </row>
    <row r="912" spans="1:7" ht="12.75" customHeight="1">
      <c r="A912" s="404"/>
      <c r="B912" s="799" t="s">
        <v>2558</v>
      </c>
      <c r="C912" s="487"/>
      <c r="D912" s="1983" t="s">
        <v>2312</v>
      </c>
      <c r="E912" s="1983"/>
      <c r="F912" s="1983"/>
      <c r="G912" s="1746"/>
    </row>
    <row r="913" spans="1:7" ht="12.75" customHeight="1">
      <c r="A913" s="404"/>
      <c r="B913" s="404"/>
      <c r="C913" s="487"/>
      <c r="D913" s="1983"/>
      <c r="E913" s="1983"/>
      <c r="F913" s="1983"/>
      <c r="G913" s="1746"/>
    </row>
    <row r="914" spans="1:7" ht="12.75" customHeight="1">
      <c r="A914" s="404"/>
      <c r="B914" s="404"/>
      <c r="C914" s="487"/>
      <c r="D914" s="1983"/>
      <c r="E914" s="1983"/>
      <c r="F914" s="1983"/>
      <c r="G914" s="1746"/>
    </row>
    <row r="915" spans="1:7" ht="12.75" customHeight="1">
      <c r="A915" s="404"/>
      <c r="B915" s="404"/>
      <c r="C915" s="487"/>
      <c r="D915" s="1983"/>
      <c r="E915" s="1983"/>
      <c r="F915" s="1983"/>
      <c r="G915" s="1746"/>
    </row>
    <row r="916" spans="1:7" ht="12.75" customHeight="1">
      <c r="A916" s="404"/>
      <c r="B916" s="404"/>
      <c r="C916" s="487"/>
      <c r="D916" s="1983"/>
      <c r="E916" s="1983"/>
      <c r="F916" s="1983"/>
      <c r="G916" s="1746"/>
    </row>
    <row r="917" spans="1:7" ht="12.75" customHeight="1">
      <c r="A917" s="404"/>
      <c r="B917" s="404"/>
      <c r="C917" s="487"/>
      <c r="D917" s="1983"/>
      <c r="E917" s="1983"/>
      <c r="F917" s="1983"/>
      <c r="G917" s="1746"/>
    </row>
    <row r="918" spans="1:7" ht="12.75" customHeight="1">
      <c r="A918" s="404"/>
      <c r="B918" s="404"/>
      <c r="C918" s="487"/>
      <c r="D918" s="1983"/>
      <c r="E918" s="1983"/>
      <c r="F918" s="1983"/>
      <c r="G918" s="1746"/>
    </row>
    <row r="919" spans="1:7" ht="12.75" customHeight="1">
      <c r="A919" s="404"/>
      <c r="B919" s="404"/>
      <c r="C919" s="487"/>
      <c r="D919" s="1762"/>
      <c r="E919" s="679"/>
      <c r="F919" s="1746"/>
      <c r="G919" s="1746"/>
    </row>
    <row r="920" spans="1:7" ht="12.75" customHeight="1">
      <c r="A920" s="404"/>
      <c r="B920" s="799" t="s">
        <v>2559</v>
      </c>
      <c r="C920" s="487"/>
      <c r="D920" s="1981" t="s">
        <v>2313</v>
      </c>
      <c r="E920" s="1981"/>
      <c r="F920" s="1981"/>
      <c r="G920" s="1746"/>
    </row>
    <row r="921" spans="1:7" ht="12.75" customHeight="1">
      <c r="A921" s="404"/>
      <c r="B921" s="404"/>
      <c r="C921" s="487"/>
      <c r="D921" s="1981"/>
      <c r="E921" s="1981"/>
      <c r="F921" s="1981"/>
      <c r="G921" s="1746"/>
    </row>
    <row r="922" spans="1:7" ht="12.75" customHeight="1">
      <c r="A922" s="404"/>
      <c r="B922" s="404"/>
      <c r="C922" s="487"/>
      <c r="D922" s="1981"/>
      <c r="E922" s="1981"/>
      <c r="F922" s="1981"/>
      <c r="G922" s="1746"/>
    </row>
    <row r="923" spans="1:7" ht="12.75" customHeight="1">
      <c r="A923" s="404"/>
      <c r="B923" s="404"/>
      <c r="C923" s="487"/>
      <c r="D923" s="1981"/>
      <c r="E923" s="1981"/>
      <c r="F923" s="1981"/>
      <c r="G923" s="1746"/>
    </row>
    <row r="924" spans="1:7" ht="12.75" customHeight="1">
      <c r="A924" s="404"/>
      <c r="B924" s="404"/>
      <c r="C924" s="487"/>
      <c r="D924" s="183"/>
      <c r="E924" s="679"/>
      <c r="F924" s="1746"/>
      <c r="G924" s="1746"/>
    </row>
    <row r="925" spans="1:7" ht="12.75" customHeight="1">
      <c r="A925" s="1732"/>
      <c r="B925" s="1732"/>
      <c r="C925" s="1747"/>
      <c r="D925" s="1848" t="s">
        <v>2314</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799" t="s">
        <v>318</v>
      </c>
      <c r="C928" s="557"/>
      <c r="D928" s="1848" t="s">
        <v>2315</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892" t="s">
        <v>2316</v>
      </c>
      <c r="E931" s="1892"/>
      <c r="F931" s="1892"/>
      <c r="G931" s="1746"/>
    </row>
    <row r="932" spans="1:7" ht="12.75" customHeight="1">
      <c r="A932" s="721"/>
      <c r="B932" s="721"/>
      <c r="C932" s="314"/>
      <c r="D932" s="1717"/>
      <c r="E932" s="6"/>
      <c r="F932" s="1745"/>
      <c r="G932" s="1746"/>
    </row>
    <row r="933" spans="1:7" ht="12.75" customHeight="1">
      <c r="A933" s="715"/>
      <c r="B933" s="799" t="s">
        <v>2559</v>
      </c>
      <c r="C933" s="1747"/>
      <c r="D933" s="1897" t="s">
        <v>2317</v>
      </c>
      <c r="E933" s="1897"/>
      <c r="F933" s="1897"/>
      <c r="G933" s="1746"/>
    </row>
    <row r="934" spans="1:7" ht="12.75" customHeight="1">
      <c r="A934" s="1763"/>
      <c r="B934" s="1763"/>
      <c r="C934" s="1747"/>
      <c r="D934" s="1897"/>
      <c r="E934" s="1897"/>
      <c r="F934" s="1897"/>
      <c r="G934" s="1746"/>
    </row>
    <row r="935" spans="1:7" ht="12.75" customHeight="1">
      <c r="A935" s="1763"/>
      <c r="B935" s="1763"/>
      <c r="C935" s="1747"/>
      <c r="D935" s="1897"/>
      <c r="E935" s="1897"/>
      <c r="F935" s="1897"/>
      <c r="G935" s="1746"/>
    </row>
    <row r="936" spans="1:7" ht="12.75" customHeight="1">
      <c r="A936" s="1763"/>
      <c r="B936" s="1763"/>
      <c r="C936" s="1747"/>
      <c r="D936" s="1897"/>
      <c r="E936" s="1897"/>
      <c r="F936" s="1897"/>
      <c r="G936" s="1746"/>
    </row>
    <row r="937" spans="1:7" ht="12.75" customHeight="1">
      <c r="A937" s="1763"/>
      <c r="B937" s="1763"/>
      <c r="C937" s="1747"/>
      <c r="D937" s="1897"/>
      <c r="E937" s="1897"/>
      <c r="F937" s="1897"/>
      <c r="G937" s="1746"/>
    </row>
    <row r="938" spans="1:7" ht="12.75" customHeight="1">
      <c r="A938" s="1763"/>
      <c r="B938" s="1763"/>
      <c r="C938" s="1747"/>
      <c r="D938" s="1897"/>
      <c r="E938" s="1897"/>
      <c r="F938" s="1897"/>
      <c r="G938" s="1746"/>
    </row>
    <row r="939" spans="1:7" ht="12.75" customHeight="1">
      <c r="A939" s="1763"/>
      <c r="B939" s="1763"/>
      <c r="C939" s="1747"/>
      <c r="D939" s="1715"/>
      <c r="E939" s="1715"/>
      <c r="F939" s="1715"/>
      <c r="G939" s="1746"/>
    </row>
    <row r="940" spans="1:7" ht="12.75" customHeight="1">
      <c r="A940" s="715"/>
      <c r="B940" s="799" t="s">
        <v>2559</v>
      </c>
      <c r="C940" s="1747"/>
      <c r="D940" s="1897" t="s">
        <v>2318</v>
      </c>
      <c r="E940" s="1897"/>
      <c r="F940" s="1897"/>
      <c r="G940" s="1746"/>
    </row>
    <row r="941" spans="1:7" ht="12.75" customHeight="1">
      <c r="A941" s="1763"/>
      <c r="B941" s="1763"/>
      <c r="C941" s="1747"/>
      <c r="D941" s="1897"/>
      <c r="E941" s="1897"/>
      <c r="F941" s="1897"/>
      <c r="G941" s="1746"/>
    </row>
    <row r="942" spans="1:7" ht="12.75" customHeight="1">
      <c r="A942" s="1763"/>
      <c r="B942" s="1763"/>
      <c r="C942" s="1747"/>
      <c r="D942" s="1897"/>
      <c r="E942" s="1897"/>
      <c r="F942" s="1897"/>
      <c r="G942" s="1746"/>
    </row>
    <row r="943" spans="1:7" ht="12.75" customHeight="1">
      <c r="A943" s="1763"/>
      <c r="B943" s="1763"/>
      <c r="C943" s="1747"/>
      <c r="D943" s="1897"/>
      <c r="E943" s="1897"/>
      <c r="F943" s="1897"/>
      <c r="G943" s="1746"/>
    </row>
    <row r="944" spans="1:7" ht="12.75" customHeight="1">
      <c r="A944" s="1763"/>
      <c r="B944" s="1763"/>
      <c r="C944" s="1747"/>
      <c r="D944" s="1897"/>
      <c r="E944" s="1897"/>
      <c r="F944" s="1897"/>
      <c r="G944" s="1746"/>
    </row>
    <row r="945" spans="1:7" ht="12.75" customHeight="1">
      <c r="A945" s="1763"/>
      <c r="B945" s="1763"/>
      <c r="C945" s="1747"/>
      <c r="D945" s="1764"/>
      <c r="E945" s="1745"/>
      <c r="F945" s="1745"/>
      <c r="G945" s="1746"/>
    </row>
    <row r="946" spans="1:7" ht="12.75" customHeight="1">
      <c r="A946" s="715"/>
      <c r="B946" s="799" t="s">
        <v>2559</v>
      </c>
      <c r="C946" s="1747"/>
      <c r="D946" s="1897" t="s">
        <v>2319</v>
      </c>
      <c r="E946" s="1897"/>
      <c r="F946" s="1897"/>
      <c r="G946" s="1746"/>
    </row>
    <row r="947" spans="1:7" ht="12.75" customHeight="1">
      <c r="A947" s="1763"/>
      <c r="B947" s="1763"/>
      <c r="C947" s="1747"/>
      <c r="D947" s="1897"/>
      <c r="E947" s="1897"/>
      <c r="F947" s="1897"/>
      <c r="G947" s="1746"/>
    </row>
    <row r="948" spans="1:7" ht="12.75" customHeight="1">
      <c r="A948" s="1763"/>
      <c r="B948" s="1763"/>
      <c r="C948" s="1747"/>
      <c r="D948" s="1897"/>
      <c r="E948" s="1897"/>
      <c r="F948" s="1897"/>
      <c r="G948" s="1746"/>
    </row>
    <row r="949" spans="1:7" ht="12.75" customHeight="1">
      <c r="A949" s="1763"/>
      <c r="B949" s="1763"/>
      <c r="C949" s="1747"/>
      <c r="D949" s="1897"/>
      <c r="E949" s="1897"/>
      <c r="F949" s="1897"/>
      <c r="G949" s="1746"/>
    </row>
    <row r="950" spans="1:7" ht="12.75" customHeight="1">
      <c r="A950" s="1763"/>
      <c r="B950" s="1763"/>
      <c r="C950" s="1747"/>
      <c r="D950" s="1897"/>
      <c r="E950" s="1897"/>
      <c r="F950" s="1897"/>
      <c r="G950" s="1746"/>
    </row>
    <row r="951" spans="1:7" ht="12.75" customHeight="1">
      <c r="A951" s="1763"/>
      <c r="B951" s="1763"/>
      <c r="C951" s="1747"/>
      <c r="D951" s="1764"/>
      <c r="E951" s="1745"/>
      <c r="F951" s="1745"/>
      <c r="G951" s="1746"/>
    </row>
    <row r="952" spans="1:7" ht="12.75" customHeight="1">
      <c r="A952" s="715"/>
      <c r="B952" s="799" t="s">
        <v>2558</v>
      </c>
      <c r="C952" s="1747"/>
      <c r="D952" s="1897" t="s">
        <v>2320</v>
      </c>
      <c r="E952" s="1897"/>
      <c r="F952" s="1897"/>
      <c r="G952" s="1746"/>
    </row>
    <row r="953" spans="1:7" ht="12.75" customHeight="1">
      <c r="A953" s="1763"/>
      <c r="B953" s="1763"/>
      <c r="C953" s="1747"/>
      <c r="D953" s="1897"/>
      <c r="E953" s="1897"/>
      <c r="F953" s="1897"/>
      <c r="G953" s="1746"/>
    </row>
    <row r="954" spans="1:7" ht="12.75" customHeight="1">
      <c r="A954" s="1763"/>
      <c r="B954" s="1763"/>
      <c r="C954" s="1747"/>
      <c r="D954" s="1897"/>
      <c r="E954" s="1897"/>
      <c r="F954" s="1897"/>
      <c r="G954" s="1746"/>
    </row>
    <row r="955" spans="1:7" ht="12.75" customHeight="1">
      <c r="A955" s="1763"/>
      <c r="B955" s="1763"/>
      <c r="C955" s="1747"/>
      <c r="D955" s="1715"/>
      <c r="E955" s="1715"/>
      <c r="F955" s="1715"/>
      <c r="G955" s="1746"/>
    </row>
    <row r="956" spans="1:7" ht="12.75" customHeight="1">
      <c r="A956" s="715"/>
      <c r="B956" s="799" t="s">
        <v>2559</v>
      </c>
      <c r="C956" s="1747"/>
      <c r="D956" s="1897" t="s">
        <v>2321</v>
      </c>
      <c r="E956" s="1897"/>
      <c r="F956" s="1897"/>
      <c r="G956" s="1746"/>
    </row>
    <row r="957" spans="1:7" ht="12.75" customHeight="1">
      <c r="A957" s="1763"/>
      <c r="B957" s="1763"/>
      <c r="C957" s="1747"/>
      <c r="D957" s="1897"/>
      <c r="E957" s="1897"/>
      <c r="F957" s="1897"/>
      <c r="G957" s="1746"/>
    </row>
    <row r="958" spans="1:7" ht="12.75" customHeight="1">
      <c r="A958" s="1763"/>
      <c r="B958" s="1763"/>
      <c r="C958" s="1747"/>
      <c r="D958" s="1764"/>
      <c r="E958" s="1745"/>
      <c r="F958" s="1745"/>
      <c r="G958" s="1746"/>
    </row>
    <row r="959" spans="1:7" ht="12.75" customHeight="1">
      <c r="A959" s="1763"/>
      <c r="B959" s="799" t="s">
        <v>2559</v>
      </c>
      <c r="C959" s="1747"/>
      <c r="D959" s="1848" t="s">
        <v>2322</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799" t="s">
        <v>2559</v>
      </c>
      <c r="C962" s="1747"/>
      <c r="D962" s="1906" t="s">
        <v>2323</v>
      </c>
      <c r="E962" s="1906"/>
      <c r="F962" s="1906"/>
      <c r="G962" s="1746"/>
    </row>
    <row r="963" spans="1:7" ht="12.75" customHeight="1">
      <c r="A963" s="1763"/>
      <c r="B963" s="1763"/>
      <c r="C963" s="1747"/>
      <c r="D963" s="1906"/>
      <c r="E963" s="1906"/>
      <c r="F963" s="1906"/>
      <c r="G963" s="1746"/>
    </row>
    <row r="964" spans="1:7" ht="12.75" customHeight="1">
      <c r="A964" s="1763"/>
      <c r="B964" s="1763"/>
      <c r="C964" s="1747"/>
      <c r="D964" s="1906"/>
      <c r="E964" s="1906"/>
      <c r="F964" s="1906"/>
      <c r="G964" s="1746"/>
    </row>
    <row r="965" spans="1:7" ht="12.75" customHeight="1">
      <c r="A965" s="1763"/>
      <c r="B965" s="1763"/>
      <c r="C965" s="1747"/>
      <c r="D965" s="1906"/>
      <c r="E965" s="1906"/>
      <c r="F965" s="1906"/>
      <c r="G965" s="1746"/>
    </row>
    <row r="966" spans="1:7" ht="12.75" customHeight="1">
      <c r="A966" s="1763"/>
      <c r="B966" s="1763"/>
      <c r="C966" s="1747"/>
      <c r="D966" s="1713"/>
      <c r="E966" s="1745"/>
      <c r="F966" s="1745"/>
      <c r="G966" s="1746"/>
    </row>
    <row r="967" spans="1:7" ht="12.75" customHeight="1">
      <c r="A967" s="1763"/>
      <c r="B967" s="799" t="s">
        <v>2559</v>
      </c>
      <c r="C967" s="1747"/>
      <c r="D967" s="1873" t="s">
        <v>2324</v>
      </c>
      <c r="E967" s="1873"/>
      <c r="F967" s="1873"/>
      <c r="G967" s="1746"/>
    </row>
    <row r="968" spans="1:7" ht="12.75" customHeight="1">
      <c r="A968" s="1763"/>
      <c r="B968" s="1763"/>
      <c r="C968" s="1747"/>
      <c r="D968" s="1713"/>
      <c r="E968" s="1745"/>
      <c r="F968" s="1745"/>
      <c r="G968" s="1746"/>
    </row>
    <row r="969" spans="1:7" ht="12.75" customHeight="1">
      <c r="A969" s="1763"/>
      <c r="B969" s="799" t="s">
        <v>2559</v>
      </c>
      <c r="C969" s="1747"/>
      <c r="D969" s="1873" t="s">
        <v>2325</v>
      </c>
      <c r="E969" s="1873"/>
      <c r="F969" s="1873"/>
      <c r="G969" s="1746"/>
    </row>
    <row r="970" spans="1:7" ht="12.75" customHeight="1">
      <c r="A970" s="1763"/>
      <c r="B970" s="1763"/>
      <c r="C970" s="1747"/>
      <c r="D970" s="1745"/>
      <c r="E970" s="1745"/>
      <c r="F970" s="1745"/>
      <c r="G970" s="1746"/>
    </row>
    <row r="971" spans="1:7" ht="12.75" customHeight="1">
      <c r="A971" s="1763"/>
      <c r="B971" s="557"/>
      <c r="C971" s="1747"/>
      <c r="D971" s="1872" t="s">
        <v>2326</v>
      </c>
      <c r="E971" s="1872"/>
      <c r="F971" s="1872"/>
      <c r="G971" s="1746"/>
    </row>
    <row r="972" spans="1:7" ht="12.75" customHeight="1">
      <c r="A972" s="1763"/>
      <c r="B972" s="557"/>
      <c r="C972" s="1747"/>
      <c r="D972" s="1717"/>
      <c r="E972" s="1745"/>
      <c r="F972" s="1745"/>
      <c r="G972" s="1746"/>
    </row>
    <row r="973" spans="1:7" ht="12.75" customHeight="1">
      <c r="A973" s="715"/>
      <c r="B973" s="799" t="s">
        <v>2558</v>
      </c>
      <c r="C973" s="1747"/>
      <c r="D973" s="1850" t="s">
        <v>2327</v>
      </c>
      <c r="E973" s="1850"/>
      <c r="F973" s="1850"/>
      <c r="G973" s="1746"/>
    </row>
    <row r="974" spans="1:7" ht="12.75" customHeight="1">
      <c r="A974" s="1763"/>
      <c r="B974" s="1763"/>
      <c r="C974" s="1747"/>
      <c r="D974" s="1850"/>
      <c r="E974" s="1850"/>
      <c r="F974" s="1850"/>
      <c r="G974" s="1746"/>
    </row>
    <row r="975" spans="1:7" ht="12.75" customHeight="1">
      <c r="A975" s="1763"/>
      <c r="B975" s="1763"/>
      <c r="C975" s="1747"/>
      <c r="D975" s="1850"/>
      <c r="E975" s="1850"/>
      <c r="F975" s="1850"/>
      <c r="G975" s="1746"/>
    </row>
    <row r="976" spans="1:7" ht="12.75" customHeight="1">
      <c r="A976" s="1763"/>
      <c r="B976" s="1763"/>
      <c r="C976" s="1747"/>
      <c r="D976" s="1850"/>
      <c r="E976" s="1850"/>
      <c r="F976" s="1850"/>
      <c r="G976" s="1746"/>
    </row>
    <row r="977" spans="1:7" ht="12.75" customHeight="1">
      <c r="A977" s="1763"/>
      <c r="B977" s="1763"/>
      <c r="C977" s="1747"/>
      <c r="D977" s="1850"/>
      <c r="E977" s="1850"/>
      <c r="F977" s="1850"/>
      <c r="G977" s="1746"/>
    </row>
    <row r="978" spans="1:7" ht="12.75" customHeight="1">
      <c r="A978" s="1763"/>
      <c r="B978" s="1763"/>
      <c r="C978" s="1747"/>
      <c r="D978" s="679"/>
      <c r="E978" s="6"/>
      <c r="F978" s="6"/>
      <c r="G978" s="1746"/>
    </row>
    <row r="979" spans="1:7" ht="12.75" customHeight="1">
      <c r="A979" s="715"/>
      <c r="B979" s="799" t="s">
        <v>2559</v>
      </c>
      <c r="C979" s="1747"/>
      <c r="D979" s="1850" t="s">
        <v>2328</v>
      </c>
      <c r="E979" s="1850"/>
      <c r="F979" s="1850"/>
      <c r="G979" s="1746"/>
    </row>
    <row r="980" spans="1:7" ht="12.75" customHeight="1">
      <c r="A980" s="1763"/>
      <c r="B980" s="1763"/>
      <c r="C980" s="1747"/>
      <c r="D980" s="1850"/>
      <c r="E980" s="1850"/>
      <c r="F980" s="1850"/>
      <c r="G980" s="1746"/>
    </row>
    <row r="981" spans="1:7" ht="12.75" customHeight="1">
      <c r="A981" s="1763"/>
      <c r="B981" s="1763"/>
      <c r="C981" s="1747"/>
      <c r="D981" s="1850"/>
      <c r="E981" s="1850"/>
      <c r="F981" s="1850"/>
      <c r="G981" s="1746"/>
    </row>
    <row r="982" spans="1:7" ht="12.75" customHeight="1">
      <c r="A982" s="1763"/>
      <c r="B982" s="1763"/>
      <c r="C982" s="1747"/>
      <c r="D982" s="1850"/>
      <c r="E982" s="1850"/>
      <c r="F982" s="1850"/>
      <c r="G982" s="1746"/>
    </row>
    <row r="983" spans="1:7" ht="12.75" customHeight="1">
      <c r="A983" s="1763"/>
      <c r="B983" s="1763"/>
      <c r="C983" s="1747"/>
      <c r="D983" s="1850"/>
      <c r="E983" s="1850"/>
      <c r="F983" s="1850"/>
      <c r="G983" s="1746"/>
    </row>
    <row r="984" spans="1:7" ht="12.75" customHeight="1">
      <c r="A984" s="1763"/>
      <c r="B984" s="1763"/>
      <c r="C984" s="1747"/>
      <c r="D984" s="1745"/>
      <c r="E984" s="1745"/>
      <c r="F984" s="1745"/>
      <c r="G984" s="1746"/>
    </row>
    <row r="985" spans="1:7" ht="12.75" customHeight="1">
      <c r="A985" s="1763"/>
      <c r="B985" s="1763"/>
      <c r="C985" s="1747"/>
      <c r="D985" s="1872" t="s">
        <v>2329</v>
      </c>
      <c r="E985" s="1872"/>
      <c r="F985" s="1872"/>
      <c r="G985" s="1746"/>
    </row>
    <row r="986" spans="1:7" ht="12.75" customHeight="1">
      <c r="A986" s="1763"/>
      <c r="B986" s="1763"/>
      <c r="C986" s="1747"/>
      <c r="D986" s="1717"/>
      <c r="E986" s="1745"/>
      <c r="F986" s="1745"/>
      <c r="G986" s="1746"/>
    </row>
    <row r="987" spans="1:7" ht="12.75" customHeight="1">
      <c r="A987" s="715"/>
      <c r="B987" s="799" t="s">
        <v>2559</v>
      </c>
      <c r="C987" s="1747"/>
      <c r="D987" s="1850" t="s">
        <v>2330</v>
      </c>
      <c r="E987" s="1850"/>
      <c r="F987" s="1850"/>
      <c r="G987" s="1746"/>
    </row>
    <row r="988" spans="1:7" ht="12.75" customHeight="1">
      <c r="A988" s="1763"/>
      <c r="B988" s="1763"/>
      <c r="C988" s="1747"/>
      <c r="D988" s="1850"/>
      <c r="E988" s="1850"/>
      <c r="F988" s="1850"/>
      <c r="G988" s="1746"/>
    </row>
    <row r="989" spans="1:7" ht="12.75" customHeight="1">
      <c r="A989" s="1763"/>
      <c r="B989" s="1763"/>
      <c r="C989" s="1747"/>
      <c r="D989" s="1850"/>
      <c r="E989" s="1850"/>
      <c r="F989" s="1850"/>
      <c r="G989" s="1746"/>
    </row>
    <row r="990" spans="1:7" ht="12.75" customHeight="1">
      <c r="A990" s="1763"/>
      <c r="B990" s="1763"/>
      <c r="C990" s="1747"/>
      <c r="D990" s="679"/>
      <c r="E990" s="6"/>
      <c r="F990" s="6"/>
      <c r="G990" s="1746"/>
    </row>
    <row r="991" spans="1:7" ht="12.75" customHeight="1">
      <c r="A991" s="715"/>
      <c r="B991" s="799" t="s">
        <v>2559</v>
      </c>
      <c r="C991" s="1747"/>
      <c r="D991" s="1850" t="s">
        <v>2331</v>
      </c>
      <c r="E991" s="1850"/>
      <c r="F991" s="1850"/>
      <c r="G991" s="1746"/>
    </row>
    <row r="992" spans="1:7" ht="12.75" customHeight="1">
      <c r="A992" s="1763"/>
      <c r="B992" s="1763"/>
      <c r="C992" s="1747"/>
      <c r="D992" s="1850"/>
      <c r="E992" s="1850"/>
      <c r="F992" s="1850"/>
      <c r="G992" s="1746"/>
    </row>
    <row r="993" spans="1:7" ht="12.75" customHeight="1">
      <c r="A993" s="1763"/>
      <c r="B993" s="1763"/>
      <c r="C993" s="1747"/>
      <c r="D993" s="1850"/>
      <c r="E993" s="1850"/>
      <c r="F993" s="1850"/>
      <c r="G993" s="1746"/>
    </row>
    <row r="994" spans="1:7" ht="12.75" customHeight="1">
      <c r="A994" s="1763"/>
      <c r="B994" s="1763"/>
      <c r="C994" s="1747"/>
      <c r="D994" s="1713"/>
      <c r="E994" s="1745"/>
      <c r="F994" s="1745"/>
      <c r="G994" s="1746"/>
    </row>
    <row r="995" spans="1:7" ht="12.75" customHeight="1">
      <c r="A995" s="1763"/>
      <c r="B995" s="1763"/>
      <c r="C995" s="1747"/>
      <c r="D995" s="1872" t="s">
        <v>2332</v>
      </c>
      <c r="E995" s="1872"/>
      <c r="F995" s="1872"/>
      <c r="G995" s="1746"/>
    </row>
    <row r="996" spans="1:7" ht="12.75" customHeight="1">
      <c r="A996" s="1763"/>
      <c r="B996" s="1763"/>
      <c r="C996" s="1747"/>
      <c r="D996" s="1717"/>
      <c r="E996" s="1745"/>
      <c r="F996" s="1745"/>
      <c r="G996" s="1746"/>
    </row>
    <row r="997" spans="1:7" ht="12.75" customHeight="1">
      <c r="A997" s="715"/>
      <c r="B997" s="799" t="s">
        <v>2558</v>
      </c>
      <c r="C997" s="1747"/>
      <c r="D997" s="1987" t="s">
        <v>2333</v>
      </c>
      <c r="E997" s="1987"/>
      <c r="F997" s="1987"/>
      <c r="G997" s="1765"/>
    </row>
    <row r="998" spans="1:7" ht="12.75" customHeight="1">
      <c r="A998" s="1763"/>
      <c r="B998" s="1763"/>
      <c r="C998" s="1747"/>
      <c r="D998" s="1987"/>
      <c r="E998" s="1987"/>
      <c r="F998" s="1987"/>
      <c r="G998" s="1765"/>
    </row>
    <row r="999" spans="1:7" ht="12.75" customHeight="1">
      <c r="A999" s="1763"/>
      <c r="B999" s="1763"/>
      <c r="C999" s="1747"/>
      <c r="D999" s="1987"/>
      <c r="E999" s="1987"/>
      <c r="F999" s="1987"/>
      <c r="G999" s="1765"/>
    </row>
    <row r="1000" spans="1:7" ht="12.75" customHeight="1">
      <c r="A1000" s="1763"/>
      <c r="B1000" s="1763"/>
      <c r="C1000" s="1747"/>
      <c r="D1000" s="1766"/>
      <c r="E1000" s="1766"/>
      <c r="F1000" s="1766"/>
      <c r="G1000" s="1766"/>
    </row>
    <row r="1001" spans="1:7" ht="12.75" customHeight="1">
      <c r="A1001" s="1763"/>
      <c r="B1001" s="799" t="s">
        <v>2559</v>
      </c>
      <c r="C1001" s="1747"/>
      <c r="D1001" s="1987" t="s">
        <v>2334</v>
      </c>
      <c r="E1001" s="1987"/>
      <c r="F1001" s="1987"/>
      <c r="G1001" s="1766"/>
    </row>
    <row r="1002" spans="1:7" ht="12.75" customHeight="1">
      <c r="A1002" s="1763"/>
      <c r="B1002" s="1763"/>
      <c r="C1002" s="1747"/>
      <c r="D1002" s="1987"/>
      <c r="E1002" s="1987"/>
      <c r="F1002" s="1987"/>
      <c r="G1002" s="1766"/>
    </row>
    <row r="1003" spans="1:7" ht="12.75" customHeight="1">
      <c r="A1003" s="1763"/>
      <c r="B1003" s="1763"/>
      <c r="C1003" s="1747"/>
      <c r="D1003" s="1987"/>
      <c r="E1003" s="1987"/>
      <c r="F1003" s="1987"/>
      <c r="G1003" s="1766"/>
    </row>
    <row r="1004" spans="1:7" ht="12.75" customHeight="1">
      <c r="A1004" s="1763"/>
      <c r="B1004" s="1763"/>
      <c r="C1004" s="1747"/>
      <c r="D1004" s="1713"/>
      <c r="E1004" s="1745"/>
      <c r="F1004" s="1745"/>
      <c r="G1004" s="1746"/>
    </row>
    <row r="1005" spans="1:7" ht="12.75" customHeight="1">
      <c r="A1005" s="1763"/>
      <c r="B1005" s="799" t="s">
        <v>2559</v>
      </c>
      <c r="C1005" s="1747"/>
      <c r="D1005" s="1988" t="s">
        <v>2335</v>
      </c>
      <c r="E1005" s="1988"/>
      <c r="F1005" s="1988"/>
      <c r="G1005" s="1767"/>
    </row>
    <row r="1006" spans="1:7" ht="12.75" customHeight="1">
      <c r="A1006" s="1763"/>
      <c r="B1006" s="1763"/>
      <c r="C1006" s="1747"/>
      <c r="D1006" s="1988"/>
      <c r="E1006" s="1988"/>
      <c r="F1006" s="1988"/>
      <c r="G1006" s="1767"/>
    </row>
    <row r="1007" spans="1:7" ht="12.75" customHeight="1">
      <c r="A1007" s="1763"/>
      <c r="B1007" s="1763"/>
      <c r="C1007" s="1747"/>
      <c r="D1007" s="1988"/>
      <c r="E1007" s="1988"/>
      <c r="F1007" s="1988"/>
      <c r="G1007" s="1767"/>
    </row>
    <row r="1008" spans="1:7" ht="12.75" customHeight="1">
      <c r="A1008" s="1763"/>
      <c r="B1008" s="1763"/>
      <c r="C1008" s="1747"/>
      <c r="D1008" s="1745"/>
      <c r="E1008" s="1745"/>
      <c r="F1008" s="1745"/>
      <c r="G1008" s="1746"/>
    </row>
    <row r="1009" spans="1:7" ht="12.75" customHeight="1">
      <c r="A1009" s="1763"/>
      <c r="B1009" s="799" t="s">
        <v>2559</v>
      </c>
      <c r="C1009" s="1747"/>
      <c r="D1009" s="1987" t="s">
        <v>2336</v>
      </c>
      <c r="E1009" s="1987"/>
      <c r="F1009" s="1987"/>
      <c r="G1009" s="1767"/>
    </row>
    <row r="1010" spans="1:7" ht="12.75" customHeight="1">
      <c r="A1010" s="1763"/>
      <c r="B1010" s="1763"/>
      <c r="C1010" s="1747"/>
      <c r="D1010" s="1987"/>
      <c r="E1010" s="1987"/>
      <c r="F1010" s="1987"/>
      <c r="G1010" s="1767"/>
    </row>
    <row r="1011" spans="1:7" ht="12.75" customHeight="1">
      <c r="A1011" s="1763"/>
      <c r="B1011" s="1763"/>
      <c r="C1011" s="1747"/>
      <c r="D1011" s="1987"/>
      <c r="E1011" s="1987"/>
      <c r="F1011" s="1987"/>
      <c r="G1011" s="1767"/>
    </row>
    <row r="1012" spans="1:7" ht="12.75" customHeight="1">
      <c r="A1012" s="715"/>
      <c r="B1012" s="715"/>
      <c r="C1012" s="1747"/>
      <c r="D1012" s="1713"/>
      <c r="E1012" s="1745"/>
      <c r="F1012" s="1745"/>
      <c r="G1012" s="1746"/>
    </row>
    <row r="1013" spans="1:7" ht="12.75" customHeight="1">
      <c r="A1013" s="1763"/>
      <c r="B1013" s="799" t="s">
        <v>2559</v>
      </c>
      <c r="C1013" s="1747"/>
      <c r="D1013" s="1987" t="s">
        <v>2337</v>
      </c>
      <c r="E1013" s="1987"/>
      <c r="F1013" s="1987"/>
      <c r="G1013" s="1767"/>
    </row>
    <row r="1014" spans="1:7" ht="12.75" customHeight="1">
      <c r="A1014" s="1763"/>
      <c r="B1014" s="1763"/>
      <c r="C1014" s="1747"/>
      <c r="D1014" s="1987"/>
      <c r="E1014" s="1987"/>
      <c r="F1014" s="1987"/>
      <c r="G1014" s="1767"/>
    </row>
    <row r="1015" spans="1:7" ht="12.75" customHeight="1">
      <c r="A1015" s="1763"/>
      <c r="B1015" s="1763"/>
      <c r="C1015" s="1747"/>
      <c r="D1015" s="1987"/>
      <c r="E1015" s="1987"/>
      <c r="F1015" s="1987"/>
      <c r="G1015" s="1767"/>
    </row>
    <row r="1016" spans="1:7" ht="12.75" customHeight="1">
      <c r="A1016" s="1763"/>
      <c r="B1016" s="1763"/>
      <c r="C1016" s="1747"/>
      <c r="D1016" s="1713"/>
      <c r="E1016" s="1745"/>
      <c r="F1016" s="1745"/>
      <c r="G1016" s="1746"/>
    </row>
    <row r="1017" spans="1:7" ht="12.75" customHeight="1">
      <c r="A1017" s="1763"/>
      <c r="B1017" s="799" t="s">
        <v>2559</v>
      </c>
      <c r="C1017" s="1747"/>
      <c r="D1017" s="1987" t="s">
        <v>2338</v>
      </c>
      <c r="E1017" s="1987"/>
      <c r="F1017" s="1987"/>
      <c r="G1017" s="1765"/>
    </row>
    <row r="1018" spans="1:7" ht="12.75" customHeight="1">
      <c r="A1018" s="1763"/>
      <c r="B1018" s="1763"/>
      <c r="C1018" s="1747"/>
      <c r="D1018" s="1987"/>
      <c r="E1018" s="1987"/>
      <c r="F1018" s="1987"/>
      <c r="G1018" s="1765"/>
    </row>
    <row r="1019" spans="1:7" ht="12.75" customHeight="1">
      <c r="A1019" s="1763"/>
      <c r="B1019" s="1763"/>
      <c r="C1019" s="1747"/>
      <c r="D1019" s="1987"/>
      <c r="E1019" s="1987"/>
      <c r="F1019" s="1987"/>
      <c r="G1019" s="1765"/>
    </row>
    <row r="1020" spans="1:7" ht="12.75" customHeight="1">
      <c r="A1020" s="1763"/>
      <c r="B1020" s="1763"/>
      <c r="C1020" s="1747"/>
      <c r="D1020" s="1765"/>
      <c r="E1020" s="1765"/>
      <c r="F1020" s="1765"/>
      <c r="G1020" s="1765"/>
    </row>
    <row r="1021" spans="1:7" ht="12.75" customHeight="1">
      <c r="A1021" s="1763"/>
      <c r="B1021" s="799" t="s">
        <v>2559</v>
      </c>
      <c r="C1021" s="1747"/>
      <c r="D1021" s="1987" t="s">
        <v>2339</v>
      </c>
      <c r="E1021" s="1987"/>
      <c r="F1021" s="1987"/>
      <c r="G1021" s="1765"/>
    </row>
    <row r="1022" spans="1:7" ht="12.75" customHeight="1">
      <c r="A1022" s="1763"/>
      <c r="B1022" s="1763"/>
      <c r="C1022" s="1747"/>
      <c r="D1022" s="1987"/>
      <c r="E1022" s="1987"/>
      <c r="F1022" s="1987"/>
      <c r="G1022" s="1765"/>
    </row>
    <row r="1023" spans="1:7" ht="12.75" customHeight="1">
      <c r="A1023" s="1763"/>
      <c r="B1023" s="1763"/>
      <c r="C1023" s="1747"/>
      <c r="D1023" s="1987"/>
      <c r="E1023" s="1987"/>
      <c r="F1023" s="1987"/>
      <c r="G1023" s="1765"/>
    </row>
    <row r="1024" spans="1:7" ht="12.75" customHeight="1">
      <c r="A1024" s="1763"/>
      <c r="B1024" s="1763"/>
      <c r="C1024" s="1747"/>
      <c r="D1024" s="1768"/>
      <c r="E1024" s="1768"/>
      <c r="F1024" s="1768"/>
      <c r="G1024" s="1769"/>
    </row>
    <row r="1025" spans="1:7" ht="12.75" customHeight="1">
      <c r="A1025" s="1770"/>
      <c r="B1025" s="799" t="s">
        <v>2558</v>
      </c>
      <c r="C1025" s="1751"/>
      <c r="D1025" s="1989" t="s">
        <v>2340</v>
      </c>
      <c r="E1025" s="1989"/>
      <c r="F1025" s="1989"/>
      <c r="G1025" s="1771"/>
    </row>
    <row r="1026" spans="1:7" ht="12.75" customHeight="1">
      <c r="A1026" s="1770"/>
      <c r="B1026" s="1770"/>
      <c r="C1026" s="1751"/>
      <c r="D1026" s="1989"/>
      <c r="E1026" s="1989"/>
      <c r="F1026" s="1989"/>
      <c r="G1026" s="1771"/>
    </row>
    <row r="1027" spans="1:7" ht="12.75" customHeight="1">
      <c r="A1027" s="1770"/>
      <c r="B1027" s="1770"/>
      <c r="C1027" s="1751"/>
      <c r="D1027" s="1989"/>
      <c r="E1027" s="1989"/>
      <c r="F1027" s="1989"/>
      <c r="G1027" s="1771"/>
    </row>
    <row r="1028" spans="1:7" ht="12.75" customHeight="1">
      <c r="A1028" s="1770"/>
      <c r="B1028" s="1770"/>
      <c r="C1028" s="1751"/>
      <c r="D1028" s="1989"/>
      <c r="E1028" s="1989"/>
      <c r="F1028" s="1989"/>
      <c r="G1028" s="1771"/>
    </row>
    <row r="1029" spans="1:7" ht="12.75" customHeight="1">
      <c r="A1029" s="1770"/>
      <c r="B1029" s="1770"/>
      <c r="C1029" s="1751"/>
      <c r="D1029" s="1989"/>
      <c r="E1029" s="1989"/>
      <c r="F1029" s="1989"/>
      <c r="G1029" s="1771"/>
    </row>
    <row r="1030" spans="1:7" ht="12.75" customHeight="1">
      <c r="A1030" s="1770"/>
      <c r="B1030" s="1770"/>
      <c r="C1030" s="1751"/>
      <c r="D1030" s="1989"/>
      <c r="E1030" s="1989"/>
      <c r="F1030" s="1989"/>
      <c r="G1030" s="1771"/>
    </row>
    <row r="1031" spans="1:7" ht="12.75" customHeight="1">
      <c r="A1031" s="1770"/>
      <c r="B1031" s="1770"/>
      <c r="C1031" s="1751"/>
      <c r="D1031" s="1989"/>
      <c r="E1031" s="1989"/>
      <c r="F1031" s="1989"/>
      <c r="G1031" s="1771"/>
    </row>
    <row r="1032" spans="1:7" ht="12.75" customHeight="1">
      <c r="A1032" s="1770"/>
      <c r="B1032" s="1770"/>
      <c r="C1032" s="1751"/>
      <c r="D1032" s="1989"/>
      <c r="E1032" s="1989"/>
      <c r="F1032" s="1989"/>
      <c r="G1032" s="1771"/>
    </row>
    <row r="1033" spans="1:7" ht="12.75" customHeight="1">
      <c r="A1033" s="1770"/>
      <c r="B1033" s="1770"/>
      <c r="C1033" s="1751"/>
      <c r="D1033" s="1989"/>
      <c r="E1033" s="1989"/>
      <c r="F1033" s="1989"/>
      <c r="G1033" s="1771"/>
    </row>
    <row r="1034" spans="1:7" ht="12.75" customHeight="1">
      <c r="A1034" s="1770"/>
      <c r="B1034" s="1770"/>
      <c r="C1034" s="1751"/>
      <c r="D1034" s="1989"/>
      <c r="E1034" s="1989"/>
      <c r="F1034" s="1989"/>
      <c r="G1034" s="1771"/>
    </row>
    <row r="1035" spans="1:7" ht="12.75" customHeight="1">
      <c r="A1035" s="1770"/>
      <c r="B1035" s="1770"/>
      <c r="C1035" s="1751"/>
      <c r="D1035" s="1989"/>
      <c r="E1035" s="1989"/>
      <c r="F1035" s="1989"/>
      <c r="G1035" s="1771"/>
    </row>
    <row r="1036" spans="1:7" ht="12.75" customHeight="1">
      <c r="A1036" s="1770"/>
      <c r="B1036" s="1770"/>
      <c r="C1036" s="1751"/>
      <c r="D1036" s="1709"/>
      <c r="E1036" s="1709"/>
      <c r="F1036" s="1709"/>
      <c r="G1036" s="1709"/>
    </row>
    <row r="1037" spans="1:7" ht="12.75" customHeight="1">
      <c r="A1037" s="1763"/>
      <c r="B1037" s="1763"/>
      <c r="C1037" s="1747"/>
      <c r="D1037" s="1872" t="s">
        <v>2341</v>
      </c>
      <c r="E1037" s="1872"/>
      <c r="F1037" s="1872"/>
      <c r="G1037" s="1709"/>
    </row>
    <row r="1038" spans="1:7" ht="12.75" customHeight="1">
      <c r="A1038" s="1763"/>
      <c r="B1038" s="1763"/>
      <c r="C1038" s="1747"/>
      <c r="D1038" s="1717"/>
      <c r="E1038" s="1711"/>
      <c r="F1038" s="1711"/>
      <c r="G1038" s="1709"/>
    </row>
    <row r="1039" spans="1:7" ht="12.75" customHeight="1">
      <c r="A1039" s="715"/>
      <c r="B1039" s="799" t="s">
        <v>2559</v>
      </c>
      <c r="C1039" s="1747"/>
      <c r="D1039" s="1848" t="s">
        <v>2342</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799" t="s">
        <v>2558</v>
      </c>
      <c r="C1044" s="1747"/>
      <c r="D1044" s="1848" t="s">
        <v>2343</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799" t="s">
        <v>2559</v>
      </c>
      <c r="C1049" s="1747"/>
      <c r="D1049" s="1990" t="s">
        <v>2344</v>
      </c>
      <c r="E1049" s="1990"/>
      <c r="F1049" s="1990"/>
      <c r="G1049" s="1746"/>
    </row>
    <row r="1050" spans="1:7" ht="12.75" customHeight="1">
      <c r="A1050" s="1763"/>
      <c r="B1050" s="1763"/>
      <c r="C1050" s="1747"/>
      <c r="D1050" s="1990"/>
      <c r="E1050" s="1990"/>
      <c r="F1050" s="1990"/>
      <c r="G1050" s="1746"/>
    </row>
    <row r="1051" spans="1:7" ht="12.75" customHeight="1">
      <c r="A1051" s="1763"/>
      <c r="B1051" s="1763"/>
      <c r="C1051" s="1747"/>
      <c r="D1051" s="1990"/>
      <c r="E1051" s="1990"/>
      <c r="F1051" s="1990"/>
      <c r="G1051" s="1746"/>
    </row>
    <row r="1052" spans="1:7" ht="12.75" customHeight="1">
      <c r="A1052" s="1763"/>
      <c r="B1052" s="1763"/>
      <c r="C1052" s="1747"/>
      <c r="D1052" s="1745"/>
      <c r="E1052" s="1745"/>
      <c r="F1052" s="1745"/>
      <c r="G1052" s="1746"/>
    </row>
    <row r="1053" spans="1:7" ht="12.75" customHeight="1">
      <c r="A1053" s="715"/>
      <c r="B1053" s="799" t="s">
        <v>1162</v>
      </c>
      <c r="C1053" s="1772"/>
      <c r="D1053" s="1907" t="s">
        <v>2345</v>
      </c>
      <c r="E1053" s="1907"/>
      <c r="F1053" s="1907"/>
      <c r="G1053" s="1773"/>
    </row>
    <row r="1054" spans="1:7" ht="12.75" customHeight="1">
      <c r="A1054" s="1774"/>
      <c r="B1054" s="1774"/>
      <c r="C1054" s="1772"/>
      <c r="D1054" s="1907"/>
      <c r="E1054" s="1907"/>
      <c r="F1054" s="1907"/>
      <c r="G1054" s="1773"/>
    </row>
    <row r="1055" spans="1:7" ht="12.75" customHeight="1">
      <c r="A1055" s="1774"/>
      <c r="B1055" s="1774"/>
      <c r="C1055" s="1772"/>
      <c r="D1055" s="1907"/>
      <c r="E1055" s="1907"/>
      <c r="F1055" s="1907"/>
      <c r="G1055" s="1773"/>
    </row>
    <row r="1056" spans="1:7" ht="12.75" customHeight="1">
      <c r="A1056" s="1763"/>
      <c r="B1056" s="1763"/>
      <c r="C1056" s="1747"/>
      <c r="D1056" s="1745"/>
      <c r="E1056" s="1745"/>
      <c r="F1056" s="1745"/>
      <c r="G1056" s="1746"/>
    </row>
    <row r="1057" spans="1:7" ht="12.75" customHeight="1">
      <c r="A1057" s="557"/>
      <c r="B1057" s="557"/>
      <c r="C1057" s="1747"/>
      <c r="D1057" s="1872" t="s">
        <v>2346</v>
      </c>
      <c r="E1057" s="1872"/>
      <c r="F1057" s="1872"/>
      <c r="G1057" s="1746"/>
    </row>
    <row r="1058" spans="1:7" ht="12.75" customHeight="1">
      <c r="A1058" s="557"/>
      <c r="B1058" s="557"/>
      <c r="C1058" s="1747"/>
      <c r="D1058" s="1717"/>
      <c r="E1058" s="1745"/>
      <c r="F1058" s="1745"/>
      <c r="G1058" s="1746"/>
    </row>
    <row r="1059" spans="1:7" ht="12.75" customHeight="1">
      <c r="A1059" s="1763"/>
      <c r="B1059" s="799" t="s">
        <v>2559</v>
      </c>
      <c r="C1059" s="1747"/>
      <c r="D1059" s="1850" t="s">
        <v>2347</v>
      </c>
      <c r="E1059" s="1850"/>
      <c r="F1059" s="1850"/>
      <c r="G1059" s="1746"/>
    </row>
    <row r="1060" spans="1:7" ht="12.75" customHeight="1">
      <c r="A1060" s="1763"/>
      <c r="B1060" s="1763"/>
      <c r="C1060" s="1747"/>
      <c r="D1060" s="1850"/>
      <c r="E1060" s="1850"/>
      <c r="F1060" s="1850"/>
      <c r="G1060" s="1746"/>
    </row>
    <row r="1061" spans="1:7" ht="12.75" customHeight="1">
      <c r="A1061" s="1763"/>
      <c r="B1061" s="1763"/>
      <c r="C1061" s="1747"/>
      <c r="D1061" s="1850"/>
      <c r="E1061" s="1850"/>
      <c r="F1061" s="1850"/>
      <c r="G1061" s="1746"/>
    </row>
    <row r="1062" spans="1:7" ht="12.75" customHeight="1">
      <c r="A1062" s="1763"/>
      <c r="B1062" s="1763"/>
      <c r="C1062" s="1747"/>
      <c r="D1062" s="1746"/>
      <c r="E1062" s="1745"/>
      <c r="F1062" s="1745"/>
      <c r="G1062" s="1746"/>
    </row>
    <row r="1063" spans="1:7" ht="12.75" customHeight="1">
      <c r="A1063" s="715"/>
      <c r="B1063" s="799" t="s">
        <v>2559</v>
      </c>
      <c r="C1063" s="1747"/>
      <c r="D1063" s="1850" t="s">
        <v>2348</v>
      </c>
      <c r="E1063" s="1850"/>
      <c r="F1063" s="1850"/>
      <c r="G1063" s="1746"/>
    </row>
    <row r="1064" spans="1:7" ht="12.75" customHeight="1">
      <c r="A1064" s="1763"/>
      <c r="B1064" s="1763"/>
      <c r="C1064" s="1747"/>
      <c r="D1064" s="1850"/>
      <c r="E1064" s="1850"/>
      <c r="F1064" s="1850"/>
      <c r="G1064" s="1746"/>
    </row>
    <row r="1065" spans="1:7" ht="12.75" customHeight="1">
      <c r="A1065" s="1763"/>
      <c r="B1065" s="1763"/>
      <c r="C1065" s="1747"/>
      <c r="D1065" s="1850"/>
      <c r="E1065" s="1850"/>
      <c r="F1065" s="1850"/>
      <c r="G1065" s="1746"/>
    </row>
    <row r="1066" spans="1:7" ht="12.75" customHeight="1">
      <c r="A1066" s="1763"/>
      <c r="B1066" s="1763"/>
      <c r="C1066" s="1747"/>
      <c r="D1066" s="1745"/>
      <c r="E1066" s="1745"/>
      <c r="F1066" s="1745"/>
      <c r="G1066" s="1746"/>
    </row>
    <row r="1067" spans="1:7" ht="12.75" customHeight="1">
      <c r="A1067" s="1763"/>
      <c r="B1067" s="1763"/>
      <c r="C1067" s="1747"/>
      <c r="D1067" s="1872" t="s">
        <v>2349</v>
      </c>
      <c r="E1067" s="1872"/>
      <c r="F1067" s="1872"/>
      <c r="G1067" s="1746"/>
    </row>
    <row r="1068" spans="1:7" ht="12.75" customHeight="1">
      <c r="A1068" s="1763"/>
      <c r="B1068" s="1763"/>
      <c r="C1068" s="1747"/>
      <c r="D1068" s="1873" t="s">
        <v>2350</v>
      </c>
      <c r="E1068" s="1873"/>
      <c r="F1068" s="1873"/>
      <c r="G1068" s="1746"/>
    </row>
    <row r="1069" spans="1:7" ht="12.75" customHeight="1">
      <c r="A1069" s="1763"/>
      <c r="B1069" s="1763"/>
      <c r="C1069" s="1747"/>
      <c r="D1069" s="1775"/>
      <c r="E1069" s="1745"/>
      <c r="F1069" s="1745"/>
      <c r="G1069" s="1746"/>
    </row>
    <row r="1070" spans="1:7" ht="12.75" customHeight="1">
      <c r="A1070" s="715"/>
      <c r="B1070" s="799" t="s">
        <v>2559</v>
      </c>
      <c r="C1070" s="1747"/>
      <c r="D1070" s="1848" t="s">
        <v>2351</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799" t="s">
        <v>2559</v>
      </c>
      <c r="C1073" s="1747"/>
      <c r="D1073" s="1848" t="s">
        <v>2352</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2" t="s">
        <v>2353</v>
      </c>
      <c r="E1076" s="1872"/>
      <c r="F1076" s="1872"/>
      <c r="G1076" s="1746"/>
    </row>
    <row r="1077" spans="1:7" ht="12.75" customHeight="1">
      <c r="A1077" s="1763"/>
      <c r="B1077" s="1763"/>
      <c r="C1077" s="1747"/>
      <c r="D1077" s="1717"/>
      <c r="E1077" s="1745"/>
      <c r="F1077" s="1745"/>
      <c r="G1077" s="1746"/>
    </row>
    <row r="1078" spans="1:7" ht="12.75" customHeight="1">
      <c r="A1078" s="715"/>
      <c r="B1078" s="799" t="s">
        <v>2559</v>
      </c>
      <c r="C1078" s="1747"/>
      <c r="D1078" s="1848" t="s">
        <v>2354</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799" t="s">
        <v>2558</v>
      </c>
      <c r="C1086" s="1747"/>
      <c r="D1086" s="1848" t="s">
        <v>2355</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799" t="s">
        <v>2559</v>
      </c>
      <c r="C1094" s="1747"/>
      <c r="D1094" s="1990" t="s">
        <v>2356</v>
      </c>
      <c r="E1094" s="1990"/>
      <c r="F1094" s="1990"/>
      <c r="G1094" s="1746"/>
    </row>
    <row r="1095" spans="1:7" ht="12.75" customHeight="1">
      <c r="A1095" s="1763"/>
      <c r="B1095" s="1763"/>
      <c r="C1095" s="1747"/>
      <c r="D1095" s="1990"/>
      <c r="E1095" s="1990"/>
      <c r="F1095" s="1990"/>
      <c r="G1095" s="1746"/>
    </row>
    <row r="1096" spans="1:7" ht="12.75" customHeight="1">
      <c r="A1096" s="1763"/>
      <c r="B1096" s="1763"/>
      <c r="C1096" s="1747"/>
      <c r="D1096" s="1990"/>
      <c r="E1096" s="1990"/>
      <c r="F1096" s="1990"/>
      <c r="G1096" s="1746"/>
    </row>
    <row r="1097" spans="1:7" ht="12.75" customHeight="1">
      <c r="A1097" s="1763"/>
      <c r="B1097" s="1763"/>
      <c r="C1097" s="1747"/>
      <c r="D1097" s="1776"/>
      <c r="E1097" s="1776"/>
      <c r="F1097" s="1776"/>
      <c r="G1097" s="1746"/>
    </row>
    <row r="1098" spans="1:7" ht="12.75" customHeight="1">
      <c r="A1098" s="1749"/>
      <c r="B1098" s="1749"/>
      <c r="C1098" s="557"/>
      <c r="D1098" s="1872" t="s">
        <v>2357</v>
      </c>
      <c r="E1098" s="1872"/>
      <c r="F1098" s="1872"/>
      <c r="G1098" s="679"/>
    </row>
    <row r="1099" spans="1:7" ht="12.75" customHeight="1">
      <c r="A1099" s="1749"/>
      <c r="B1099" s="1749"/>
      <c r="C1099" s="557"/>
      <c r="D1099" s="1717"/>
      <c r="E1099" s="6"/>
      <c r="F1099" s="6"/>
      <c r="G1099" s="679"/>
    </row>
    <row r="1100" spans="1:7" ht="12.75" customHeight="1">
      <c r="A1100" s="715"/>
      <c r="B1100" s="799" t="s">
        <v>2558</v>
      </c>
      <c r="C1100" s="557"/>
      <c r="D1100" s="1850" t="s">
        <v>2358</v>
      </c>
      <c r="E1100" s="1850"/>
      <c r="F1100" s="1850"/>
      <c r="G1100" s="679"/>
    </row>
    <row r="1101" spans="1:7" ht="12.75" customHeight="1">
      <c r="A1101" s="1749"/>
      <c r="B1101" s="1749"/>
      <c r="C1101" s="557"/>
      <c r="D1101" s="1850"/>
      <c r="E1101" s="1850"/>
      <c r="F1101" s="1850"/>
      <c r="G1101" s="679"/>
    </row>
    <row r="1102" spans="1:7" ht="12.75" customHeight="1">
      <c r="A1102" s="1749"/>
      <c r="B1102" s="1749"/>
      <c r="C1102" s="557"/>
      <c r="D1102" s="679"/>
      <c r="E1102" s="6"/>
      <c r="F1102" s="6"/>
      <c r="G1102" s="679"/>
    </row>
    <row r="1103" spans="1:7" ht="12.75" customHeight="1">
      <c r="A1103" s="715"/>
      <c r="B1103" s="799" t="s">
        <v>2559</v>
      </c>
      <c r="C1103" s="557"/>
      <c r="D1103" s="1850" t="s">
        <v>2359</v>
      </c>
      <c r="E1103" s="1850"/>
      <c r="F1103" s="1850"/>
      <c r="G1103" s="679"/>
    </row>
    <row r="1104" spans="1:7" ht="12.75" customHeight="1">
      <c r="A1104" s="1749"/>
      <c r="B1104" s="1749"/>
      <c r="C1104" s="557"/>
      <c r="D1104" s="1850"/>
      <c r="E1104" s="1850"/>
      <c r="F1104" s="1850"/>
      <c r="G1104" s="679"/>
    </row>
    <row r="1105" spans="1:7" ht="12.75" customHeight="1">
      <c r="A1105" s="1749"/>
      <c r="B1105" s="1749"/>
      <c r="C1105" s="557"/>
      <c r="D1105" s="6"/>
      <c r="E1105" s="6"/>
      <c r="F1105" s="6"/>
      <c r="G1105" s="679"/>
    </row>
    <row r="1106" spans="1:7" ht="12.75" customHeight="1">
      <c r="A1106" s="1749"/>
      <c r="B1106" s="1749"/>
      <c r="C1106" s="557"/>
      <c r="D1106" s="1872" t="s">
        <v>2360</v>
      </c>
      <c r="E1106" s="1872"/>
      <c r="F1106" s="1872"/>
      <c r="G1106" s="679"/>
    </row>
    <row r="1107" spans="1:7" ht="12.75" customHeight="1">
      <c r="A1107" s="1749"/>
      <c r="B1107" s="1749"/>
      <c r="C1107" s="557"/>
      <c r="D1107" s="1717"/>
      <c r="E1107" s="6"/>
      <c r="F1107" s="6"/>
      <c r="G1107" s="679"/>
    </row>
    <row r="1108" spans="1:7" ht="12.75" customHeight="1">
      <c r="A1108" s="715"/>
      <c r="B1108" s="799" t="s">
        <v>2559</v>
      </c>
      <c r="C1108" s="557"/>
      <c r="D1108" s="1873" t="s">
        <v>2387</v>
      </c>
      <c r="E1108" s="1873"/>
      <c r="F1108" s="1873"/>
      <c r="G1108" s="679"/>
    </row>
    <row r="1109" spans="1:7" ht="12.75" customHeight="1">
      <c r="A1109" s="1749"/>
      <c r="B1109" s="1749"/>
      <c r="C1109" s="557"/>
      <c r="D1109" s="6"/>
      <c r="E1109" s="6"/>
      <c r="F1109" s="6"/>
      <c r="G1109" s="679"/>
    </row>
    <row r="1110" spans="1:7" ht="12.75" customHeight="1">
      <c r="A1110" s="715"/>
      <c r="B1110" s="799" t="s">
        <v>2559</v>
      </c>
      <c r="C1110" s="557"/>
      <c r="D1110" s="1848" t="s">
        <v>2361</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2" t="s">
        <v>2362</v>
      </c>
      <c r="E1113" s="1872"/>
      <c r="F1113" s="1872"/>
      <c r="G1113" s="678"/>
    </row>
    <row r="1114" spans="1:7" ht="12.75" customHeight="1">
      <c r="A1114" s="1749"/>
      <c r="B1114" s="1749"/>
      <c r="C1114" s="557"/>
      <c r="D1114" s="1717"/>
      <c r="E1114" s="6"/>
      <c r="F1114" s="6"/>
      <c r="G1114" s="678"/>
    </row>
    <row r="1115" spans="1:7" ht="12.75" customHeight="1">
      <c r="A1115" s="715"/>
      <c r="B1115" s="799" t="s">
        <v>2559</v>
      </c>
      <c r="C1115" s="557"/>
      <c r="D1115" s="1848" t="s">
        <v>2363</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883" t="s">
        <v>2364</v>
      </c>
      <c r="B1130" s="1883"/>
      <c r="C1130" s="1883"/>
      <c r="D1130" s="1883"/>
      <c r="E1130" s="1883"/>
      <c r="F1130" s="1883"/>
      <c r="G1130" s="1883"/>
    </row>
    <row r="1131" spans="1:7" ht="12.75" customHeight="1">
      <c r="A1131" s="1714"/>
      <c r="B1131" s="1714"/>
      <c r="C1131" s="557"/>
      <c r="D1131" s="6"/>
      <c r="E1131" s="6"/>
      <c r="F1131" s="6"/>
      <c r="G1131" s="679"/>
    </row>
    <row r="1132" spans="1:7" ht="12.75" customHeight="1">
      <c r="A1132" s="1749"/>
      <c r="B1132" s="1749"/>
      <c r="C1132" s="1747"/>
      <c r="D1132" s="1872" t="s">
        <v>2388</v>
      </c>
      <c r="E1132" s="1872"/>
      <c r="F1132" s="1872"/>
      <c r="G1132" s="679"/>
    </row>
    <row r="1133" spans="1:7" ht="12.75" customHeight="1">
      <c r="A1133" s="1721"/>
      <c r="B1133" s="1721"/>
      <c r="C1133" s="1753"/>
      <c r="D1133" s="1873" t="s">
        <v>2365</v>
      </c>
      <c r="E1133" s="1873"/>
      <c r="F1133" s="1873"/>
      <c r="G1133" s="679"/>
    </row>
    <row r="1134" spans="1:7" ht="12.75" customHeight="1">
      <c r="A1134" s="1721"/>
      <c r="B1134" s="1721"/>
      <c r="C1134" s="1753"/>
      <c r="D1134" s="6"/>
      <c r="E1134" s="6"/>
      <c r="F1134" s="1745"/>
      <c r="G1134" s="678"/>
    </row>
    <row r="1135" spans="1:7" ht="12.75" customHeight="1">
      <c r="A1135" s="1749"/>
      <c r="B1135" s="799" t="s">
        <v>2558</v>
      </c>
      <c r="C1135" s="557"/>
      <c r="D1135" s="1852" t="s">
        <v>2366</v>
      </c>
      <c r="E1135" s="1852"/>
      <c r="F1135" s="1852"/>
      <c r="G1135" s="678"/>
    </row>
    <row r="1136" spans="1:7" ht="12.75" customHeight="1">
      <c r="A1136" s="1749"/>
      <c r="B1136" s="1749"/>
      <c r="C1136" s="557"/>
      <c r="D1136" s="1852"/>
      <c r="E1136" s="1852"/>
      <c r="F1136" s="1852"/>
      <c r="G1136" s="678"/>
    </row>
    <row r="1137" spans="1:7" ht="12.75" customHeight="1">
      <c r="A1137" s="1749"/>
      <c r="B1137" s="1749"/>
      <c r="C1137" s="557"/>
      <c r="D1137" s="1852"/>
      <c r="E1137" s="1852"/>
      <c r="F1137" s="1852"/>
      <c r="G1137" s="678"/>
    </row>
    <row r="1138" spans="1:7" ht="12.75" customHeight="1">
      <c r="A1138" s="1749"/>
      <c r="B1138" s="1749"/>
      <c r="C1138" s="557"/>
      <c r="D1138" s="1852"/>
      <c r="E1138" s="1852"/>
      <c r="F1138" s="1852"/>
      <c r="G1138" s="678"/>
    </row>
    <row r="1139" spans="1:7" ht="12.75" customHeight="1">
      <c r="A1139" s="1733"/>
      <c r="B1139" s="1733"/>
      <c r="C1139" s="558"/>
      <c r="D1139" s="1852"/>
      <c r="E1139" s="1852"/>
      <c r="F1139" s="1852"/>
      <c r="G1139" s="678"/>
    </row>
    <row r="1140" spans="1:7" ht="12.75" customHeight="1">
      <c r="A1140" s="1733"/>
      <c r="B1140" s="1733"/>
      <c r="C1140" s="558"/>
      <c r="D1140" s="1852"/>
      <c r="E1140" s="1852"/>
      <c r="F1140" s="1852"/>
      <c r="G1140" s="678"/>
    </row>
    <row r="1141" spans="1:7" ht="12.75" customHeight="1">
      <c r="A1141" s="721"/>
      <c r="B1141" s="721"/>
      <c r="C1141" s="314"/>
      <c r="D1141" s="1852"/>
      <c r="E1141" s="1852"/>
      <c r="F1141" s="1852"/>
      <c r="G1141" s="678"/>
    </row>
    <row r="1142" spans="1:7" ht="12.75" customHeight="1">
      <c r="A1142" s="721"/>
      <c r="B1142" s="721"/>
      <c r="C1142" s="314"/>
      <c r="D1142" s="1852"/>
      <c r="E1142" s="1852"/>
      <c r="F1142" s="1852"/>
      <c r="G1142" s="678"/>
    </row>
    <row r="1143" spans="1:7" ht="12.75" customHeight="1">
      <c r="A1143" s="721"/>
      <c r="B1143" s="721"/>
      <c r="C1143" s="314"/>
      <c r="D1143" s="1710"/>
      <c r="E1143" s="1710"/>
      <c r="F1143" s="1710"/>
      <c r="G1143" s="678"/>
    </row>
    <row r="1144" spans="1:7" ht="12.75" customHeight="1">
      <c r="A1144" s="721"/>
      <c r="B1144" s="799" t="s">
        <v>2559</v>
      </c>
      <c r="C1144" s="314"/>
      <c r="D1144" s="1850" t="s">
        <v>2367</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8"/>
      <c r="E1148" s="1708"/>
      <c r="F1148" s="1708"/>
      <c r="G1148" s="678"/>
    </row>
    <row r="1149" spans="1:7" ht="12.75" customHeight="1">
      <c r="A1149" s="721"/>
      <c r="B1149" s="799" t="s">
        <v>2559</v>
      </c>
      <c r="C1149" s="314"/>
      <c r="D1149" s="1850" t="s">
        <v>2368</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8"/>
      <c r="E1151" s="1708"/>
      <c r="F1151" s="1708"/>
      <c r="G1151" s="678"/>
    </row>
    <row r="1152" spans="1:7" ht="12.75" customHeight="1">
      <c r="A1152" s="715"/>
      <c r="B1152" s="799" t="s">
        <v>2559</v>
      </c>
      <c r="C1152" s="557"/>
      <c r="D1152" s="1873" t="s">
        <v>2369</v>
      </c>
      <c r="E1152" s="1873"/>
      <c r="F1152" s="1873"/>
      <c r="G1152" s="678"/>
    </row>
    <row r="1153" spans="1:7" ht="12.75" customHeight="1">
      <c r="A1153" s="1749"/>
      <c r="B1153" s="1749"/>
      <c r="C1153" s="557"/>
      <c r="D1153" s="6"/>
      <c r="E1153" s="6"/>
      <c r="F1153" s="6"/>
      <c r="G1153" s="678"/>
    </row>
    <row r="1154" spans="1:7" ht="12.75" customHeight="1">
      <c r="A1154" s="715"/>
      <c r="B1154" s="799" t="s">
        <v>2559</v>
      </c>
      <c r="C1154" s="557"/>
      <c r="D1154" s="1873" t="s">
        <v>2370</v>
      </c>
      <c r="E1154" s="1873"/>
      <c r="F1154" s="1873"/>
      <c r="G1154" s="678"/>
    </row>
    <row r="1155" spans="1:7" ht="12.75" customHeight="1">
      <c r="A1155" s="1749"/>
      <c r="B1155" s="1749"/>
      <c r="C1155" s="557"/>
      <c r="D1155" s="1713"/>
      <c r="E1155" s="6"/>
      <c r="F1155" s="6"/>
      <c r="G1155" s="678"/>
    </row>
    <row r="1156" spans="1:7" ht="12.75" customHeight="1">
      <c r="A1156" s="715"/>
      <c r="B1156" s="799" t="s">
        <v>2558</v>
      </c>
      <c r="C1156" s="557"/>
      <c r="D1156" s="1873" t="s">
        <v>2371</v>
      </c>
      <c r="E1156" s="1873"/>
      <c r="F1156" s="1873"/>
      <c r="G1156" s="678"/>
    </row>
    <row r="1157" spans="1:7" ht="12.75" customHeight="1">
      <c r="A1157" s="1749"/>
      <c r="B1157" s="1749"/>
      <c r="C1157" s="557"/>
      <c r="D1157" s="1713"/>
      <c r="E1157" s="6"/>
      <c r="F1157" s="6"/>
      <c r="G1157" s="678"/>
    </row>
    <row r="1158" spans="1:7" ht="12.75" customHeight="1">
      <c r="A1158" s="715"/>
      <c r="B1158" s="799" t="s">
        <v>2558</v>
      </c>
      <c r="C1158" s="557"/>
      <c r="D1158" s="1848" t="s">
        <v>2372</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799" t="s">
        <v>2559</v>
      </c>
      <c r="C1161" s="1777"/>
      <c r="D1161" s="1891" t="s">
        <v>2373</v>
      </c>
      <c r="E1161" s="1891"/>
      <c r="F1161" s="1891"/>
      <c r="G1161" s="1778"/>
    </row>
    <row r="1162" spans="1:7" ht="12.75" customHeight="1">
      <c r="A1162" s="1777"/>
      <c r="B1162" s="1777"/>
      <c r="C1162" s="1777"/>
      <c r="D1162" s="1891"/>
      <c r="E1162" s="1891"/>
      <c r="F1162" s="1891"/>
      <c r="G1162" s="1778"/>
    </row>
    <row r="1163" spans="1:7" ht="12.75" customHeight="1">
      <c r="A1163" s="1777"/>
      <c r="B1163" s="1777"/>
      <c r="C1163" s="1777"/>
      <c r="D1163" s="1779"/>
      <c r="E1163" s="1780"/>
      <c r="F1163" s="1780"/>
      <c r="G1163" s="1778"/>
    </row>
    <row r="1164" spans="1:7" ht="12.75" customHeight="1">
      <c r="A1164" s="408"/>
      <c r="B1164" s="799" t="s">
        <v>2559</v>
      </c>
      <c r="C1164" s="1777"/>
      <c r="D1164" s="1996" t="s">
        <v>2374</v>
      </c>
      <c r="E1164" s="1996"/>
      <c r="F1164" s="1996"/>
      <c r="G1164" s="1778"/>
    </row>
    <row r="1165" spans="1:7" ht="12.75" customHeight="1">
      <c r="A1165" s="1777"/>
      <c r="B1165" s="1777"/>
      <c r="C1165" s="1777"/>
      <c r="D1165" s="1779"/>
      <c r="E1165" s="1780"/>
      <c r="F1165" s="1780"/>
      <c r="G1165" s="1778"/>
    </row>
    <row r="1166" spans="1:7" ht="12.75" customHeight="1">
      <c r="A1166" s="715"/>
      <c r="B1166" s="799" t="s">
        <v>2559</v>
      </c>
      <c r="C1166" s="557"/>
      <c r="D1166" s="1873" t="s">
        <v>2375</v>
      </c>
      <c r="E1166" s="1873"/>
      <c r="F1166" s="1873"/>
      <c r="G1166" s="679"/>
    </row>
    <row r="1167" spans="1:7" ht="12.75" customHeight="1">
      <c r="A1167" s="715"/>
      <c r="B1167" s="715"/>
      <c r="C1167" s="557"/>
      <c r="D1167" s="1713"/>
      <c r="E1167" s="6"/>
      <c r="F1167" s="6"/>
      <c r="G1167" s="679"/>
    </row>
    <row r="1168" spans="1:7" ht="12.75" customHeight="1">
      <c r="A1168" s="715"/>
      <c r="B1168" s="799" t="s">
        <v>2559</v>
      </c>
      <c r="C1168" s="557"/>
      <c r="D1168" s="1848" t="s">
        <v>2376</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883" t="s">
        <v>2377</v>
      </c>
      <c r="B1171" s="1883"/>
      <c r="C1171" s="1883"/>
      <c r="D1171" s="1883"/>
      <c r="E1171" s="1883"/>
      <c r="F1171" s="1883"/>
      <c r="G1171" s="1883"/>
    </row>
    <row r="1172" spans="1:7" ht="12.75" customHeight="1">
      <c r="A1172" s="1749"/>
      <c r="B1172" s="1749"/>
      <c r="C1172" s="557"/>
      <c r="D1172" s="6"/>
      <c r="E1172" s="6"/>
      <c r="F1172" s="6"/>
      <c r="G1172" s="679"/>
    </row>
    <row r="1173" spans="1:7" ht="12.75" customHeight="1">
      <c r="A1173" s="1733"/>
      <c r="B1173" s="1733"/>
      <c r="C1173" s="558"/>
      <c r="D1173" s="1892" t="s">
        <v>2378</v>
      </c>
      <c r="E1173" s="1892"/>
      <c r="F1173" s="1892"/>
      <c r="G1173" s="679"/>
    </row>
    <row r="1174" spans="1:7" ht="12.75" customHeight="1">
      <c r="A1174" s="1733"/>
      <c r="B1174" s="1733"/>
      <c r="C1174" s="558"/>
      <c r="D1174" s="1995" t="s">
        <v>2379</v>
      </c>
      <c r="E1174" s="1995"/>
      <c r="F1174" s="1995"/>
      <c r="G1174" s="679"/>
    </row>
    <row r="1175" spans="1:7" ht="12.75" customHeight="1">
      <c r="A1175" s="675"/>
      <c r="B1175" s="675"/>
      <c r="C1175" s="1722"/>
      <c r="D1175" s="679"/>
      <c r="E1175" s="679"/>
      <c r="F1175" s="679"/>
      <c r="G1175" s="679"/>
    </row>
    <row r="1176" spans="1:7" ht="12.75" customHeight="1">
      <c r="A1176" s="715"/>
      <c r="B1176" s="715"/>
      <c r="C1176" s="314"/>
      <c r="D1176" s="1892" t="s">
        <v>2393</v>
      </c>
      <c r="E1176" s="1892"/>
      <c r="F1176" s="1892"/>
      <c r="G1176" s="679"/>
    </row>
    <row r="1177" spans="1:7" ht="12.75" customHeight="1">
      <c r="A1177" s="1749"/>
      <c r="B1177" s="799" t="s">
        <v>2559</v>
      </c>
      <c r="C1177" s="557"/>
      <c r="D1177" s="1995" t="s">
        <v>1513</v>
      </c>
      <c r="E1177" s="1995"/>
      <c r="F1177" s="1995"/>
      <c r="G1177" s="679"/>
    </row>
    <row r="1178" spans="1:7" s="1790" customFormat="1" ht="12.75" customHeight="1">
      <c r="A1178" s="1749"/>
      <c r="B1178" s="715"/>
      <c r="C1178" s="557"/>
      <c r="D1178" s="1991" t="s">
        <v>2380</v>
      </c>
      <c r="E1178" s="1991"/>
      <c r="F1178" s="1991"/>
      <c r="G1178" s="679"/>
    </row>
    <row r="1179" spans="1:7" ht="12.75" customHeight="1">
      <c r="A1179" s="1749"/>
      <c r="B1179" s="1749"/>
      <c r="C1179" s="557"/>
      <c r="D1179" s="1995"/>
      <c r="E1179" s="1995"/>
      <c r="F1179" s="1995"/>
      <c r="G1179" s="679"/>
    </row>
    <row r="1180" spans="1:7" ht="12.75" customHeight="1">
      <c r="A1180" s="1992" t="s">
        <v>2389</v>
      </c>
      <c r="B1180" s="1992"/>
      <c r="C1180" s="1992"/>
      <c r="D1180" s="1992"/>
      <c r="E1180" s="1992"/>
      <c r="F1180" s="1992"/>
      <c r="G1180" s="1992"/>
    </row>
    <row r="1181" spans="1:7" ht="12.75" customHeight="1">
      <c r="A1181" s="254"/>
      <c r="B1181" s="254"/>
      <c r="C1181" s="1741"/>
      <c r="D1181" s="687"/>
      <c r="E1181" s="687"/>
      <c r="F1181" s="687"/>
      <c r="G1181" s="687"/>
    </row>
    <row r="1182" spans="1:7" ht="12.75" customHeight="1">
      <c r="A1182" s="254"/>
      <c r="B1182" s="1787"/>
      <c r="C1182" s="1794"/>
      <c r="D1182" s="1886" t="s">
        <v>1514</v>
      </c>
      <c r="E1182" s="1886"/>
      <c r="F1182" s="1886"/>
      <c r="G1182" s="687"/>
    </row>
    <row r="1183" spans="1:7" ht="12.75" customHeight="1">
      <c r="A1183" s="254"/>
      <c r="B1183" s="1793" t="s">
        <v>2558</v>
      </c>
      <c r="C1183" s="1794"/>
      <c r="D1183" s="1865" t="s">
        <v>1513</v>
      </c>
      <c r="E1183" s="1865"/>
      <c r="F1183" s="1865"/>
      <c r="G1183" s="687"/>
    </row>
    <row r="1184" spans="1:7" ht="12.75" customHeight="1">
      <c r="A1184" s="254"/>
      <c r="B1184" s="1790"/>
      <c r="C1184" s="1794"/>
      <c r="D1184" s="1865" t="s">
        <v>2390</v>
      </c>
      <c r="E1184" s="1865"/>
      <c r="F1184" s="1865"/>
      <c r="G1184" s="687"/>
    </row>
    <row r="1185" spans="1:7" s="1790" customFormat="1" ht="12.75" customHeight="1">
      <c r="A1185" s="254"/>
      <c r="C1185" s="1794"/>
      <c r="D1185" s="1788"/>
      <c r="E1185" s="1788"/>
      <c r="F1185" s="1788"/>
      <c r="G1185" s="687"/>
    </row>
    <row r="1186" spans="1:7" ht="12.75" customHeight="1">
      <c r="A1186" s="254"/>
      <c r="B1186" s="254"/>
      <c r="C1186" s="1741"/>
      <c r="D1186" s="1993" t="s">
        <v>1188</v>
      </c>
      <c r="E1186" s="1993"/>
      <c r="F1186" s="1993"/>
      <c r="G1186" s="687"/>
    </row>
    <row r="1187" spans="1:7" ht="12.75" customHeight="1">
      <c r="A1187" s="504"/>
      <c r="B1187" s="504"/>
      <c r="C1187" s="503"/>
      <c r="D1187" s="1994" t="s">
        <v>1205</v>
      </c>
      <c r="E1187" s="1994"/>
      <c r="F1187" s="1994"/>
      <c r="G1187" s="1781"/>
    </row>
    <row r="1188" spans="1:7" ht="12.75" customHeight="1">
      <c r="A1188" s="715"/>
      <c r="B1188" s="1793" t="s">
        <v>2559</v>
      </c>
      <c r="C1188" s="558"/>
      <c r="D1188" s="1877" t="s">
        <v>1073</v>
      </c>
      <c r="E1188" s="1877"/>
      <c r="F1188" s="1877"/>
      <c r="G1188" s="679"/>
    </row>
    <row r="1189" spans="1:7" ht="12.75" customHeight="1">
      <c r="A1189" s="1733"/>
      <c r="B1189" s="1733"/>
      <c r="C1189" s="558"/>
      <c r="D1189" s="6"/>
      <c r="E1189" s="1978" t="s">
        <v>1189</v>
      </c>
      <c r="F1189" s="1978"/>
      <c r="G1189" s="679"/>
    </row>
    <row r="1190" spans="1:7">
      <c r="A1190" s="791"/>
      <c r="B1190" s="791"/>
      <c r="C1190" s="791"/>
      <c r="D1190" s="791"/>
      <c r="E1190" s="791"/>
      <c r="F1190" s="791"/>
      <c r="G1190" s="791"/>
    </row>
    <row r="1191" spans="1:7">
      <c r="A1191" s="1992" t="s">
        <v>2415</v>
      </c>
      <c r="B1191" s="1992"/>
      <c r="C1191" s="1992"/>
      <c r="D1191" s="1992"/>
      <c r="E1191" s="1992"/>
      <c r="F1191" s="1992"/>
      <c r="G1191" s="1992"/>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2559</v>
      </c>
      <c r="C1196" s="791"/>
      <c r="D1196" s="1999" t="s">
        <v>2394</v>
      </c>
      <c r="E1196" s="1999"/>
      <c r="F1196" s="1999"/>
      <c r="G1196" s="791"/>
    </row>
    <row r="1197" spans="1:7">
      <c r="A1197" s="791"/>
      <c r="B1197" s="791"/>
      <c r="C1197" s="791"/>
      <c r="D1197" s="1999"/>
      <c r="E1197" s="1999"/>
      <c r="F1197" s="1999"/>
      <c r="G1197" s="791"/>
    </row>
    <row r="1198" spans="1:7">
      <c r="A1198" s="791"/>
      <c r="B1198" s="791"/>
      <c r="C1198" s="791"/>
      <c r="D1198" s="1999"/>
      <c r="E1198" s="1999"/>
      <c r="F1198" s="1999"/>
      <c r="G1198" s="791"/>
    </row>
    <row r="1199" spans="1:7">
      <c r="A1199" s="791"/>
      <c r="B1199" s="791"/>
      <c r="C1199" s="791"/>
      <c r="D1199" s="1999"/>
      <c r="E1199" s="1999"/>
      <c r="F1199" s="1999"/>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2558</v>
      </c>
      <c r="C1204" s="791"/>
      <c r="D1204" s="1790" t="s">
        <v>2392</v>
      </c>
      <c r="E1204" s="791"/>
      <c r="F1204" s="791"/>
      <c r="G1204" s="791"/>
    </row>
    <row r="1205" spans="1:7">
      <c r="A1205" s="791"/>
      <c r="B1205" s="791"/>
      <c r="C1205" s="791"/>
      <c r="D1205" s="791"/>
      <c r="E1205" s="791"/>
      <c r="F1205" s="791"/>
      <c r="G1205" s="791"/>
    </row>
    <row r="1206" spans="1:7">
      <c r="A1206" s="791"/>
      <c r="B1206" s="1793" t="s">
        <v>2559</v>
      </c>
      <c r="C1206" s="791"/>
      <c r="D1206" s="1999" t="s">
        <v>2398</v>
      </c>
      <c r="E1206" s="1999"/>
      <c r="F1206" s="1999"/>
      <c r="G1206" s="791"/>
    </row>
    <row r="1207" spans="1:7">
      <c r="A1207" s="791"/>
      <c r="B1207" s="791"/>
      <c r="C1207" s="791"/>
      <c r="D1207" s="1999"/>
      <c r="E1207" s="1999"/>
      <c r="F1207" s="1999"/>
      <c r="G1207" s="791"/>
    </row>
    <row r="1208" spans="1:7">
      <c r="A1208" s="791"/>
      <c r="B1208" s="791"/>
      <c r="C1208" s="791"/>
      <c r="D1208" s="1999"/>
      <c r="E1208" s="1999"/>
      <c r="F1208" s="1999"/>
      <c r="G1208" s="791"/>
    </row>
    <row r="1209" spans="1:7">
      <c r="A1209" s="791"/>
      <c r="B1209" s="791"/>
      <c r="C1209" s="791"/>
      <c r="D1209" s="1999"/>
      <c r="E1209" s="1999"/>
      <c r="F1209" s="1999"/>
      <c r="G1209" s="791"/>
    </row>
    <row r="1210" spans="1:7">
      <c r="A1210" s="791"/>
      <c r="B1210" s="791"/>
      <c r="C1210" s="791"/>
      <c r="D1210" s="1999"/>
      <c r="E1210" s="1999"/>
      <c r="F1210" s="1999"/>
      <c r="G1210" s="791"/>
    </row>
    <row r="1211" spans="1:7">
      <c r="A1211" s="791"/>
      <c r="B1211" s="791"/>
      <c r="C1211" s="791"/>
      <c r="D1211" s="791"/>
      <c r="E1211" s="791"/>
      <c r="F1211" s="791"/>
      <c r="G1211" s="791"/>
    </row>
    <row r="1212" spans="1:7">
      <c r="A1212" s="1992" t="s">
        <v>2399</v>
      </c>
      <c r="B1212" s="1992"/>
      <c r="C1212" s="1992"/>
      <c r="D1212" s="1992"/>
      <c r="E1212" s="1992"/>
      <c r="F1212" s="1992"/>
      <c r="G1212" s="199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2558</v>
      </c>
      <c r="C1215" s="791"/>
      <c r="D1215" s="1785" t="s">
        <v>2402</v>
      </c>
      <c r="E1215" s="1789"/>
      <c r="F1215" s="791"/>
      <c r="G1215" s="791"/>
    </row>
    <row r="1216" spans="1:7">
      <c r="A1216" s="791"/>
      <c r="B1216" s="791"/>
      <c r="C1216" s="791"/>
      <c r="D1216" s="1785" t="s">
        <v>2407</v>
      </c>
      <c r="E1216" s="1789"/>
      <c r="F1216" s="791"/>
      <c r="G1216" s="791"/>
    </row>
    <row r="1217" spans="2:6" s="1790" customFormat="1">
      <c r="D1217" s="1785"/>
      <c r="E1217" s="1789"/>
    </row>
    <row r="1218" spans="2:6" s="791" customFormat="1">
      <c r="B1218" s="1793" t="s">
        <v>2559</v>
      </c>
      <c r="D1218" s="1785" t="s">
        <v>2403</v>
      </c>
      <c r="E1218" s="1789"/>
    </row>
    <row r="1219" spans="2:6" s="1790" customFormat="1">
      <c r="D1219" s="1785"/>
      <c r="E1219" s="1792" t="s">
        <v>2404</v>
      </c>
    </row>
    <row r="1220" spans="2:6" s="1790" customFormat="1">
      <c r="D1220" s="1785" t="s">
        <v>2406</v>
      </c>
      <c r="E1220" s="1789"/>
    </row>
    <row r="1221" spans="2:6" s="1790" customFormat="1">
      <c r="D1221" s="1785"/>
      <c r="E1221" s="1789"/>
    </row>
    <row r="1222" spans="2:6" s="791" customFormat="1">
      <c r="B1222" s="1793" t="s">
        <v>2559</v>
      </c>
      <c r="D1222" s="1785" t="s">
        <v>2408</v>
      </c>
      <c r="E1222" s="1789"/>
    </row>
    <row r="1223" spans="2:6" s="1790" customFormat="1">
      <c r="D1223" s="1785" t="s">
        <v>2405</v>
      </c>
      <c r="E1223" s="1789"/>
    </row>
    <row r="1224" spans="2:6" s="1790" customFormat="1">
      <c r="D1224" s="1785"/>
      <c r="E1224" s="1789"/>
    </row>
    <row r="1225" spans="2:6" s="791" customFormat="1">
      <c r="B1225" s="1793" t="s">
        <v>2559</v>
      </c>
      <c r="D1225" s="1785" t="s">
        <v>2410</v>
      </c>
      <c r="E1225" s="1789"/>
    </row>
    <row r="1226" spans="2:6" s="1790" customFormat="1">
      <c r="D1226" s="1785" t="s">
        <v>2409</v>
      </c>
      <c r="E1226" s="1789"/>
    </row>
    <row r="1227" spans="2:6" s="1790" customFormat="1">
      <c r="D1227" s="1785"/>
      <c r="E1227" s="1789"/>
    </row>
    <row r="1228" spans="2:6" s="791" customFormat="1">
      <c r="B1228" s="1793" t="s">
        <v>2559</v>
      </c>
      <c r="D1228" s="1784" t="s">
        <v>2413</v>
      </c>
      <c r="E1228" s="1789"/>
    </row>
    <row r="1229" spans="2:6" s="1790" customFormat="1">
      <c r="D1229" s="2000" t="s">
        <v>2414</v>
      </c>
      <c r="E1229" s="2000"/>
      <c r="F1229" s="2000"/>
    </row>
    <row r="1230" spans="2:6" s="1790" customFormat="1">
      <c r="D1230" s="2000"/>
      <c r="E1230" s="2000"/>
      <c r="F1230" s="2000"/>
    </row>
    <row r="1231" spans="2:6" s="1790" customFormat="1">
      <c r="D1231" s="2000"/>
      <c r="E1231" s="2000"/>
      <c r="F1231" s="2000"/>
    </row>
    <row r="1232" spans="2:6" s="1790" customFormat="1">
      <c r="D1232" s="2000"/>
      <c r="E1232" s="2000"/>
      <c r="F1232" s="2000"/>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2559</v>
      </c>
      <c r="C1236" s="791"/>
      <c r="D1236" s="1997" t="s">
        <v>2401</v>
      </c>
      <c r="E1236" s="1997"/>
      <c r="F1236" s="1997"/>
      <c r="G1236" s="791"/>
    </row>
    <row r="1237" spans="1:7" s="1790" customFormat="1">
      <c r="D1237" s="1997"/>
      <c r="E1237" s="1997"/>
      <c r="F1237" s="1997"/>
    </row>
    <row r="1238" spans="1:7" s="1790" customFormat="1">
      <c r="D1238" s="1997"/>
      <c r="E1238" s="1997"/>
      <c r="F1238" s="1997"/>
    </row>
    <row r="1239" spans="1:7" s="1790" customFormat="1">
      <c r="D1239" s="1997"/>
      <c r="E1239" s="1997"/>
      <c r="F1239" s="1997"/>
    </row>
    <row r="1240" spans="1:7">
      <c r="A1240" s="791"/>
      <c r="B1240" s="791"/>
      <c r="C1240" s="791"/>
      <c r="D1240" s="1997"/>
      <c r="E1240" s="1997"/>
      <c r="F1240" s="1997"/>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2" t="s">
        <v>2416</v>
      </c>
      <c r="B1243" s="1992"/>
      <c r="C1243" s="1992"/>
      <c r="D1243" s="1992"/>
      <c r="E1243" s="1992"/>
      <c r="F1243" s="1992"/>
      <c r="G1243" s="199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2559</v>
      </c>
      <c r="C1246" s="791"/>
      <c r="D1246" s="1997" t="s">
        <v>2417</v>
      </c>
      <c r="E1246" s="1997"/>
      <c r="F1246" s="1997"/>
      <c r="G1246" s="791"/>
    </row>
    <row r="1247" spans="1:7" s="1790" customFormat="1">
      <c r="D1247" s="1997"/>
      <c r="E1247" s="1997"/>
      <c r="F1247" s="1997"/>
    </row>
    <row r="1248" spans="1:7" s="1790" customFormat="1">
      <c r="D1248" s="1997"/>
      <c r="E1248" s="1997"/>
      <c r="F1248" s="1997"/>
    </row>
    <row r="1249" spans="1:7" s="1790" customFormat="1">
      <c r="D1249" s="1785"/>
    </row>
    <row r="1250" spans="1:7">
      <c r="A1250" s="791"/>
      <c r="B1250" s="1793" t="s">
        <v>2559</v>
      </c>
      <c r="C1250" s="791"/>
      <c r="D1250" s="1997" t="s">
        <v>2418</v>
      </c>
      <c r="E1250" s="1997"/>
      <c r="F1250" s="1997"/>
      <c r="G1250" s="791"/>
    </row>
    <row r="1251" spans="1:7" s="1790" customFormat="1">
      <c r="D1251" s="1997"/>
      <c r="E1251" s="1997"/>
      <c r="F1251" s="1997"/>
    </row>
    <row r="1252" spans="1:7" s="1790" customFormat="1">
      <c r="D1252" s="1785"/>
    </row>
    <row r="1253" spans="1:7">
      <c r="A1253" s="791"/>
      <c r="B1253" s="1793" t="s">
        <v>2559</v>
      </c>
      <c r="C1253" s="791"/>
      <c r="D1253" s="1997" t="s">
        <v>2419</v>
      </c>
      <c r="E1253" s="1997"/>
      <c r="F1253" s="1997"/>
      <c r="G1253" s="791"/>
    </row>
    <row r="1254" spans="1:7" s="1790" customFormat="1">
      <c r="D1254" s="1997"/>
      <c r="E1254" s="1997"/>
      <c r="F1254" s="1997"/>
    </row>
    <row r="1255" spans="1:7" s="1790" customFormat="1">
      <c r="D1255" s="1997"/>
      <c r="E1255" s="1997"/>
      <c r="F1255" s="1997"/>
    </row>
    <row r="1256" spans="1:7" s="1790" customFormat="1">
      <c r="D1256" s="1997"/>
      <c r="E1256" s="1997"/>
      <c r="F1256" s="1997"/>
    </row>
    <row r="1257" spans="1:7" s="1790" customFormat="1">
      <c r="D1257" s="1997"/>
      <c r="E1257" s="1997"/>
      <c r="F1257" s="1997"/>
    </row>
    <row r="1258" spans="1:7" s="1791" customFormat="1">
      <c r="B1258" s="1790"/>
      <c r="D1258" s="1785"/>
    </row>
    <row r="1259" spans="1:7">
      <c r="A1259" s="791"/>
      <c r="B1259" s="1793" t="s">
        <v>2559</v>
      </c>
      <c r="C1259" s="791"/>
      <c r="D1259" s="1997" t="s">
        <v>2420</v>
      </c>
      <c r="E1259" s="1997"/>
      <c r="F1259" s="1997"/>
      <c r="G1259" s="791"/>
    </row>
    <row r="1260" spans="1:7" s="1790" customFormat="1">
      <c r="D1260" s="1997"/>
      <c r="E1260" s="1997"/>
      <c r="F1260" s="1997"/>
    </row>
    <row r="1261" spans="1:7" s="1790" customFormat="1">
      <c r="D1261" s="1997"/>
      <c r="E1261" s="1997"/>
      <c r="F1261" s="1997"/>
    </row>
    <row r="1262" spans="1:7" s="1790" customFormat="1">
      <c r="D1262" s="1785"/>
    </row>
    <row r="1263" spans="1:7">
      <c r="A1263" s="791"/>
      <c r="B1263" s="1793" t="s">
        <v>2558</v>
      </c>
      <c r="C1263" s="791"/>
      <c r="D1263" s="1998" t="s">
        <v>2421</v>
      </c>
      <c r="E1263" s="1998"/>
      <c r="F1263" s="1998"/>
      <c r="G1263" s="791"/>
    </row>
    <row r="1264" spans="1:7">
      <c r="A1264" s="791"/>
      <c r="B1264" s="791"/>
      <c r="C1264" s="791"/>
      <c r="D1264" s="1998"/>
      <c r="E1264" s="1998"/>
      <c r="F1264" s="1998"/>
      <c r="G1264" s="791"/>
    </row>
    <row r="1265" spans="1:7">
      <c r="A1265" s="791"/>
      <c r="B1265" s="791"/>
      <c r="C1265" s="791"/>
      <c r="D1265" s="1998"/>
      <c r="E1265" s="1998"/>
      <c r="F1265" s="1998"/>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9" zoomScale="90" zoomScaleNormal="90" zoomScaleSheetLayoutView="130" workbookViewId="0">
      <selection activeCell="U36" sqref="U36"/>
    </sheetView>
  </sheetViews>
  <sheetFormatPr defaultColWidth="0" defaultRowHeight="0" customHeight="1" zeroHeight="1"/>
  <cols>
    <col min="1" max="36" width="2.5546875" style="12" customWidth="1"/>
    <col min="37" max="37" width="2.664062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55468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396" t="s">
        <v>105</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1573"/>
      <c r="AN8" s="1573"/>
      <c r="AO8" s="1573"/>
      <c r="AP8" s="1573"/>
      <c r="AQ8" s="1573"/>
      <c r="AR8" s="1573"/>
      <c r="AS8" s="1573"/>
      <c r="AT8" s="1573"/>
      <c r="AU8" s="1573"/>
      <c r="AV8" s="1573"/>
      <c r="AW8" s="1573"/>
      <c r="AX8" s="1573"/>
      <c r="AY8" s="1573"/>
    </row>
    <row r="9" spans="1:96" s="720" customFormat="1" ht="13.2">
      <c r="A9" s="2086" t="s">
        <v>2005</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2"/>
      <c r="AN9" s="1512"/>
      <c r="AO9" s="1512"/>
      <c r="AP9" s="1512"/>
      <c r="AQ9" s="1512"/>
      <c r="AR9" s="1512"/>
      <c r="AS9" s="1512"/>
      <c r="AT9" s="1512"/>
      <c r="AU9" s="1512"/>
      <c r="AV9" s="1512"/>
      <c r="AW9" s="1512"/>
      <c r="AX9" s="1512"/>
      <c r="AY9" s="1512"/>
      <c r="CR9" s="25"/>
    </row>
    <row r="10" spans="1:96" ht="15" customHeight="1">
      <c r="A10" s="2242" t="s">
        <v>2006</v>
      </c>
      <c r="B10" s="2242"/>
      <c r="C10" s="2242"/>
      <c r="D10" s="2242"/>
      <c r="E10" s="2242"/>
      <c r="F10" s="2242"/>
      <c r="G10" s="2242"/>
      <c r="H10" s="2242"/>
      <c r="I10" s="2242"/>
      <c r="J10" s="2242"/>
      <c r="K10" s="2242"/>
      <c r="L10" s="2242"/>
      <c r="M10" s="2242"/>
      <c r="N10" s="2242"/>
      <c r="O10" s="2242"/>
      <c r="P10" s="2242"/>
      <c r="Q10" s="2242"/>
      <c r="R10" s="2242"/>
      <c r="S10" s="2242"/>
      <c r="T10" s="2242"/>
      <c r="U10" s="2242"/>
      <c r="V10" s="2242"/>
      <c r="W10" s="2242"/>
      <c r="X10" s="2242"/>
      <c r="Y10" s="2242"/>
      <c r="Z10" s="2242"/>
      <c r="AA10" s="2242"/>
      <c r="AB10" s="2242"/>
      <c r="AC10" s="2242"/>
      <c r="AD10" s="2242"/>
      <c r="AE10" s="2242"/>
      <c r="AF10" s="2242"/>
      <c r="AG10" s="2242"/>
      <c r="AH10" s="2242"/>
      <c r="AI10" s="2242"/>
      <c r="AJ10" s="2242"/>
      <c r="AK10" s="2242"/>
      <c r="AL10" s="2242"/>
      <c r="AM10" s="20"/>
      <c r="AN10" s="20"/>
      <c r="AO10" s="20"/>
      <c r="AP10" s="20"/>
      <c r="AQ10" s="20"/>
      <c r="AR10" s="20"/>
      <c r="AS10" s="20"/>
      <c r="AT10" s="20"/>
      <c r="AU10" s="20"/>
      <c r="AV10" s="20"/>
      <c r="AW10" s="20"/>
      <c r="AX10" s="20"/>
      <c r="AY10" s="20"/>
    </row>
    <row r="11" spans="1:96" ht="15" customHeight="1">
      <c r="A11" s="2086" t="s">
        <v>2026</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2"/>
      <c r="AN11" s="1512"/>
      <c r="AO11" s="1512"/>
      <c r="AP11" s="1512"/>
      <c r="AQ11" s="1512"/>
      <c r="AR11" s="1512"/>
      <c r="AS11" s="1512"/>
      <c r="AT11" s="1512"/>
      <c r="AU11" s="1512"/>
      <c r="AV11" s="1512"/>
      <c r="AW11" s="1512"/>
      <c r="AX11" s="1512"/>
      <c r="AY11" s="1512"/>
    </row>
    <row r="12" spans="1:96" ht="13.2">
      <c r="A12" s="2096" t="s">
        <v>2462</v>
      </c>
      <c r="B12" s="2097"/>
      <c r="C12" s="2097"/>
      <c r="D12" s="2097"/>
      <c r="E12" s="2097"/>
      <c r="F12" s="2097"/>
      <c r="G12" s="2097"/>
      <c r="H12" s="2097"/>
      <c r="I12" s="2097"/>
      <c r="J12" s="2097"/>
      <c r="K12" s="2097"/>
      <c r="L12" s="2097"/>
      <c r="M12" s="2097"/>
      <c r="N12" s="2097"/>
      <c r="O12" s="2097"/>
      <c r="P12" s="2097"/>
      <c r="Q12" s="2097"/>
      <c r="R12" s="2097"/>
      <c r="S12" s="2097"/>
      <c r="T12" s="2097"/>
      <c r="U12" s="2097"/>
      <c r="V12" s="2097"/>
      <c r="W12" s="2097"/>
      <c r="X12" s="2097"/>
      <c r="Y12" s="2097"/>
      <c r="Z12" s="2097"/>
      <c r="AA12" s="2097"/>
      <c r="AB12" s="2097"/>
      <c r="AC12" s="2097"/>
      <c r="AD12" s="2097"/>
      <c r="AE12" s="2097"/>
      <c r="AF12" s="2097"/>
      <c r="AG12" s="2097"/>
      <c r="AH12" s="2097"/>
      <c r="AI12" s="2097"/>
      <c r="AJ12" s="2097"/>
      <c r="AK12" s="2097"/>
      <c r="AL12" s="2097"/>
      <c r="AM12" s="1518"/>
      <c r="AN12" s="1518"/>
      <c r="AO12" s="1518"/>
      <c r="AP12" s="1518"/>
      <c r="AQ12" s="1518"/>
      <c r="AR12" s="1518"/>
      <c r="AS12" s="1518"/>
      <c r="AT12" s="1518"/>
      <c r="AU12" s="1518"/>
      <c r="AV12" s="1518"/>
      <c r="AW12" s="1518"/>
      <c r="AX12" s="1518"/>
      <c r="AY12" s="1518"/>
    </row>
    <row r="13" spans="1:96" ht="13.2">
      <c r="A13" s="1860" t="s">
        <v>1390</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4"/>
      <c r="AN13" s="1574"/>
      <c r="AO13" s="1574"/>
      <c r="AP13" s="1574"/>
      <c r="AQ13" s="1574"/>
      <c r="AR13" s="1574"/>
      <c r="AS13" s="1574"/>
      <c r="AT13" s="1574"/>
      <c r="AU13" s="1574"/>
      <c r="AV13" s="1574"/>
      <c r="AW13" s="1574"/>
      <c r="AX13" s="1574"/>
      <c r="AY13" s="1574"/>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103" t="s">
        <v>2466</v>
      </c>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row>
    <row r="17" spans="1:96" ht="12.75" customHeight="1"/>
    <row r="18" spans="1:96" ht="12.75" customHeight="1">
      <c r="A18" s="134" t="s">
        <v>106</v>
      </c>
      <c r="C18" s="7"/>
      <c r="D18" s="7"/>
      <c r="E18" s="7"/>
      <c r="F18" s="7"/>
      <c r="G18" s="7"/>
      <c r="H18" s="2029" t="s">
        <v>2467</v>
      </c>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row>
    <row r="19" spans="1:96" ht="12.75" customHeight="1"/>
    <row r="20" spans="1:96" ht="14.25" customHeight="1">
      <c r="A20" s="2245" t="s">
        <v>939</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1576"/>
      <c r="AN20" s="1576"/>
      <c r="AO20" s="1576"/>
      <c r="AP20" s="1576"/>
      <c r="AQ20" s="1576"/>
      <c r="AR20" s="1576"/>
      <c r="AS20" s="1576"/>
      <c r="AT20" s="1576"/>
      <c r="AU20" s="1576"/>
      <c r="AV20" s="1576"/>
      <c r="AW20" s="1576"/>
      <c r="AX20" s="1576"/>
      <c r="AY20" s="1576"/>
    </row>
    <row r="21" spans="1:96" ht="12.75" customHeight="1">
      <c r="A21" s="2104" t="s">
        <v>1119</v>
      </c>
      <c r="B21" s="2104"/>
      <c r="C21" s="2104"/>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01">
        <f>'Basis &amp; Credits'!AB56</f>
        <v>2282137</v>
      </c>
      <c r="N26" s="2101"/>
      <c r="O26" s="2101"/>
      <c r="P26" s="2101"/>
      <c r="Q26" s="2101"/>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52">
        <f>'Basis &amp; Credits'!AB77</f>
        <v>7702199</v>
      </c>
      <c r="N27" s="2252"/>
      <c r="O27" s="2252"/>
      <c r="P27" s="2252"/>
      <c r="Q27" s="2252"/>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22" t="s">
        <v>707</v>
      </c>
      <c r="P33" s="2022"/>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098">
        <v>27</v>
      </c>
      <c r="H122" s="2098"/>
      <c r="I122" s="239" t="s">
        <v>187</v>
      </c>
      <c r="L122" s="2098" t="s">
        <v>2468</v>
      </c>
      <c r="M122" s="2098"/>
      <c r="N122" s="2098"/>
      <c r="O122" s="913" t="s">
        <v>2469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222" t="s">
        <v>2470</v>
      </c>
      <c r="D124" s="2222"/>
      <c r="E124" s="2222"/>
      <c r="F124" s="2222"/>
      <c r="G124" s="2222"/>
      <c r="H124" s="2222"/>
      <c r="I124" s="2222"/>
      <c r="J124" s="2222"/>
      <c r="K124" s="2222"/>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098"/>
      <c r="Z126" s="2098"/>
      <c r="AA126" s="2098"/>
      <c r="AB126" s="2098"/>
      <c r="AC126" s="2098"/>
      <c r="AD126" s="2098"/>
      <c r="AE126" s="2098"/>
      <c r="AF126" s="2098"/>
      <c r="AG126" s="2098"/>
      <c r="AH126" s="2098"/>
      <c r="AI126" s="2098"/>
      <c r="AJ126" s="2098"/>
      <c r="AK126" s="2098"/>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099" t="s">
        <v>2471</v>
      </c>
      <c r="Z129" s="2099"/>
      <c r="AA129" s="2099"/>
      <c r="AB129" s="2099"/>
      <c r="AC129" s="2099"/>
      <c r="AD129" s="2099"/>
      <c r="AE129" s="2099"/>
      <c r="AF129" s="2099"/>
      <c r="AG129" s="2099"/>
      <c r="AH129" s="2099"/>
      <c r="AI129" s="2099"/>
      <c r="AJ129" s="2099"/>
      <c r="AK129" s="2099"/>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099" t="s">
        <v>2472</v>
      </c>
      <c r="Z132" s="2099"/>
      <c r="AA132" s="2099"/>
      <c r="AB132" s="2099"/>
      <c r="AC132" s="2099"/>
      <c r="AD132" s="2099"/>
      <c r="AE132" s="2099"/>
      <c r="AF132" s="2099"/>
      <c r="AG132" s="2099"/>
      <c r="AH132" s="2099"/>
      <c r="AI132" s="2099"/>
      <c r="AJ132" s="2099"/>
      <c r="AK132" s="209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39"/>
      <c r="G150" s="2139"/>
      <c r="H150" s="2139"/>
      <c r="I150" s="2139"/>
      <c r="J150" s="2139"/>
      <c r="K150" s="2139"/>
      <c r="L150" s="2139"/>
      <c r="M150" s="2139"/>
      <c r="N150" s="2139"/>
      <c r="O150" s="2139"/>
      <c r="P150" s="2139"/>
      <c r="Q150" s="2139"/>
      <c r="R150" s="2139"/>
      <c r="S150" s="2139"/>
      <c r="T150" s="213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29" t="s">
        <v>2529</v>
      </c>
      <c r="P153" s="2105"/>
      <c r="Q153" s="2105"/>
      <c r="R153" s="2105"/>
      <c r="S153" s="2105"/>
      <c r="T153" s="2105"/>
      <c r="U153" s="2105"/>
      <c r="V153" s="2105"/>
      <c r="W153" s="2105"/>
      <c r="X153" s="2105"/>
      <c r="Y153" s="2105"/>
      <c r="Z153" s="2105"/>
      <c r="AA153" s="2105"/>
      <c r="AB153" s="2105"/>
      <c r="AC153" s="2105"/>
      <c r="AD153" s="2105"/>
      <c r="AE153" s="2105"/>
      <c r="AF153" s="2105"/>
      <c r="AG153" s="2105"/>
      <c r="AH153" s="2105"/>
    </row>
    <row r="154" spans="1:96" ht="12.75" customHeight="1">
      <c r="D154" s="467" t="s">
        <v>464</v>
      </c>
      <c r="F154" s="32"/>
      <c r="G154" s="32"/>
      <c r="H154" s="32"/>
      <c r="I154" s="32"/>
      <c r="J154" s="32"/>
      <c r="K154" s="32"/>
      <c r="L154" s="32"/>
      <c r="M154" s="32"/>
      <c r="N154" s="32"/>
      <c r="O154" s="2056" t="s">
        <v>2571</v>
      </c>
      <c r="P154" s="2134"/>
      <c r="Q154" s="2134"/>
      <c r="R154" s="2134"/>
      <c r="S154" s="2134"/>
      <c r="T154" s="2134"/>
      <c r="U154" s="2134"/>
      <c r="V154" s="2134"/>
      <c r="W154" s="2134"/>
      <c r="X154" s="2134"/>
      <c r="Y154" s="2134"/>
      <c r="Z154" s="2134"/>
      <c r="AA154" s="2134"/>
      <c r="AB154" s="2134"/>
      <c r="AC154" s="2134"/>
      <c r="AD154" s="2134"/>
      <c r="AE154" s="2134"/>
      <c r="AF154" s="2134"/>
      <c r="AG154" s="2134"/>
      <c r="AH154" s="2134"/>
      <c r="AZ154" s="25"/>
    </row>
    <row r="155" spans="1:96" ht="13.2">
      <c r="D155" s="13" t="s">
        <v>465</v>
      </c>
      <c r="F155" s="13"/>
      <c r="G155" s="13"/>
      <c r="H155" s="13"/>
      <c r="I155" s="13"/>
      <c r="J155" s="13"/>
      <c r="K155" s="13"/>
      <c r="L155" s="13"/>
      <c r="M155" s="13"/>
      <c r="N155" s="13"/>
      <c r="O155" s="2213" t="s">
        <v>2572</v>
      </c>
      <c r="P155" s="2214"/>
      <c r="Q155" s="2214"/>
      <c r="R155" s="2214"/>
      <c r="S155" s="2214"/>
      <c r="T155" s="2214"/>
      <c r="U155" s="2214"/>
      <c r="V155" s="2214"/>
      <c r="W155" s="2214"/>
      <c r="X155" s="2214"/>
      <c r="Y155" s="2214"/>
      <c r="Z155" s="2214"/>
      <c r="AA155" s="2214"/>
      <c r="AB155" s="2214"/>
      <c r="AC155" s="2214"/>
      <c r="AD155" s="2214"/>
      <c r="AE155" s="2214"/>
      <c r="AF155" s="2214"/>
      <c r="AG155" s="2214"/>
      <c r="AH155" s="2214"/>
      <c r="AZ155" s="25"/>
    </row>
    <row r="156" spans="1:96" ht="13.2">
      <c r="D156" s="32" t="s">
        <v>324</v>
      </c>
      <c r="F156" s="32"/>
      <c r="G156" s="32"/>
      <c r="H156" s="32"/>
      <c r="I156" s="32"/>
      <c r="J156" s="32"/>
      <c r="K156" s="32"/>
      <c r="L156" s="32"/>
      <c r="M156" s="32"/>
      <c r="N156" s="32"/>
      <c r="O156" s="2021" t="s">
        <v>2573</v>
      </c>
      <c r="P156" s="2021"/>
      <c r="Q156" s="2021"/>
      <c r="R156" s="2021"/>
      <c r="S156" s="2021"/>
      <c r="T156" s="2021"/>
      <c r="U156" s="2021"/>
      <c r="V156" s="2021"/>
      <c r="W156" s="2021"/>
      <c r="X156" s="2021"/>
      <c r="Y156" s="2021"/>
      <c r="Z156" s="2021"/>
      <c r="AA156" s="2021"/>
      <c r="AB156" s="2021"/>
      <c r="AC156" s="2021"/>
      <c r="AD156" s="2021"/>
      <c r="AE156" s="2021"/>
      <c r="AF156" s="2021"/>
      <c r="AG156" s="2021"/>
      <c r="AH156" s="2021"/>
      <c r="BT156" s="12" t="s">
        <v>318</v>
      </c>
    </row>
    <row r="157" spans="1:96" ht="13.2">
      <c r="D157" s="32" t="s">
        <v>325</v>
      </c>
      <c r="F157" s="32"/>
      <c r="G157" s="32"/>
      <c r="H157" s="32"/>
      <c r="I157" s="32"/>
      <c r="J157" s="32"/>
      <c r="K157" s="32"/>
      <c r="L157" s="32"/>
      <c r="M157" s="32"/>
      <c r="N157" s="32"/>
      <c r="O157" s="2029" t="s">
        <v>2475</v>
      </c>
      <c r="P157" s="2105"/>
      <c r="Q157" s="2105"/>
      <c r="R157" s="2105"/>
      <c r="S157" s="2105"/>
      <c r="T157" s="2105"/>
      <c r="U157" s="2105"/>
      <c r="V157" s="2105"/>
      <c r="W157" s="2105"/>
      <c r="X157" s="2105"/>
      <c r="Y157" s="14"/>
      <c r="Z157" s="14"/>
      <c r="AA157" s="14"/>
      <c r="AB157" s="14"/>
      <c r="AC157" s="14"/>
      <c r="AD157" s="14"/>
      <c r="AE157" s="14"/>
      <c r="AF157" s="14"/>
      <c r="BN157" s="36" t="s">
        <v>672</v>
      </c>
      <c r="BT157" s="12" t="s">
        <v>510</v>
      </c>
    </row>
    <row r="158" spans="1:96" ht="13.2">
      <c r="D158" s="32" t="s">
        <v>326</v>
      </c>
      <c r="F158" s="32"/>
      <c r="G158" s="32"/>
      <c r="H158" s="32"/>
      <c r="I158" s="32"/>
      <c r="J158" s="32"/>
      <c r="K158" s="32"/>
      <c r="L158" s="32"/>
      <c r="M158" s="32"/>
      <c r="N158" s="32"/>
      <c r="O158" s="2246">
        <v>95404</v>
      </c>
      <c r="P158" s="2246"/>
      <c r="Q158" s="2246"/>
      <c r="R158" s="2246"/>
      <c r="S158" s="15"/>
      <c r="T158" s="15"/>
      <c r="U158" s="15"/>
      <c r="V158" s="15"/>
      <c r="W158" s="15"/>
      <c r="X158" s="15"/>
      <c r="Y158" s="15"/>
      <c r="Z158" s="15"/>
      <c r="AA158" s="15"/>
      <c r="AB158" s="15"/>
      <c r="AC158" s="15"/>
      <c r="AD158" s="15"/>
      <c r="AE158" s="15"/>
      <c r="AF158" s="15"/>
      <c r="BN158" s="36" t="s">
        <v>673</v>
      </c>
      <c r="BT158" s="12" t="s">
        <v>511</v>
      </c>
    </row>
    <row r="159" spans="1:96" ht="13.2">
      <c r="D159" s="32" t="s">
        <v>327</v>
      </c>
      <c r="F159" s="32"/>
      <c r="G159" s="32"/>
      <c r="H159" s="32"/>
      <c r="I159" s="32"/>
      <c r="J159" s="32"/>
      <c r="K159" s="32"/>
      <c r="L159" s="32"/>
      <c r="M159" s="32"/>
      <c r="N159" s="32"/>
      <c r="O159" s="2208">
        <v>7075433303</v>
      </c>
      <c r="P159" s="2208"/>
      <c r="Q159" s="2208"/>
      <c r="R159" s="2208"/>
      <c r="S159" s="2208"/>
      <c r="T159" s="2208"/>
      <c r="V159" s="146" t="s">
        <v>279</v>
      </c>
      <c r="W159" s="2247"/>
      <c r="X159" s="2247"/>
      <c r="Y159" s="16"/>
      <c r="Z159" s="16"/>
      <c r="AA159" s="16"/>
      <c r="AB159" s="16"/>
      <c r="AC159" s="16"/>
      <c r="AD159" s="16"/>
      <c r="AE159" s="16"/>
      <c r="AF159" s="16"/>
      <c r="BN159" s="36" t="s">
        <v>351</v>
      </c>
      <c r="BT159" s="12" t="s">
        <v>512</v>
      </c>
    </row>
    <row r="160" spans="1:96" ht="13.2">
      <c r="D160" s="32" t="s">
        <v>328</v>
      </c>
      <c r="F160" s="32"/>
      <c r="G160" s="32"/>
      <c r="H160" s="32"/>
      <c r="I160" s="32"/>
      <c r="J160" s="32"/>
      <c r="K160" s="32"/>
      <c r="L160" s="32"/>
      <c r="M160" s="32"/>
      <c r="N160" s="32"/>
      <c r="O160" s="2208">
        <v>7075433353</v>
      </c>
      <c r="P160" s="2208"/>
      <c r="Q160" s="2208"/>
      <c r="R160" s="2208"/>
      <c r="S160" s="2208"/>
      <c r="T160" s="2208"/>
      <c r="U160" s="16"/>
      <c r="V160" s="16"/>
      <c r="W160" s="16"/>
      <c r="X160" s="16"/>
      <c r="Y160" s="16"/>
      <c r="Z160" s="16"/>
      <c r="AA160" s="16"/>
      <c r="AB160" s="16"/>
      <c r="AC160" s="16"/>
      <c r="AD160" s="16"/>
      <c r="AE160" s="16"/>
      <c r="AF160" s="16"/>
      <c r="BN160" s="36" t="s">
        <v>698</v>
      </c>
      <c r="BT160" s="12" t="s">
        <v>513</v>
      </c>
    </row>
    <row r="161" spans="1:72" ht="13.2">
      <c r="D161" s="32" t="s">
        <v>329</v>
      </c>
      <c r="F161" s="32"/>
      <c r="G161" s="32"/>
      <c r="H161" s="32"/>
      <c r="I161" s="32"/>
      <c r="J161" s="32"/>
      <c r="K161" s="32"/>
      <c r="L161" s="32"/>
      <c r="M161" s="32"/>
      <c r="N161" s="32"/>
      <c r="O161" s="2100" t="s">
        <v>2574</v>
      </c>
      <c r="P161" s="2100"/>
      <c r="Q161" s="2100"/>
      <c r="R161" s="2100"/>
      <c r="S161" s="2100"/>
      <c r="T161" s="2100"/>
      <c r="U161" s="2100"/>
      <c r="V161" s="2100"/>
      <c r="W161" s="2100"/>
      <c r="X161" s="2100"/>
      <c r="Y161" s="2100"/>
      <c r="Z161" s="2100"/>
      <c r="AA161" s="2100"/>
      <c r="AB161" s="2100"/>
      <c r="AC161" s="2100"/>
      <c r="AD161" s="2100"/>
      <c r="AE161" s="2100"/>
      <c r="AF161" s="2100"/>
      <c r="AG161" s="2100"/>
      <c r="AH161" s="2100"/>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248" t="s">
        <v>1464</v>
      </c>
      <c r="E164" s="2248"/>
      <c r="F164" s="2248"/>
      <c r="G164" s="2248"/>
      <c r="H164" s="2248"/>
      <c r="I164" s="2248"/>
      <c r="J164" s="2248"/>
      <c r="K164" s="2248"/>
      <c r="L164" s="2248"/>
      <c r="M164" s="2248"/>
      <c r="N164" s="2248"/>
      <c r="O164" s="2248"/>
      <c r="P164" s="2248"/>
      <c r="Q164" s="2248"/>
      <c r="R164" s="2248"/>
      <c r="S164" s="2248"/>
      <c r="T164" s="2248"/>
      <c r="U164" s="2248"/>
      <c r="V164" s="2248"/>
      <c r="W164" s="2248"/>
      <c r="X164" s="2248"/>
      <c r="Y164" s="2248"/>
      <c r="Z164" s="2248"/>
      <c r="AA164" s="2248"/>
      <c r="AB164" s="2248"/>
      <c r="AC164" s="2248"/>
      <c r="AD164" s="2248"/>
      <c r="AE164" s="2248"/>
      <c r="AF164" s="2248"/>
      <c r="AG164" s="2248"/>
      <c r="AH164" s="2248"/>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047" t="s">
        <v>573</v>
      </c>
      <c r="B169" s="2047"/>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144"/>
      <c r="AN169" s="144"/>
      <c r="AO169" s="144"/>
      <c r="AP169" s="144"/>
      <c r="AQ169" s="144"/>
      <c r="AR169" s="144"/>
      <c r="AS169" s="144"/>
      <c r="AT169" s="144"/>
      <c r="AU169" s="144"/>
      <c r="AV169" s="144"/>
      <c r="AW169" s="144"/>
      <c r="AX169" s="144"/>
      <c r="AY169" s="144"/>
      <c r="BN169" s="36" t="s">
        <v>711</v>
      </c>
      <c r="BT169" s="12" t="s">
        <v>522</v>
      </c>
    </row>
    <row r="170" spans="1:72" ht="13.8" thickBot="1">
      <c r="A170" s="2048"/>
      <c r="B170" s="2048"/>
      <c r="C170" s="2048"/>
      <c r="D170" s="2048"/>
      <c r="E170" s="2048"/>
      <c r="F170" s="2048"/>
      <c r="G170" s="2048"/>
      <c r="H170" s="2048"/>
      <c r="I170" s="2048"/>
      <c r="J170" s="2048"/>
      <c r="K170" s="2048"/>
      <c r="L170" s="2048"/>
      <c r="M170" s="2048"/>
      <c r="N170" s="2048"/>
      <c r="O170" s="2048"/>
      <c r="P170" s="2048"/>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3.2">
      <c r="A173" s="25"/>
      <c r="C173" s="38"/>
      <c r="D173" s="39" t="s">
        <v>332</v>
      </c>
      <c r="J173" s="2211" t="s">
        <v>391</v>
      </c>
      <c r="K173" s="2211"/>
      <c r="L173" s="2211"/>
      <c r="M173" s="2211"/>
      <c r="N173" s="2211"/>
      <c r="O173" s="2211"/>
      <c r="P173" s="2211"/>
      <c r="Q173" s="2211"/>
      <c r="R173" s="2211"/>
      <c r="S173" s="221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3.2">
      <c r="A174" s="25"/>
      <c r="C174" s="38"/>
      <c r="D174" s="58" t="s">
        <v>1416</v>
      </c>
      <c r="E174" s="25"/>
      <c r="F174" s="25"/>
      <c r="G174" s="25"/>
      <c r="H174" s="25"/>
      <c r="I174" s="25"/>
      <c r="J174" s="2021" t="s">
        <v>2473</v>
      </c>
      <c r="K174" s="2021"/>
      <c r="L174" s="2021"/>
      <c r="M174" s="2021"/>
      <c r="N174" s="2021"/>
      <c r="O174" s="2021"/>
      <c r="P174" s="2021"/>
      <c r="Q174" s="2021"/>
      <c r="R174" s="2021"/>
      <c r="S174" s="2021"/>
      <c r="T174" s="2021"/>
      <c r="U174" s="2021"/>
      <c r="V174" s="2021"/>
      <c r="W174" s="2021"/>
      <c r="X174" s="2021"/>
      <c r="Y174" s="2021"/>
      <c r="Z174" s="2021"/>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3.2">
      <c r="A175" s="25"/>
      <c r="C175" s="13"/>
      <c r="D175" s="58" t="s">
        <v>333</v>
      </c>
      <c r="F175" s="720"/>
      <c r="G175" s="720"/>
      <c r="H175" s="720"/>
      <c r="I175" s="720"/>
      <c r="J175" s="720"/>
      <c r="K175" s="720"/>
      <c r="L175" s="720"/>
      <c r="M175" s="720"/>
      <c r="N175" s="720"/>
      <c r="O175" s="42"/>
      <c r="Q175" s="25"/>
      <c r="R175" s="25"/>
      <c r="T175" s="720"/>
      <c r="U175" s="2022" t="s">
        <v>707</v>
      </c>
      <c r="V175" s="2022"/>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29"/>
      <c r="V176" s="2129"/>
      <c r="W176" s="4" t="s">
        <v>317</v>
      </c>
      <c r="X176" s="2212"/>
      <c r="Y176" s="2212"/>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3.2">
      <c r="A177" s="25"/>
      <c r="B177" s="12"/>
      <c r="C177" s="43"/>
      <c r="D177" s="25" t="s">
        <v>257</v>
      </c>
      <c r="E177" s="12"/>
      <c r="F177" s="12"/>
      <c r="G177" s="12"/>
      <c r="H177" s="12"/>
      <c r="I177" s="12"/>
      <c r="J177" s="12"/>
      <c r="K177" s="12"/>
      <c r="L177" s="12"/>
      <c r="M177" s="25"/>
      <c r="N177" s="12"/>
      <c r="O177" s="12"/>
      <c r="P177" s="12"/>
      <c r="Q177" s="12"/>
      <c r="R177" s="2022" t="s">
        <v>707</v>
      </c>
      <c r="S177" s="2022"/>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3.2">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3"/>
      <c r="AG178" s="2403"/>
      <c r="AH178" s="4" t="s">
        <v>317</v>
      </c>
      <c r="AI178" s="2197"/>
      <c r="AJ178" s="2197"/>
      <c r="AK178" s="219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466</v>
      </c>
      <c r="E180" s="25"/>
      <c r="X180" s="2022" t="s">
        <v>707</v>
      </c>
      <c r="Y180" s="2022"/>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2"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614</v>
      </c>
      <c r="E184" s="25"/>
      <c r="F184" s="25"/>
      <c r="G184" s="25"/>
      <c r="H184" s="25"/>
      <c r="I184" s="2030" t="str">
        <f>H18</f>
        <v>College Creek Apartments</v>
      </c>
      <c r="J184" s="2030"/>
      <c r="K184" s="2030"/>
      <c r="L184" s="2030"/>
      <c r="M184" s="2030"/>
      <c r="N184" s="2030"/>
      <c r="O184" s="2030"/>
      <c r="P184" s="2030"/>
      <c r="Q184" s="2030"/>
      <c r="R184" s="2030"/>
      <c r="S184" s="2030"/>
      <c r="T184" s="2030"/>
      <c r="U184" s="2030"/>
      <c r="V184" s="2030"/>
      <c r="W184" s="2030"/>
      <c r="X184" s="2030"/>
      <c r="Y184" s="2030"/>
      <c r="Z184" s="2030"/>
      <c r="AA184" s="2030"/>
      <c r="AB184" s="2030"/>
      <c r="AC184" s="2030"/>
      <c r="AD184" s="2030"/>
      <c r="AE184" s="2030"/>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3.2">
      <c r="A185" s="25"/>
      <c r="C185" s="45"/>
      <c r="D185" s="25" t="s">
        <v>615</v>
      </c>
      <c r="E185" s="25"/>
      <c r="F185" s="25"/>
      <c r="G185" s="25"/>
      <c r="H185" s="25"/>
      <c r="I185" s="2059" t="s">
        <v>2474</v>
      </c>
      <c r="J185" s="2059"/>
      <c r="K185" s="2059"/>
      <c r="L185" s="2059"/>
      <c r="M185" s="2059"/>
      <c r="N185" s="2059"/>
      <c r="O185" s="2059"/>
      <c r="P185" s="2059"/>
      <c r="Q185" s="2059"/>
      <c r="R185" s="2059"/>
      <c r="S185" s="2059"/>
      <c r="T185" s="2059"/>
      <c r="U185" s="2059"/>
      <c r="V185" s="2059"/>
      <c r="W185" s="2059"/>
      <c r="X185" s="2059"/>
      <c r="Y185" s="2059"/>
      <c r="Z185" s="2059"/>
      <c r="AA185" s="2059"/>
      <c r="AB185" s="2059"/>
      <c r="AC185" s="2059"/>
      <c r="AD185" s="2059"/>
      <c r="AE185" s="2059"/>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051"/>
      <c r="F187" s="2051"/>
      <c r="G187" s="2051"/>
      <c r="H187" s="2051"/>
      <c r="I187" s="2051"/>
      <c r="J187" s="2051"/>
      <c r="K187" s="2051"/>
      <c r="L187" s="2051"/>
      <c r="M187" s="2051"/>
      <c r="N187" s="2051"/>
      <c r="O187" s="2051"/>
      <c r="P187" s="2051"/>
      <c r="Q187" s="2051"/>
      <c r="R187" s="2051"/>
      <c r="S187" s="2051"/>
      <c r="T187" s="2051"/>
      <c r="U187" s="2051"/>
      <c r="V187" s="2051"/>
      <c r="W187" s="2051"/>
      <c r="X187" s="2051"/>
      <c r="Y187" s="2051"/>
      <c r="Z187" s="2051"/>
      <c r="AA187" s="2051"/>
      <c r="AB187" s="2051"/>
      <c r="AC187" s="2051"/>
      <c r="AD187" s="2051"/>
      <c r="AE187" s="205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052"/>
      <c r="F188" s="2052"/>
      <c r="G188" s="2052"/>
      <c r="H188" s="2052"/>
      <c r="I188" s="2052"/>
      <c r="J188" s="2052"/>
      <c r="K188" s="2052"/>
      <c r="L188" s="2052"/>
      <c r="M188" s="2052"/>
      <c r="N188" s="2052"/>
      <c r="O188" s="2052"/>
      <c r="P188" s="2052"/>
      <c r="Q188" s="2052"/>
      <c r="R188" s="2052"/>
      <c r="S188" s="2052"/>
      <c r="T188" s="2052"/>
      <c r="U188" s="2052"/>
      <c r="V188" s="2052"/>
      <c r="W188" s="2052"/>
      <c r="X188" s="2052"/>
      <c r="Y188" s="2052"/>
      <c r="Z188" s="2052"/>
      <c r="AA188" s="2052"/>
      <c r="AB188" s="2052"/>
      <c r="AC188" s="2052"/>
      <c r="AD188" s="2052"/>
      <c r="AE188" s="205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616</v>
      </c>
      <c r="E189" s="25"/>
      <c r="I189" s="2021" t="s">
        <v>2475</v>
      </c>
      <c r="J189" s="2021"/>
      <c r="K189" s="2021"/>
      <c r="L189" s="2021"/>
      <c r="M189" s="2021"/>
      <c r="N189" s="2021"/>
      <c r="O189" s="2021"/>
      <c r="P189" s="2021"/>
      <c r="Q189" s="25" t="s">
        <v>618</v>
      </c>
      <c r="T189" s="2021" t="s">
        <v>179</v>
      </c>
      <c r="U189" s="2021"/>
      <c r="V189" s="2021"/>
      <c r="W189" s="2021"/>
      <c r="X189" s="2021"/>
      <c r="Y189" s="2021"/>
      <c r="Z189" s="2021"/>
      <c r="AA189" s="2021"/>
      <c r="AB189" s="2021"/>
      <c r="AC189" s="2021"/>
      <c r="AD189" s="2021"/>
      <c r="AE189" s="2021"/>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3.2">
      <c r="A190" s="25"/>
      <c r="C190" s="46"/>
      <c r="D190" s="25" t="s">
        <v>619</v>
      </c>
      <c r="E190" s="25"/>
      <c r="F190" s="25"/>
      <c r="G190" s="25"/>
      <c r="I190" s="2059">
        <v>95401</v>
      </c>
      <c r="J190" s="2059"/>
      <c r="K190" s="2059"/>
      <c r="L190" s="2059"/>
      <c r="M190" s="2059"/>
      <c r="N190" s="2059"/>
      <c r="O190" s="25" t="s">
        <v>621</v>
      </c>
      <c r="P190" s="25"/>
      <c r="Q190" s="25"/>
      <c r="R190" s="25"/>
      <c r="S190" s="25"/>
      <c r="T190" s="2194">
        <v>1530.06</v>
      </c>
      <c r="U190" s="2194"/>
      <c r="V190" s="2194"/>
      <c r="W190" s="2194"/>
      <c r="X190" s="2194"/>
      <c r="Y190" s="2194"/>
      <c r="Z190" s="2194"/>
      <c r="AA190" s="2194"/>
      <c r="AB190" s="2194"/>
      <c r="AC190" s="2194"/>
      <c r="AD190" s="2194"/>
      <c r="AE190" s="2194"/>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2">
      <c r="A191" s="25"/>
      <c r="C191" s="46"/>
      <c r="D191" s="25" t="s">
        <v>496</v>
      </c>
      <c r="E191" s="25"/>
      <c r="F191" s="25"/>
      <c r="G191" s="25"/>
      <c r="H191" s="25"/>
      <c r="I191" s="25"/>
      <c r="J191" s="25"/>
      <c r="K191" s="25"/>
      <c r="L191" s="25"/>
      <c r="M191" s="25"/>
      <c r="N191" s="2051" t="s">
        <v>2476</v>
      </c>
      <c r="O191" s="2051"/>
      <c r="P191" s="2051"/>
      <c r="Q191" s="2051"/>
      <c r="R191" s="2051"/>
      <c r="S191" s="2051"/>
      <c r="T191" s="2051"/>
      <c r="U191" s="2051"/>
      <c r="V191" s="2051"/>
      <c r="W191" s="2051"/>
      <c r="X191" s="2051"/>
      <c r="Y191" s="2051"/>
      <c r="Z191" s="2051"/>
      <c r="AA191" s="2051"/>
      <c r="AB191" s="2051"/>
      <c r="AC191" s="2051"/>
      <c r="AD191" s="2051"/>
      <c r="AE191" s="2051"/>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2">
      <c r="A192" s="25"/>
      <c r="C192" s="46"/>
      <c r="D192" s="25"/>
      <c r="E192" s="25"/>
      <c r="F192" s="25"/>
      <c r="G192" s="25"/>
      <c r="H192" s="25"/>
      <c r="I192" s="25"/>
      <c r="J192" s="25"/>
      <c r="K192" s="25"/>
      <c r="L192" s="25"/>
      <c r="M192" s="170"/>
      <c r="N192" s="2052"/>
      <c r="O192" s="2052"/>
      <c r="P192" s="2052"/>
      <c r="Q192" s="2052"/>
      <c r="R192" s="2052"/>
      <c r="S192" s="2052"/>
      <c r="T192" s="2052"/>
      <c r="U192" s="2052"/>
      <c r="V192" s="2052"/>
      <c r="W192" s="2052"/>
      <c r="X192" s="2052"/>
      <c r="Y192" s="2052"/>
      <c r="Z192" s="2052"/>
      <c r="AA192" s="2052"/>
      <c r="AB192" s="2052"/>
      <c r="AC192" s="2052"/>
      <c r="AD192" s="2052"/>
      <c r="AE192" s="2052"/>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1990</v>
      </c>
      <c r="BN192" s="36" t="s">
        <v>728</v>
      </c>
      <c r="BT192" s="12" t="s">
        <v>772</v>
      </c>
    </row>
    <row r="193" spans="1:96" ht="13.2">
      <c r="A193" s="25"/>
      <c r="B193" s="720"/>
      <c r="C193" s="46"/>
      <c r="D193" s="688" t="s">
        <v>2028</v>
      </c>
      <c r="E193" s="25"/>
      <c r="F193" s="25"/>
      <c r="G193" s="25"/>
      <c r="H193" s="25"/>
      <c r="I193" s="25"/>
      <c r="J193" s="25"/>
      <c r="K193" s="25"/>
      <c r="L193" s="25"/>
      <c r="M193" s="170"/>
      <c r="N193" s="1520"/>
      <c r="O193" s="1520"/>
      <c r="P193" s="1520"/>
      <c r="Q193" s="1520"/>
      <c r="R193" s="1520"/>
      <c r="S193" s="1520"/>
      <c r="T193" s="2206" t="s">
        <v>2530</v>
      </c>
      <c r="U193" s="2206"/>
      <c r="V193" s="2206"/>
      <c r="W193" s="2206"/>
      <c r="X193" s="2206"/>
      <c r="Y193" s="2206"/>
      <c r="Z193" s="2206"/>
      <c r="AA193" s="2206"/>
      <c r="AB193" s="2206"/>
      <c r="AC193" s="2206"/>
      <c r="AD193" s="2206"/>
      <c r="AE193" s="2206"/>
      <c r="AF193" s="2206"/>
      <c r="AG193" s="2206"/>
      <c r="AH193" s="2206"/>
      <c r="AI193" s="2206"/>
      <c r="AJ193" s="682"/>
      <c r="AK193" s="682"/>
      <c r="AL193" s="682"/>
      <c r="AM193" s="682"/>
      <c r="AN193" s="682"/>
      <c r="AO193" s="682"/>
      <c r="AP193" s="682"/>
      <c r="AQ193" s="682"/>
      <c r="AR193" s="682"/>
      <c r="AS193" s="682"/>
      <c r="AT193" s="682"/>
      <c r="AU193" s="682"/>
      <c r="AV193" s="682"/>
      <c r="AW193" s="682"/>
      <c r="AX193" s="682"/>
      <c r="AY193" s="682"/>
      <c r="BC193" s="720" t="s">
        <v>1159</v>
      </c>
      <c r="BH193" s="58" t="s">
        <v>1991</v>
      </c>
      <c r="BN193" s="36" t="s">
        <v>729</v>
      </c>
      <c r="BT193" s="12" t="s">
        <v>773</v>
      </c>
    </row>
    <row r="194" spans="1:96" ht="13.2">
      <c r="A194" s="25"/>
      <c r="C194" s="46"/>
      <c r="D194" s="25" t="s">
        <v>342</v>
      </c>
      <c r="E194" s="25"/>
      <c r="F194" s="25"/>
      <c r="G194" s="25"/>
      <c r="H194" s="25"/>
      <c r="I194" s="25"/>
      <c r="J194" s="25"/>
      <c r="K194" s="25"/>
      <c r="L194" s="25"/>
      <c r="M194" s="25"/>
      <c r="N194" s="25"/>
      <c r="O194" s="25"/>
      <c r="P194" s="25"/>
      <c r="Q194" s="25"/>
      <c r="R194" s="25"/>
      <c r="T194" s="2022" t="s">
        <v>707</v>
      </c>
      <c r="U194" s="2022"/>
      <c r="W194" s="25" t="s">
        <v>723</v>
      </c>
      <c r="X194" s="25"/>
      <c r="Y194" s="25"/>
      <c r="Z194" s="25"/>
      <c r="AA194" s="25"/>
      <c r="AB194" s="25"/>
      <c r="AC194" s="25"/>
      <c r="AD194" s="25"/>
      <c r="AE194" s="25"/>
      <c r="AF194" s="25"/>
      <c r="AG194" s="25"/>
      <c r="AH194" s="2022">
        <v>5</v>
      </c>
      <c r="AI194" s="2022"/>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027" t="s">
        <v>707</v>
      </c>
      <c r="U195" s="2027"/>
      <c r="V195" s="12"/>
      <c r="W195" s="25" t="s">
        <v>724</v>
      </c>
      <c r="X195" s="25"/>
      <c r="Y195" s="25"/>
      <c r="Z195" s="25"/>
      <c r="AA195" s="25"/>
      <c r="AB195" s="25"/>
      <c r="AC195" s="25"/>
      <c r="AD195" s="25"/>
      <c r="AE195" s="25"/>
      <c r="AF195" s="25"/>
      <c r="AG195" s="25"/>
      <c r="AH195" s="2022">
        <v>10</v>
      </c>
      <c r="AI195" s="2022"/>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3.2">
      <c r="A196" s="25"/>
      <c r="C196" s="46"/>
      <c r="D196" s="177" t="s">
        <v>174</v>
      </c>
      <c r="E196" s="25"/>
      <c r="F196" s="25"/>
      <c r="G196" s="25"/>
      <c r="H196" s="25"/>
      <c r="I196" s="25"/>
      <c r="J196" s="25"/>
      <c r="K196" s="25"/>
      <c r="L196" s="25"/>
      <c r="M196" s="25"/>
      <c r="N196" s="25"/>
      <c r="O196" s="25"/>
      <c r="P196" s="25"/>
      <c r="Q196" s="25"/>
      <c r="R196" s="25"/>
      <c r="T196" s="2027" t="s">
        <v>707</v>
      </c>
      <c r="U196" s="2027"/>
      <c r="W196" s="25" t="s">
        <v>725</v>
      </c>
      <c r="X196" s="25"/>
      <c r="Y196" s="25"/>
      <c r="Z196" s="25"/>
      <c r="AA196" s="25"/>
      <c r="AB196" s="25"/>
      <c r="AC196" s="25"/>
      <c r="AD196" s="25"/>
      <c r="AE196" s="25"/>
      <c r="AF196" s="25"/>
      <c r="AG196" s="25"/>
      <c r="AH196" s="2022">
        <v>2</v>
      </c>
      <c r="AI196" s="2022"/>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27" t="s">
        <v>2560</v>
      </c>
      <c r="U197" s="202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22" t="s">
        <v>707</v>
      </c>
      <c r="Z198" s="2022"/>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30" t="s">
        <v>405</v>
      </c>
      <c r="E203" s="2030"/>
      <c r="F203" s="2030"/>
      <c r="G203" s="2030"/>
      <c r="H203" s="2030"/>
      <c r="I203" s="2030"/>
      <c r="J203" s="2030"/>
      <c r="K203" s="2030"/>
      <c r="L203" s="2030"/>
      <c r="M203" s="2030"/>
      <c r="P203" s="2243">
        <f>M26</f>
        <v>2282137</v>
      </c>
      <c r="Q203" s="2244"/>
      <c r="R203" s="2244"/>
      <c r="S203" s="2244"/>
      <c r="T203" s="2244"/>
      <c r="U203" s="2244"/>
      <c r="V203" s="25"/>
      <c r="W203" s="25"/>
      <c r="X203" s="25"/>
      <c r="Y203" s="25"/>
      <c r="Z203" s="2209" t="s">
        <v>2509</v>
      </c>
      <c r="AA203" s="2209"/>
      <c r="AB203" s="2209"/>
      <c r="AC203" s="2209"/>
      <c r="AD203" s="2209"/>
      <c r="AE203" s="2209"/>
      <c r="AF203" s="220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207" t="s">
        <v>1486</v>
      </c>
      <c r="E204" s="2030"/>
      <c r="F204" s="2030"/>
      <c r="G204" s="2030"/>
      <c r="H204" s="2030"/>
      <c r="I204" s="2030"/>
      <c r="J204" s="2030"/>
      <c r="K204" s="2030"/>
      <c r="L204" s="2030"/>
      <c r="M204" s="2030"/>
      <c r="P204" s="2244">
        <f>M27</f>
        <v>7702199</v>
      </c>
      <c r="Q204" s="2244"/>
      <c r="R204" s="2244"/>
      <c r="S204" s="2244"/>
      <c r="T204" s="2244"/>
      <c r="U204" s="2244"/>
      <c r="V204" s="47"/>
      <c r="W204" s="58" t="s">
        <v>2234</v>
      </c>
      <c r="Z204" s="2209"/>
      <c r="AA204" s="2209"/>
      <c r="AB204" s="2209"/>
      <c r="AC204" s="2209"/>
      <c r="AD204" s="2209"/>
      <c r="AE204" s="2209"/>
      <c r="AF204" s="2209"/>
      <c r="AG204" s="25" t="s">
        <v>1487</v>
      </c>
      <c r="AH204" s="25"/>
      <c r="AI204" s="25"/>
      <c r="AJ204" s="25"/>
      <c r="AK204" s="25"/>
      <c r="AL204" s="25"/>
      <c r="AM204" s="25"/>
      <c r="AN204" s="25"/>
      <c r="AO204" s="25"/>
      <c r="AP204" s="2022" t="s">
        <v>707</v>
      </c>
      <c r="AQ204" s="2022"/>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0"/>
      <c r="AA205" s="2210"/>
      <c r="AB205" s="2210"/>
      <c r="AC205" s="2210"/>
      <c r="AD205" s="2210"/>
      <c r="AE205" s="2210"/>
      <c r="AF205" s="221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2">
      <c r="A207" s="25"/>
      <c r="C207" s="45"/>
      <c r="D207" s="2105" t="s">
        <v>2510</v>
      </c>
      <c r="E207" s="2105"/>
      <c r="F207" s="2105"/>
      <c r="G207" s="2105"/>
      <c r="H207" s="2105"/>
      <c r="I207" s="2105"/>
      <c r="J207" s="2105"/>
      <c r="K207" s="2105"/>
      <c r="L207" s="2105"/>
      <c r="M207" s="210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2">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3.2">
      <c r="C210" s="45"/>
      <c r="D210" s="2105" t="s">
        <v>2450</v>
      </c>
      <c r="E210" s="2105"/>
      <c r="F210" s="2105"/>
      <c r="G210" s="2105"/>
      <c r="H210" s="2105"/>
      <c r="I210" s="2105"/>
      <c r="J210" s="2105"/>
      <c r="K210" s="2105"/>
      <c r="L210" s="2105"/>
      <c r="M210" s="2105"/>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22"/>
      <c r="Z211" s="2022"/>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087" t="s">
        <v>627</v>
      </c>
      <c r="E213" s="2087"/>
      <c r="F213" s="2087"/>
      <c r="G213" s="2087"/>
      <c r="H213" s="2087"/>
      <c r="I213" s="2087"/>
      <c r="J213" s="2087"/>
      <c r="K213" s="2087"/>
      <c r="L213" s="2087"/>
      <c r="M213" s="2087"/>
      <c r="N213" s="2087"/>
      <c r="O213" s="2087"/>
      <c r="P213" s="2087"/>
      <c r="Q213" s="2087"/>
      <c r="R213" s="2087"/>
      <c r="S213" s="2087"/>
      <c r="T213" s="2087"/>
      <c r="U213" s="2087"/>
      <c r="V213" s="2087"/>
      <c r="W213" s="2087"/>
      <c r="X213" s="2087"/>
      <c r="Y213" s="2087"/>
      <c r="Z213" s="208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3.2">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4"/>
      <c r="AC214" s="2084"/>
      <c r="AD214" s="2084"/>
      <c r="AE214" s="2084"/>
      <c r="AF214" s="2084"/>
      <c r="AG214" s="2084"/>
      <c r="AH214" s="2084"/>
      <c r="AI214" s="2084"/>
      <c r="AJ214" s="2084"/>
      <c r="AK214" s="2084"/>
      <c r="AL214" s="2084"/>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2019</v>
      </c>
      <c r="Z215" s="69"/>
      <c r="AB215" s="2084"/>
      <c r="AC215" s="2084"/>
      <c r="AD215" s="2084"/>
      <c r="AE215" s="2084"/>
      <c r="AF215" s="2084"/>
      <c r="AG215" s="2084"/>
      <c r="AH215" s="2084"/>
      <c r="AI215" s="2084"/>
      <c r="AJ215" s="2084"/>
      <c r="AK215" s="2084"/>
      <c r="AL215" s="2084"/>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2">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2">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105" t="s">
        <v>1187</v>
      </c>
      <c r="E219" s="2105"/>
      <c r="F219" s="2105"/>
      <c r="G219" s="2105"/>
      <c r="H219" s="2105"/>
      <c r="I219" s="2105"/>
      <c r="J219" s="2105"/>
      <c r="K219" s="2105"/>
      <c r="L219" s="2105"/>
      <c r="M219" s="2105"/>
      <c r="N219" s="2105"/>
      <c r="O219" s="2105"/>
      <c r="P219" s="2105"/>
      <c r="Q219" s="2105"/>
      <c r="R219" s="2105"/>
      <c r="S219" s="2105"/>
      <c r="T219" s="2105"/>
      <c r="U219" s="2105"/>
      <c r="V219" s="2105"/>
      <c r="W219" s="2105"/>
      <c r="X219" s="2105"/>
      <c r="Y219" s="2105"/>
      <c r="Z219" s="2105"/>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047" t="s">
        <v>574</v>
      </c>
      <c r="B221" s="2047"/>
      <c r="C221" s="2047"/>
      <c r="D221" s="2047"/>
      <c r="E221" s="2047"/>
      <c r="F221" s="2047"/>
      <c r="G221" s="2047"/>
      <c r="H221" s="2047"/>
      <c r="I221" s="2047"/>
      <c r="J221" s="2047"/>
      <c r="K221" s="2047"/>
      <c r="L221" s="2047"/>
      <c r="M221" s="2047"/>
      <c r="N221" s="2047"/>
      <c r="O221" s="2047"/>
      <c r="P221" s="2047"/>
      <c r="Q221" s="2047"/>
      <c r="R221" s="2047"/>
      <c r="S221" s="2047"/>
      <c r="T221" s="2047"/>
      <c r="U221" s="2047"/>
      <c r="V221" s="2047"/>
      <c r="W221" s="2047"/>
      <c r="X221" s="2047"/>
      <c r="Y221" s="2047"/>
      <c r="Z221" s="2047"/>
      <c r="AA221" s="2047"/>
      <c r="AB221" s="2047"/>
      <c r="AC221" s="2047"/>
      <c r="AD221" s="2047"/>
      <c r="AE221" s="2047"/>
      <c r="AF221" s="2047"/>
      <c r="AG221" s="2047"/>
      <c r="AH221" s="2047"/>
      <c r="AI221" s="2047"/>
      <c r="AJ221" s="2047"/>
      <c r="AK221" s="2047"/>
      <c r="AL221" s="2047"/>
      <c r="AM221" s="144"/>
      <c r="AN221" s="144"/>
      <c r="AO221" s="144"/>
      <c r="AP221" s="144"/>
      <c r="AQ221" s="144"/>
      <c r="AR221" s="144"/>
      <c r="AS221" s="144"/>
      <c r="AT221" s="144"/>
      <c r="AU221" s="144"/>
      <c r="AV221" s="144"/>
      <c r="AW221" s="144"/>
      <c r="AX221" s="144"/>
      <c r="AY221" s="144"/>
      <c r="BA221" s="58"/>
    </row>
    <row r="222" spans="1:96" ht="13.8" thickBot="1">
      <c r="A222" s="2048"/>
      <c r="B222" s="2048"/>
      <c r="C222" s="2048"/>
      <c r="D222" s="2048"/>
      <c r="E222" s="2048"/>
      <c r="F222" s="2048"/>
      <c r="G222" s="2048"/>
      <c r="H222" s="2048"/>
      <c r="I222" s="2048"/>
      <c r="J222" s="2048"/>
      <c r="K222" s="2048"/>
      <c r="L222" s="2048"/>
      <c r="M222" s="2048"/>
      <c r="N222" s="2048"/>
      <c r="O222" s="2048"/>
      <c r="P222" s="2048"/>
      <c r="Q222" s="2048"/>
      <c r="R222" s="2048"/>
      <c r="S222" s="2048"/>
      <c r="T222" s="2048"/>
      <c r="U222" s="2048"/>
      <c r="V222" s="2048"/>
      <c r="W222" s="2048"/>
      <c r="X222" s="2048"/>
      <c r="Y222" s="2048"/>
      <c r="Z222" s="2048"/>
      <c r="AA222" s="2048"/>
      <c r="AB222" s="2048"/>
      <c r="AC222" s="2048"/>
      <c r="AD222" s="2048"/>
      <c r="AE222" s="2048"/>
      <c r="AF222" s="2048"/>
      <c r="AG222" s="2048"/>
      <c r="AH222" s="2048"/>
      <c r="AI222" s="2048"/>
      <c r="AJ222" s="2048"/>
      <c r="AK222" s="2048"/>
      <c r="AL222" s="204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2" t="s">
        <v>627</v>
      </c>
      <c r="AJ225" s="2022"/>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2" t="s">
        <v>627</v>
      </c>
      <c r="AJ226" s="2022"/>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2" t="s">
        <v>579</v>
      </c>
      <c r="AJ227" s="2022"/>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2" t="s">
        <v>627</v>
      </c>
      <c r="AJ228" s="2022"/>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3.2">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3.2">
      <c r="D231" s="57" t="s">
        <v>504</v>
      </c>
      <c r="E231" s="57"/>
      <c r="F231" s="57"/>
      <c r="G231" s="57"/>
      <c r="H231" s="57"/>
      <c r="I231" s="57"/>
      <c r="J231" s="57"/>
      <c r="K231" s="7"/>
      <c r="M231" s="2215" t="str">
        <f>H16</f>
        <v>USA Properties Fund, Inc.</v>
      </c>
      <c r="N231" s="2215"/>
      <c r="O231" s="2215"/>
      <c r="P231" s="2215"/>
      <c r="Q231" s="2215"/>
      <c r="R231" s="2215"/>
      <c r="S231" s="2215"/>
      <c r="T231" s="2215"/>
      <c r="U231" s="2215"/>
      <c r="V231" s="2215"/>
      <c r="W231" s="2215"/>
      <c r="X231" s="2215"/>
      <c r="Y231" s="2215"/>
      <c r="Z231" s="2215"/>
      <c r="AA231" s="2215"/>
      <c r="AB231" s="2215"/>
      <c r="AC231" s="2215"/>
      <c r="AD231" s="2215"/>
      <c r="AE231" s="2215"/>
      <c r="AF231" s="2215"/>
      <c r="AG231" s="2215"/>
      <c r="AH231" s="2215"/>
      <c r="AI231" s="2215"/>
      <c r="AJ231" s="2215"/>
      <c r="AK231" s="2215"/>
      <c r="BA231" s="58"/>
      <c r="BB231" s="385"/>
      <c r="BG231" s="388"/>
      <c r="BQ231" s="61"/>
    </row>
    <row r="232" spans="1:69" ht="13.2">
      <c r="D232" s="57" t="s">
        <v>90</v>
      </c>
      <c r="E232" s="57"/>
      <c r="F232" s="57"/>
      <c r="G232" s="57"/>
      <c r="H232" s="57"/>
      <c r="I232" s="57"/>
      <c r="J232" s="57"/>
      <c r="K232" s="7"/>
      <c r="M232" s="2029" t="s">
        <v>2477</v>
      </c>
      <c r="N232" s="2105"/>
      <c r="O232" s="2105"/>
      <c r="P232" s="2105"/>
      <c r="Q232" s="2105"/>
      <c r="R232" s="2105"/>
      <c r="S232" s="2105"/>
      <c r="T232" s="2105"/>
      <c r="U232" s="2105"/>
      <c r="V232" s="2105"/>
      <c r="W232" s="2105"/>
      <c r="X232" s="2105"/>
      <c r="Y232" s="2105"/>
      <c r="Z232" s="2105"/>
      <c r="AA232" s="2105"/>
      <c r="AB232" s="2105"/>
      <c r="AC232" s="2105"/>
      <c r="AD232" s="2105"/>
      <c r="AE232" s="2105"/>
      <c r="AZ232" s="7"/>
      <c r="BA232" s="58"/>
      <c r="BB232" s="335" t="s">
        <v>572</v>
      </c>
      <c r="BG232" s="390">
        <f>IF(AND(AND($M$248="nonprofit",$M$256="nonprofit",$M$264="for profit")),2,0)</f>
        <v>0</v>
      </c>
      <c r="BQ232" s="61"/>
    </row>
    <row r="233" spans="1:69" ht="13.2">
      <c r="D233" s="57" t="s">
        <v>616</v>
      </c>
      <c r="E233" s="57"/>
      <c r="M233" s="2029" t="s">
        <v>2470</v>
      </c>
      <c r="N233" s="2105"/>
      <c r="O233" s="2105"/>
      <c r="P233" s="2105"/>
      <c r="Q233" s="2105"/>
      <c r="R233" s="2105"/>
      <c r="S233" s="2105"/>
      <c r="T233" s="2105"/>
      <c r="V233" s="59" t="s">
        <v>91</v>
      </c>
      <c r="W233" s="2056" t="s">
        <v>2478</v>
      </c>
      <c r="X233" s="2134"/>
      <c r="Y233" s="57" t="s">
        <v>619</v>
      </c>
      <c r="AC233" s="2105">
        <v>95661</v>
      </c>
      <c r="AD233" s="2105"/>
      <c r="AE233" s="2105"/>
      <c r="BB233" s="335" t="s">
        <v>572</v>
      </c>
      <c r="BG233" s="390">
        <f>IF(AND(AND($M$248="nonprofit",$M$256="for profit",$M$264="nonprofit")),2,0)</f>
        <v>0</v>
      </c>
    </row>
    <row r="234" spans="1:69" ht="13.2">
      <c r="D234" s="60" t="s">
        <v>92</v>
      </c>
      <c r="E234" s="7"/>
      <c r="F234" s="7"/>
      <c r="G234" s="7"/>
      <c r="H234" s="7"/>
      <c r="I234" s="7"/>
      <c r="J234" s="7"/>
      <c r="K234" s="29"/>
      <c r="M234" s="2029" t="s">
        <v>2471</v>
      </c>
      <c r="N234" s="2105"/>
      <c r="O234" s="2105"/>
      <c r="P234" s="2105"/>
      <c r="Q234" s="2105"/>
      <c r="R234" s="2105"/>
      <c r="S234" s="2105"/>
      <c r="T234" s="2105"/>
      <c r="U234" s="2105"/>
      <c r="V234" s="2105"/>
      <c r="W234" s="2105"/>
      <c r="X234" s="2105"/>
      <c r="Y234" s="2105"/>
      <c r="Z234" s="2105"/>
      <c r="AA234" s="2105"/>
      <c r="AB234" s="2105"/>
      <c r="AC234" s="2105"/>
      <c r="AD234" s="2105"/>
      <c r="AE234" s="2105"/>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2">
      <c r="D235" s="60" t="s">
        <v>93</v>
      </c>
      <c r="E235" s="7"/>
      <c r="F235" s="7"/>
      <c r="M235" s="2094">
        <v>9167243836</v>
      </c>
      <c r="N235" s="2094"/>
      <c r="O235" s="2094"/>
      <c r="P235" s="2094"/>
      <c r="Q235" s="2094"/>
      <c r="R235" s="2094"/>
      <c r="S235" s="7" t="s">
        <v>212</v>
      </c>
      <c r="T235" s="7"/>
      <c r="U235" s="2134"/>
      <c r="V235" s="2134"/>
      <c r="W235" s="2134"/>
      <c r="X235" s="7" t="s">
        <v>94</v>
      </c>
      <c r="Z235" s="2094">
        <v>9167735866</v>
      </c>
      <c r="AA235" s="2094"/>
      <c r="AB235" s="2094"/>
      <c r="AC235" s="2094"/>
      <c r="AD235" s="2094"/>
      <c r="AE235" s="2094"/>
      <c r="BB235" s="386"/>
      <c r="BG235" s="387"/>
    </row>
    <row r="236" spans="1:69" ht="13.2">
      <c r="D236" s="60" t="s">
        <v>95</v>
      </c>
      <c r="E236" s="7"/>
      <c r="F236" s="7"/>
      <c r="M236" s="2100" t="s">
        <v>2479</v>
      </c>
      <c r="N236" s="2100"/>
      <c r="O236" s="2100"/>
      <c r="P236" s="2100"/>
      <c r="Q236" s="2100"/>
      <c r="R236" s="2100"/>
      <c r="S236" s="2100"/>
      <c r="T236" s="2100"/>
      <c r="U236" s="2100"/>
      <c r="V236" s="2100"/>
      <c r="W236" s="2100"/>
      <c r="X236" s="2100"/>
      <c r="Y236" s="2100"/>
      <c r="Z236" s="2100"/>
      <c r="AA236" s="2100"/>
      <c r="AB236" s="2100"/>
      <c r="AC236" s="2100"/>
      <c r="AD236" s="2100"/>
      <c r="AE236" s="210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2">
      <c r="A237" s="50" t="s">
        <v>622</v>
      </c>
      <c r="C237" s="37" t="s">
        <v>559</v>
      </c>
      <c r="M237" s="2059" t="s">
        <v>560</v>
      </c>
      <c r="N237" s="2059"/>
      <c r="O237" s="2059"/>
      <c r="P237" s="2059"/>
      <c r="Q237" s="2059"/>
      <c r="R237" s="2059"/>
      <c r="S237" s="2059"/>
      <c r="T237" s="2059"/>
      <c r="U237" s="388" t="s">
        <v>978</v>
      </c>
      <c r="V237" s="326"/>
      <c r="W237" s="326"/>
      <c r="X237" s="326"/>
      <c r="Y237" s="326"/>
      <c r="Z237" s="326"/>
      <c r="AA237" s="2192" t="s">
        <v>627</v>
      </c>
      <c r="AB237" s="2193"/>
      <c r="AC237" s="2193"/>
      <c r="AD237" s="2193"/>
      <c r="AE237" s="2193"/>
      <c r="AF237" s="2193"/>
      <c r="AG237" s="2193"/>
      <c r="AH237" s="2193"/>
      <c r="AI237" s="2193"/>
      <c r="AJ237" s="2193"/>
      <c r="AK237" s="2193"/>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2">
      <c r="D238" s="12" t="s">
        <v>565</v>
      </c>
      <c r="M238" s="2021"/>
      <c r="N238" s="2021"/>
      <c r="O238" s="2021"/>
      <c r="P238" s="2021"/>
      <c r="Q238" s="2021"/>
      <c r="R238" s="2021"/>
      <c r="S238" s="2021"/>
      <c r="T238" s="2021"/>
      <c r="U238" s="2021"/>
      <c r="V238" s="2021"/>
      <c r="W238" s="2021"/>
      <c r="X238" s="2021"/>
      <c r="Y238" s="2021"/>
      <c r="Z238" s="2021"/>
      <c r="AA238" s="2021"/>
      <c r="AB238" s="2021"/>
      <c r="AC238" s="2021"/>
      <c r="AD238" s="2021"/>
      <c r="AE238" s="202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3.2">
      <c r="D239" s="60"/>
      <c r="K239" s="3"/>
      <c r="BB239" s="384" t="s">
        <v>945</v>
      </c>
      <c r="BG239" s="390">
        <f>IF(AND(AND($M$248="for profit",$M$256="for profit",$M$264="(select one)")),3,0)</f>
        <v>0</v>
      </c>
    </row>
    <row r="240" spans="1:69" ht="13.2">
      <c r="A240" s="50" t="s">
        <v>625</v>
      </c>
      <c r="C240" s="50" t="s">
        <v>1386</v>
      </c>
      <c r="D240" s="60"/>
      <c r="K240" s="3"/>
      <c r="L240" s="14"/>
      <c r="M240" s="14"/>
      <c r="N240" s="14"/>
      <c r="BB240" s="384" t="s">
        <v>945</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2">
      <c r="A242" s="29"/>
      <c r="B242" s="7"/>
      <c r="C242" s="136" t="s">
        <v>507</v>
      </c>
      <c r="D242" s="57" t="s">
        <v>566</v>
      </c>
      <c r="E242" s="57"/>
      <c r="F242" s="57"/>
      <c r="G242" s="57"/>
      <c r="H242" s="57"/>
      <c r="I242" s="57"/>
      <c r="J242" s="57"/>
      <c r="K242" s="57"/>
      <c r="L242" s="7"/>
      <c r="M242" s="2103" t="s">
        <v>2480</v>
      </c>
      <c r="N242" s="2102"/>
      <c r="O242" s="2102"/>
      <c r="P242" s="2102"/>
      <c r="Q242" s="2102"/>
      <c r="R242" s="2102"/>
      <c r="S242" s="2102"/>
      <c r="T242" s="2102"/>
      <c r="U242" s="2102"/>
      <c r="V242" s="2102"/>
      <c r="W242" s="2102"/>
      <c r="X242" s="2102"/>
      <c r="Y242" s="2102"/>
      <c r="Z242" s="2102"/>
      <c r="AA242" s="2102"/>
      <c r="AB242" s="2102"/>
      <c r="AC242" s="2102"/>
      <c r="AD242" s="2102"/>
      <c r="AE242" s="2102"/>
      <c r="AF242" s="2102" t="s">
        <v>2481</v>
      </c>
      <c r="AG242" s="2102"/>
      <c r="AH242" s="2102"/>
      <c r="AI242" s="2102"/>
      <c r="AJ242" s="2102"/>
      <c r="AK242" s="2102"/>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29" t="s">
        <v>2539</v>
      </c>
      <c r="N243" s="2105"/>
      <c r="O243" s="2105"/>
      <c r="P243" s="2105"/>
      <c r="Q243" s="2105"/>
      <c r="R243" s="2105"/>
      <c r="S243" s="2105"/>
      <c r="T243" s="2105"/>
      <c r="U243" s="2105"/>
      <c r="V243" s="2105"/>
      <c r="W243" s="2105"/>
      <c r="X243" s="2105"/>
      <c r="Y243" s="2105"/>
      <c r="Z243" s="2105"/>
      <c r="AA243" s="2105"/>
      <c r="AB243" s="2105"/>
      <c r="AC243" s="2105"/>
      <c r="AD243" s="2105"/>
      <c r="AE243" s="2105"/>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616</v>
      </c>
      <c r="E244" s="57"/>
      <c r="M244" s="2029" t="s">
        <v>2540</v>
      </c>
      <c r="N244" s="2105"/>
      <c r="O244" s="2105"/>
      <c r="P244" s="2105"/>
      <c r="Q244" s="2105"/>
      <c r="R244" s="2105"/>
      <c r="S244" s="2105"/>
      <c r="T244" s="2105"/>
      <c r="V244" s="59" t="s">
        <v>91</v>
      </c>
      <c r="W244" s="2056" t="s">
        <v>2478</v>
      </c>
      <c r="X244" s="2134"/>
      <c r="Y244" s="57" t="s">
        <v>619</v>
      </c>
      <c r="AC244" s="2029">
        <v>92780</v>
      </c>
      <c r="AD244" s="2029"/>
      <c r="AE244" s="2029"/>
      <c r="AF244" s="58" t="s">
        <v>1383</v>
      </c>
      <c r="AG244" s="720"/>
      <c r="AH244" s="720"/>
      <c r="AI244" s="720"/>
      <c r="AJ244" s="720"/>
      <c r="AK244" s="720"/>
      <c r="BB244" s="12" t="s">
        <v>318</v>
      </c>
      <c r="BG244" s="12">
        <v>1</v>
      </c>
      <c r="BH244" s="12" t="s">
        <v>568</v>
      </c>
      <c r="BM244" s="25"/>
      <c r="BN244" s="3"/>
      <c r="BO244" s="3"/>
    </row>
    <row r="245" spans="1:72" ht="13.2">
      <c r="A245" s="29"/>
      <c r="B245" s="7"/>
      <c r="C245" s="7"/>
      <c r="D245" s="60" t="s">
        <v>92</v>
      </c>
      <c r="E245" s="7"/>
      <c r="F245" s="7"/>
      <c r="G245" s="7"/>
      <c r="H245" s="7"/>
      <c r="I245" s="7"/>
      <c r="J245" s="7"/>
      <c r="K245" s="7"/>
      <c r="L245" s="29"/>
      <c r="M245" s="2029" t="s">
        <v>2541</v>
      </c>
      <c r="N245" s="2105"/>
      <c r="O245" s="2105"/>
      <c r="P245" s="2105"/>
      <c r="Q245" s="2105"/>
      <c r="R245" s="2105"/>
      <c r="S245" s="2105"/>
      <c r="T245" s="2105"/>
      <c r="U245" s="2105"/>
      <c r="V245" s="2105"/>
      <c r="W245" s="2105"/>
      <c r="X245" s="2105"/>
      <c r="Y245" s="2105"/>
      <c r="Z245" s="2105"/>
      <c r="AA245" s="2105"/>
      <c r="AB245" s="2105"/>
      <c r="AC245" s="2105"/>
      <c r="AD245" s="2105"/>
      <c r="AE245" s="2105"/>
      <c r="AH245" s="2203">
        <v>1E-3</v>
      </c>
      <c r="AI245" s="2203"/>
      <c r="AJ245" s="2203"/>
      <c r="AK245" s="2203"/>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3.2">
      <c r="A246" s="29"/>
      <c r="B246" s="7"/>
      <c r="C246" s="7"/>
      <c r="D246" s="60" t="s">
        <v>93</v>
      </c>
      <c r="E246" s="7"/>
      <c r="F246" s="7"/>
      <c r="M246" s="2094">
        <v>7146281654</v>
      </c>
      <c r="N246" s="2094"/>
      <c r="O246" s="2094"/>
      <c r="P246" s="2094"/>
      <c r="Q246" s="2094"/>
      <c r="R246" s="2094"/>
      <c r="S246" s="7" t="s">
        <v>212</v>
      </c>
      <c r="T246" s="7"/>
      <c r="U246" s="2134"/>
      <c r="V246" s="2134"/>
      <c r="W246" s="2134"/>
      <c r="X246" s="7" t="s">
        <v>94</v>
      </c>
      <c r="Z246" s="2094"/>
      <c r="AA246" s="2094"/>
      <c r="AB246" s="2094"/>
      <c r="AC246" s="2094"/>
      <c r="AD246" s="2094"/>
      <c r="AE246" s="2094"/>
      <c r="BB246" s="7" t="s">
        <v>178</v>
      </c>
      <c r="BG246" s="12">
        <v>3</v>
      </c>
      <c r="BH246" s="12" t="s">
        <v>570</v>
      </c>
      <c r="BN246" s="391"/>
      <c r="BO246" s="39"/>
    </row>
    <row r="247" spans="1:72" ht="13.2">
      <c r="A247" s="29"/>
      <c r="B247" s="7"/>
      <c r="C247" s="7"/>
      <c r="D247" s="60" t="s">
        <v>95</v>
      </c>
      <c r="E247" s="7"/>
      <c r="F247" s="7"/>
      <c r="M247" s="2100" t="s">
        <v>2542</v>
      </c>
      <c r="N247" s="2100"/>
      <c r="O247" s="2100"/>
      <c r="P247" s="2100"/>
      <c r="Q247" s="2100"/>
      <c r="R247" s="2100"/>
      <c r="S247" s="2100"/>
      <c r="T247" s="2100"/>
      <c r="U247" s="2100"/>
      <c r="V247" s="2100"/>
      <c r="W247" s="2100"/>
      <c r="X247" s="2100"/>
      <c r="Y247" s="2100"/>
      <c r="Z247" s="2100"/>
      <c r="AA247" s="2100"/>
      <c r="AB247" s="2100"/>
      <c r="AC247" s="2100"/>
      <c r="AD247" s="2100"/>
      <c r="AE247" s="210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2059" t="s">
        <v>568</v>
      </c>
      <c r="N248" s="2059"/>
      <c r="O248" s="2059"/>
      <c r="P248" s="2059"/>
      <c r="Q248" s="2059"/>
      <c r="R248" s="2059"/>
      <c r="S248" s="2059"/>
      <c r="T248" s="2059"/>
      <c r="U248" s="388" t="s">
        <v>978</v>
      </c>
      <c r="V248" s="326"/>
      <c r="W248" s="326"/>
      <c r="X248" s="326"/>
      <c r="Y248" s="326"/>
      <c r="Z248" s="326"/>
      <c r="AA248" s="2192" t="s">
        <v>627</v>
      </c>
      <c r="AB248" s="2193"/>
      <c r="AC248" s="2193"/>
      <c r="AD248" s="2193"/>
      <c r="AE248" s="2193"/>
      <c r="AF248" s="2193"/>
      <c r="AG248" s="2193"/>
      <c r="AH248" s="2193"/>
      <c r="AI248" s="2193"/>
      <c r="AJ248" s="2193"/>
      <c r="AK248" s="2193"/>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1037</v>
      </c>
      <c r="E250" s="57"/>
      <c r="F250" s="57"/>
      <c r="G250" s="57"/>
      <c r="H250" s="57"/>
      <c r="I250" s="57"/>
      <c r="J250" s="57"/>
      <c r="K250" s="57"/>
      <c r="L250" s="7"/>
      <c r="M250" s="2103" t="s">
        <v>2597</v>
      </c>
      <c r="N250" s="2102"/>
      <c r="O250" s="2102"/>
      <c r="P250" s="2102"/>
      <c r="Q250" s="2102"/>
      <c r="R250" s="2102"/>
      <c r="S250" s="2102"/>
      <c r="T250" s="2102"/>
      <c r="U250" s="2102"/>
      <c r="V250" s="2102"/>
      <c r="W250" s="2102"/>
      <c r="X250" s="2102"/>
      <c r="Y250" s="2102"/>
      <c r="Z250" s="2102"/>
      <c r="AA250" s="2102"/>
      <c r="AB250" s="2102"/>
      <c r="AC250" s="2102"/>
      <c r="AD250" s="2102"/>
      <c r="AE250" s="2102"/>
      <c r="AF250" s="2102" t="s">
        <v>2482</v>
      </c>
      <c r="AG250" s="2102"/>
      <c r="AH250" s="2102"/>
      <c r="AI250" s="2102"/>
      <c r="AJ250" s="2102"/>
      <c r="AK250" s="2102"/>
      <c r="BN250" s="61"/>
    </row>
    <row r="251" spans="1:72" ht="13.2">
      <c r="A251" s="29"/>
      <c r="B251" s="7"/>
      <c r="C251" s="7"/>
      <c r="D251" s="57" t="s">
        <v>90</v>
      </c>
      <c r="E251" s="57"/>
      <c r="F251" s="57"/>
      <c r="G251" s="57"/>
      <c r="H251" s="57"/>
      <c r="I251" s="57"/>
      <c r="J251" s="57"/>
      <c r="K251" s="57"/>
      <c r="L251" s="7"/>
      <c r="M251" s="2029" t="s">
        <v>2477</v>
      </c>
      <c r="N251" s="2105"/>
      <c r="O251" s="2105"/>
      <c r="P251" s="2105"/>
      <c r="Q251" s="2105"/>
      <c r="R251" s="2105"/>
      <c r="S251" s="2105"/>
      <c r="T251" s="2105"/>
      <c r="U251" s="2105"/>
      <c r="V251" s="2105"/>
      <c r="W251" s="2105"/>
      <c r="X251" s="2105"/>
      <c r="Y251" s="2105"/>
      <c r="Z251" s="2105"/>
      <c r="AA251" s="2105"/>
      <c r="AB251" s="2105"/>
      <c r="AC251" s="2105"/>
      <c r="AD251" s="2105"/>
      <c r="AE251" s="2105"/>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029" t="s">
        <v>2470</v>
      </c>
      <c r="N252" s="2105"/>
      <c r="O252" s="2105"/>
      <c r="P252" s="2105"/>
      <c r="Q252" s="2105"/>
      <c r="R252" s="2105"/>
      <c r="S252" s="2105"/>
      <c r="T252" s="2105"/>
      <c r="V252" s="59" t="s">
        <v>91</v>
      </c>
      <c r="W252" s="2056" t="s">
        <v>2478</v>
      </c>
      <c r="X252" s="2134"/>
      <c r="Y252" s="57" t="s">
        <v>619</v>
      </c>
      <c r="AC252" s="2105">
        <v>95661</v>
      </c>
      <c r="AD252" s="2105"/>
      <c r="AE252" s="2105"/>
      <c r="AF252" s="58" t="s">
        <v>1383</v>
      </c>
      <c r="AG252" s="720"/>
      <c r="AH252" s="720"/>
      <c r="AI252" s="720"/>
      <c r="AJ252" s="720"/>
      <c r="AK252" s="720"/>
      <c r="BN252" s="61"/>
    </row>
    <row r="253" spans="1:72" ht="13.2">
      <c r="A253" s="29"/>
      <c r="B253" s="7"/>
      <c r="C253" s="7"/>
      <c r="D253" s="60" t="s">
        <v>92</v>
      </c>
      <c r="E253" s="7"/>
      <c r="F253" s="7"/>
      <c r="G253" s="7"/>
      <c r="H253" s="7"/>
      <c r="I253" s="7"/>
      <c r="J253" s="7"/>
      <c r="K253" s="7"/>
      <c r="L253" s="29"/>
      <c r="M253" s="2029" t="s">
        <v>2471</v>
      </c>
      <c r="N253" s="2105"/>
      <c r="O253" s="2105"/>
      <c r="P253" s="2105"/>
      <c r="Q253" s="2105"/>
      <c r="R253" s="2105"/>
      <c r="S253" s="2105"/>
      <c r="T253" s="2105"/>
      <c r="U253" s="2105"/>
      <c r="V253" s="2105"/>
      <c r="W253" s="2105"/>
      <c r="X253" s="2105"/>
      <c r="Y253" s="2105"/>
      <c r="Z253" s="2105"/>
      <c r="AA253" s="2105"/>
      <c r="AB253" s="2105"/>
      <c r="AC253" s="2105"/>
      <c r="AD253" s="2105"/>
      <c r="AE253" s="2105"/>
      <c r="AF253" s="720"/>
      <c r="AG253" s="720"/>
      <c r="AH253" s="2203">
        <v>8.9999999999999993E-3</v>
      </c>
      <c r="AI253" s="2203"/>
      <c r="AJ253" s="2203"/>
      <c r="AK253" s="220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94">
        <v>9167243836</v>
      </c>
      <c r="N254" s="2094"/>
      <c r="O254" s="2094"/>
      <c r="P254" s="2094"/>
      <c r="Q254" s="2094"/>
      <c r="R254" s="2094"/>
      <c r="S254" s="7" t="s">
        <v>212</v>
      </c>
      <c r="T254" s="7"/>
      <c r="U254" s="2134"/>
      <c r="V254" s="2134"/>
      <c r="W254" s="2134"/>
      <c r="X254" s="7" t="s">
        <v>94</v>
      </c>
      <c r="Z254" s="2094">
        <v>9167735866</v>
      </c>
      <c r="AA254" s="2094"/>
      <c r="AB254" s="2094"/>
      <c r="AC254" s="2094"/>
      <c r="AD254" s="2094"/>
      <c r="AE254" s="2094"/>
    </row>
    <row r="255" spans="1:72" ht="13.2">
      <c r="A255" s="29"/>
      <c r="B255" s="7"/>
      <c r="C255" s="7"/>
      <c r="D255" s="60" t="s">
        <v>95</v>
      </c>
      <c r="E255" s="7"/>
      <c r="F255" s="7"/>
      <c r="M255" s="2100" t="s">
        <v>2479</v>
      </c>
      <c r="N255" s="2100"/>
      <c r="O255" s="2100"/>
      <c r="P255" s="2100"/>
      <c r="Q255" s="2100"/>
      <c r="R255" s="2100"/>
      <c r="S255" s="2100"/>
      <c r="T255" s="2100"/>
      <c r="U255" s="2100"/>
      <c r="V255" s="2100"/>
      <c r="W255" s="2100"/>
      <c r="X255" s="2100"/>
      <c r="Y255" s="2100"/>
      <c r="Z255" s="2100"/>
      <c r="AA255" s="2100"/>
      <c r="AB255" s="2100"/>
      <c r="AC255" s="2100"/>
      <c r="AD255" s="2100"/>
      <c r="AE255" s="210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2059" t="s">
        <v>570</v>
      </c>
      <c r="N256" s="2059"/>
      <c r="O256" s="2059"/>
      <c r="P256" s="2059"/>
      <c r="Q256" s="2059"/>
      <c r="R256" s="2059"/>
      <c r="S256" s="2059"/>
      <c r="T256" s="2059"/>
      <c r="U256" s="388" t="s">
        <v>978</v>
      </c>
      <c r="V256" s="326"/>
      <c r="W256" s="326"/>
      <c r="X256" s="326"/>
      <c r="Y256" s="326"/>
      <c r="Z256" s="326"/>
      <c r="AA256" s="2192" t="s">
        <v>627</v>
      </c>
      <c r="AB256" s="2193"/>
      <c r="AC256" s="2193"/>
      <c r="AD256" s="2193"/>
      <c r="AE256" s="2193"/>
      <c r="AF256" s="2193"/>
      <c r="AG256" s="2193"/>
      <c r="AH256" s="2193"/>
      <c r="AI256" s="2193"/>
      <c r="AJ256" s="2193"/>
      <c r="AK256" s="219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102"/>
      <c r="N258" s="2102"/>
      <c r="O258" s="2102"/>
      <c r="P258" s="2102"/>
      <c r="Q258" s="2102"/>
      <c r="R258" s="2102"/>
      <c r="S258" s="2102"/>
      <c r="T258" s="2102"/>
      <c r="U258" s="2102"/>
      <c r="V258" s="2102"/>
      <c r="W258" s="2102"/>
      <c r="X258" s="2102"/>
      <c r="Y258" s="2102"/>
      <c r="Z258" s="2102"/>
      <c r="AA258" s="2102"/>
      <c r="AB258" s="2102"/>
      <c r="AC258" s="2102"/>
      <c r="AD258" s="2102"/>
      <c r="AE258" s="2102"/>
      <c r="AF258" s="2102" t="s">
        <v>318</v>
      </c>
      <c r="AG258" s="2102"/>
      <c r="AH258" s="2102"/>
      <c r="AI258" s="2102"/>
      <c r="AJ258" s="2102"/>
      <c r="AK258" s="210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05"/>
      <c r="N259" s="2105"/>
      <c r="O259" s="2105"/>
      <c r="P259" s="2105"/>
      <c r="Q259" s="2105"/>
      <c r="R259" s="2105"/>
      <c r="S259" s="2105"/>
      <c r="T259" s="2105"/>
      <c r="U259" s="2105"/>
      <c r="V259" s="2105"/>
      <c r="W259" s="2105"/>
      <c r="X259" s="2105"/>
      <c r="Y259" s="2105"/>
      <c r="Z259" s="2105"/>
      <c r="AA259" s="2105"/>
      <c r="AB259" s="2105"/>
      <c r="AC259" s="2105"/>
      <c r="AD259" s="2105"/>
      <c r="AE259" s="2105"/>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105"/>
      <c r="N260" s="2105"/>
      <c r="O260" s="2105"/>
      <c r="P260" s="2105"/>
      <c r="Q260" s="2105"/>
      <c r="R260" s="2105"/>
      <c r="S260" s="2105"/>
      <c r="T260" s="2105"/>
      <c r="V260" s="59" t="s">
        <v>91</v>
      </c>
      <c r="W260" s="2134"/>
      <c r="X260" s="2134"/>
      <c r="Y260" s="57" t="s">
        <v>619</v>
      </c>
      <c r="AC260" s="2105"/>
      <c r="AD260" s="2105"/>
      <c r="AE260" s="2105"/>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05"/>
      <c r="N261" s="2105"/>
      <c r="O261" s="2105"/>
      <c r="P261" s="2105"/>
      <c r="Q261" s="2105"/>
      <c r="R261" s="2105"/>
      <c r="S261" s="2105"/>
      <c r="T261" s="2105"/>
      <c r="U261" s="2105"/>
      <c r="V261" s="2105"/>
      <c r="W261" s="2105"/>
      <c r="X261" s="2105"/>
      <c r="Y261" s="2105"/>
      <c r="Z261" s="2105"/>
      <c r="AA261" s="2105"/>
      <c r="AB261" s="2105"/>
      <c r="AC261" s="2105"/>
      <c r="AD261" s="2105"/>
      <c r="AE261" s="2105"/>
      <c r="AF261" s="720"/>
      <c r="AG261" s="720"/>
      <c r="AH261" s="2203"/>
      <c r="AI261" s="2203"/>
      <c r="AJ261" s="2203"/>
      <c r="AK261" s="220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94"/>
      <c r="N262" s="2094"/>
      <c r="O262" s="2094"/>
      <c r="P262" s="2094"/>
      <c r="Q262" s="2094"/>
      <c r="R262" s="2094"/>
      <c r="S262" s="7" t="s">
        <v>212</v>
      </c>
      <c r="T262" s="7"/>
      <c r="U262" s="2134"/>
      <c r="V262" s="2134"/>
      <c r="W262" s="2134"/>
      <c r="X262" s="7" t="s">
        <v>94</v>
      </c>
      <c r="Z262" s="2094"/>
      <c r="AA262" s="2094"/>
      <c r="AB262" s="2094"/>
      <c r="AC262" s="2094"/>
      <c r="AD262" s="2094"/>
      <c r="AE262" s="2094"/>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00"/>
      <c r="N263" s="2100"/>
      <c r="O263" s="2100"/>
      <c r="P263" s="2100"/>
      <c r="Q263" s="2100"/>
      <c r="R263" s="2100"/>
      <c r="S263" s="2100"/>
      <c r="T263" s="2100"/>
      <c r="U263" s="2100"/>
      <c r="V263" s="2100"/>
      <c r="W263" s="2100"/>
      <c r="X263" s="2100"/>
      <c r="Y263" s="2100"/>
      <c r="Z263" s="2100"/>
      <c r="AA263" s="2195"/>
      <c r="AB263" s="2195"/>
      <c r="AC263" s="2195"/>
      <c r="AD263" s="2195"/>
      <c r="AE263" s="219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2059" t="s">
        <v>318</v>
      </c>
      <c r="N264" s="2059"/>
      <c r="O264" s="2059"/>
      <c r="P264" s="2059"/>
      <c r="Q264" s="2059"/>
      <c r="R264" s="2059"/>
      <c r="S264" s="2059"/>
      <c r="T264" s="2059"/>
      <c r="U264" s="388" t="s">
        <v>978</v>
      </c>
      <c r="V264" s="326"/>
      <c r="W264" s="326"/>
      <c r="X264" s="326"/>
      <c r="Y264" s="326"/>
      <c r="Z264" s="326"/>
      <c r="AA264" s="2196"/>
      <c r="AB264" s="2196"/>
      <c r="AC264" s="2196"/>
      <c r="AD264" s="2196"/>
      <c r="AE264" s="2196"/>
      <c r="AF264" s="2196"/>
      <c r="AG264" s="2196"/>
      <c r="AH264" s="2196"/>
      <c r="AI264" s="2196"/>
      <c r="AJ264" s="2196"/>
      <c r="AK264" s="219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305</v>
      </c>
      <c r="D266" s="7"/>
      <c r="E266" s="7"/>
      <c r="F266" s="7"/>
      <c r="G266" s="7"/>
      <c r="H266" s="7"/>
      <c r="I266" s="7"/>
      <c r="J266" s="7"/>
      <c r="K266" s="7"/>
      <c r="L266" s="7"/>
      <c r="M266" s="147"/>
      <c r="N266" s="147"/>
      <c r="O266" s="147"/>
      <c r="P266" s="147"/>
      <c r="Q266" s="147"/>
      <c r="T266" s="2205" t="str">
        <f>BO245</f>
        <v>Joint Venture</v>
      </c>
      <c r="U266" s="2205"/>
      <c r="V266" s="2205"/>
      <c r="W266" s="2205"/>
      <c r="X266" s="2205"/>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105" t="s">
        <v>178</v>
      </c>
      <c r="E269" s="2105"/>
      <c r="F269" s="2105"/>
      <c r="G269" s="2105"/>
      <c r="H269" s="2105"/>
      <c r="J269" s="12" t="s">
        <v>287</v>
      </c>
      <c r="X269" s="2204">
        <v>44314</v>
      </c>
      <c r="Y269" s="2204"/>
      <c r="Z269" s="2204"/>
      <c r="AA269" s="2204"/>
      <c r="AB269" s="2204"/>
      <c r="AC269" s="2204"/>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103" t="s">
        <v>2466</v>
      </c>
      <c r="M273" s="2102"/>
      <c r="N273" s="2102"/>
      <c r="O273" s="2102"/>
      <c r="P273" s="2102"/>
      <c r="Q273" s="2102"/>
      <c r="R273" s="2102"/>
      <c r="S273" s="2102"/>
      <c r="T273" s="2102"/>
      <c r="U273" s="2102"/>
      <c r="V273" s="2102"/>
      <c r="W273" s="2102"/>
      <c r="X273" s="2102"/>
      <c r="Y273" s="2102"/>
      <c r="Z273" s="2102"/>
      <c r="AA273" s="2102"/>
      <c r="AB273" s="2102"/>
      <c r="AC273" s="2102"/>
      <c r="AD273" s="2102"/>
      <c r="AE273" s="2102"/>
      <c r="AF273" s="2102"/>
      <c r="AG273" s="2102"/>
      <c r="AH273" s="2102"/>
      <c r="AI273" s="2102"/>
      <c r="AJ273" s="2102"/>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29" t="s">
        <v>2477</v>
      </c>
      <c r="M274" s="2105"/>
      <c r="N274" s="2105"/>
      <c r="O274" s="2105"/>
      <c r="P274" s="2105"/>
      <c r="Q274" s="2105"/>
      <c r="R274" s="2105"/>
      <c r="S274" s="2105"/>
      <c r="T274" s="2105"/>
      <c r="U274" s="2105"/>
      <c r="V274" s="2105"/>
      <c r="W274" s="2105"/>
      <c r="X274" s="2105"/>
      <c r="Y274" s="2105"/>
      <c r="Z274" s="2105"/>
      <c r="AA274" s="2105"/>
      <c r="AB274" s="2105"/>
      <c r="AC274" s="2105"/>
      <c r="AD274" s="2105"/>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29" t="s">
        <v>2470</v>
      </c>
      <c r="M275" s="2105"/>
      <c r="N275" s="2105"/>
      <c r="O275" s="2105"/>
      <c r="P275" s="2105"/>
      <c r="Q275" s="2105"/>
      <c r="R275" s="2105"/>
      <c r="S275" s="2105"/>
      <c r="U275" s="59" t="s">
        <v>91</v>
      </c>
      <c r="V275" s="2056" t="s">
        <v>2478</v>
      </c>
      <c r="W275" s="2134"/>
      <c r="X275" s="57" t="s">
        <v>619</v>
      </c>
      <c r="AB275" s="2105">
        <v>95661</v>
      </c>
      <c r="AC275" s="2105"/>
      <c r="AD275" s="210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9" t="s">
        <v>2483</v>
      </c>
      <c r="M276" s="2105"/>
      <c r="N276" s="2105"/>
      <c r="O276" s="2105"/>
      <c r="P276" s="2105"/>
      <c r="Q276" s="2105"/>
      <c r="R276" s="2105"/>
      <c r="S276" s="2105"/>
      <c r="T276" s="2105"/>
      <c r="U276" s="2105"/>
      <c r="V276" s="2105"/>
      <c r="W276" s="2105"/>
      <c r="X276" s="2105"/>
      <c r="Y276" s="2105"/>
      <c r="Z276" s="2105"/>
      <c r="AA276" s="2105"/>
      <c r="AB276" s="2105"/>
      <c r="AC276" s="2105"/>
      <c r="AD276" s="210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94">
        <v>9168653981</v>
      </c>
      <c r="M277" s="2094"/>
      <c r="N277" s="2094"/>
      <c r="O277" s="2094"/>
      <c r="P277" s="2094"/>
      <c r="Q277" s="2094"/>
      <c r="R277" s="7" t="s">
        <v>212</v>
      </c>
      <c r="S277" s="7"/>
      <c r="T277" s="2134"/>
      <c r="U277" s="2134"/>
      <c r="V277" s="2134"/>
      <c r="W277" s="7" t="s">
        <v>94</v>
      </c>
      <c r="Y277" s="2094"/>
      <c r="Z277" s="2094"/>
      <c r="AA277" s="2094"/>
      <c r="AB277" s="2094"/>
      <c r="AC277" s="2094"/>
      <c r="AD277" s="2094"/>
      <c r="BN277" s="61"/>
    </row>
    <row r="278" spans="1:66" ht="13.2">
      <c r="D278" s="60" t="s">
        <v>95</v>
      </c>
      <c r="E278" s="7"/>
      <c r="F278" s="7"/>
      <c r="L278" s="2100" t="s">
        <v>2484</v>
      </c>
      <c r="M278" s="2100"/>
      <c r="N278" s="2100"/>
      <c r="O278" s="2100"/>
      <c r="P278" s="2100"/>
      <c r="Q278" s="2100"/>
      <c r="R278" s="2100"/>
      <c r="S278" s="2100"/>
      <c r="T278" s="2100"/>
      <c r="U278" s="2100"/>
      <c r="V278" s="2100"/>
      <c r="W278" s="2100"/>
      <c r="X278" s="2100"/>
      <c r="Y278" s="2100"/>
      <c r="Z278" s="2100"/>
      <c r="AA278" s="2100"/>
      <c r="AB278" s="2100"/>
      <c r="AC278" s="2100"/>
      <c r="AD278" s="2100"/>
      <c r="AF278" s="7"/>
      <c r="AG278" s="7"/>
      <c r="AH278" s="7"/>
      <c r="AI278" s="7"/>
      <c r="AJ278" s="7"/>
      <c r="BN278" s="61"/>
    </row>
    <row r="279" spans="1:66" ht="13.2">
      <c r="D279" s="58" t="s">
        <v>659</v>
      </c>
      <c r="E279" s="58"/>
      <c r="F279" s="58"/>
      <c r="G279" s="58"/>
      <c r="H279" s="58"/>
      <c r="I279" s="58"/>
      <c r="L279" s="2056" t="s">
        <v>2485</v>
      </c>
      <c r="M279" s="2056"/>
      <c r="N279" s="2056"/>
      <c r="O279" s="2056"/>
      <c r="P279" s="2056"/>
      <c r="Q279" s="2056"/>
      <c r="R279" s="2056"/>
      <c r="S279" s="2056"/>
      <c r="T279" s="2056"/>
      <c r="U279" s="2056"/>
      <c r="V279" s="2056"/>
      <c r="W279" s="2056"/>
      <c r="X279" s="2056"/>
      <c r="Y279" s="2056"/>
      <c r="Z279" s="2056"/>
      <c r="AA279" s="2056"/>
      <c r="AB279" s="2056"/>
      <c r="AC279" s="2056"/>
      <c r="AD279" s="2056"/>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047" t="s">
        <v>575</v>
      </c>
      <c r="B281" s="2047"/>
      <c r="C281" s="2047"/>
      <c r="D281" s="2047"/>
      <c r="E281" s="2047"/>
      <c r="F281" s="2047"/>
      <c r="G281" s="2047"/>
      <c r="H281" s="2047"/>
      <c r="I281" s="2047"/>
      <c r="J281" s="2047"/>
      <c r="K281" s="2047"/>
      <c r="L281" s="2047"/>
      <c r="M281" s="2047"/>
      <c r="N281" s="2047"/>
      <c r="O281" s="2047"/>
      <c r="P281" s="2047"/>
      <c r="Q281" s="2047"/>
      <c r="R281" s="2047"/>
      <c r="S281" s="2047"/>
      <c r="T281" s="2047"/>
      <c r="U281" s="2047"/>
      <c r="V281" s="2047"/>
      <c r="W281" s="2047"/>
      <c r="X281" s="2047"/>
      <c r="Y281" s="2047"/>
      <c r="Z281" s="2047"/>
      <c r="AA281" s="2047"/>
      <c r="AB281" s="2047"/>
      <c r="AC281" s="2047"/>
      <c r="AD281" s="2047"/>
      <c r="AE281" s="2047"/>
      <c r="AF281" s="2047"/>
      <c r="AG281" s="2047"/>
      <c r="AH281" s="2047"/>
      <c r="AI281" s="2047"/>
      <c r="AJ281" s="2047"/>
      <c r="AK281" s="2047"/>
      <c r="AL281" s="2047"/>
      <c r="AM281" s="144"/>
      <c r="AN281" s="144"/>
      <c r="AO281" s="144"/>
      <c r="AP281" s="144"/>
      <c r="AQ281" s="144"/>
      <c r="AR281" s="144"/>
      <c r="AS281" s="144"/>
      <c r="AT281" s="144"/>
      <c r="AU281" s="144"/>
      <c r="AV281" s="144"/>
      <c r="AW281" s="144"/>
      <c r="AX281" s="144"/>
      <c r="AY281" s="144"/>
      <c r="BN281" s="61"/>
    </row>
    <row r="282" spans="1:66" ht="13.8" thickBot="1">
      <c r="A282" s="2048"/>
      <c r="B282" s="2048"/>
      <c r="C282" s="2048"/>
      <c r="D282" s="2048"/>
      <c r="E282" s="2048"/>
      <c r="F282" s="2048"/>
      <c r="G282" s="2048"/>
      <c r="H282" s="2048"/>
      <c r="I282" s="2048"/>
      <c r="J282" s="2048"/>
      <c r="K282" s="2048"/>
      <c r="L282" s="2048"/>
      <c r="M282" s="2048"/>
      <c r="N282" s="2048"/>
      <c r="O282" s="2048"/>
      <c r="P282" s="2048"/>
      <c r="Q282" s="2048"/>
      <c r="R282" s="2048"/>
      <c r="S282" s="2048"/>
      <c r="T282" s="2048"/>
      <c r="U282" s="2048"/>
      <c r="V282" s="2048"/>
      <c r="W282" s="2048"/>
      <c r="X282" s="2048"/>
      <c r="Y282" s="2048"/>
      <c r="Z282" s="2048"/>
      <c r="AA282" s="2048"/>
      <c r="AB282" s="2048"/>
      <c r="AC282" s="2048"/>
      <c r="AD282" s="2048"/>
      <c r="AE282" s="2048"/>
      <c r="AF282" s="2048"/>
      <c r="AG282" s="2048"/>
      <c r="AH282" s="2048"/>
      <c r="AI282" s="2048"/>
      <c r="AJ282" s="2048"/>
      <c r="AK282" s="2048"/>
      <c r="AL282" s="204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2021" t="s">
        <v>2486</v>
      </c>
      <c r="I286" s="2021"/>
      <c r="J286" s="2021"/>
      <c r="K286" s="2021"/>
      <c r="L286" s="2021"/>
      <c r="M286" s="2021"/>
      <c r="N286" s="2021"/>
      <c r="O286" s="2021"/>
      <c r="P286" s="2021"/>
      <c r="Q286" s="2021"/>
      <c r="R286" s="2021"/>
      <c r="T286" s="58" t="s">
        <v>601</v>
      </c>
      <c r="V286" s="58"/>
      <c r="W286" s="58"/>
      <c r="X286" s="58"/>
      <c r="Y286" s="58"/>
      <c r="AA286" s="2021" t="s">
        <v>2488</v>
      </c>
      <c r="AB286" s="2021"/>
      <c r="AC286" s="2021"/>
      <c r="AD286" s="2021"/>
      <c r="AE286" s="2021"/>
      <c r="AF286" s="2021"/>
      <c r="AG286" s="2021"/>
      <c r="AH286" s="2021"/>
      <c r="AI286" s="2021"/>
      <c r="AJ286" s="2021"/>
      <c r="AK286" s="2021"/>
      <c r="BN286" s="61"/>
    </row>
    <row r="287" spans="1:66" ht="13.2">
      <c r="B287" s="58" t="s">
        <v>505</v>
      </c>
      <c r="C287" s="58"/>
      <c r="D287" s="58"/>
      <c r="E287" s="58"/>
      <c r="F287" s="58"/>
      <c r="H287" s="2059" t="s">
        <v>2477</v>
      </c>
      <c r="I287" s="2059"/>
      <c r="J287" s="2059"/>
      <c r="K287" s="2059"/>
      <c r="L287" s="2059"/>
      <c r="M287" s="2059"/>
      <c r="N287" s="2059"/>
      <c r="O287" s="2059"/>
      <c r="P287" s="2059"/>
      <c r="Q287" s="2059"/>
      <c r="R287" s="2059"/>
      <c r="T287" s="58" t="s">
        <v>505</v>
      </c>
      <c r="V287" s="58"/>
      <c r="W287" s="58"/>
      <c r="X287" s="58"/>
      <c r="Y287" s="58"/>
      <c r="AA287" s="2059" t="s">
        <v>2552</v>
      </c>
      <c r="AB287" s="2059"/>
      <c r="AC287" s="2059"/>
      <c r="AD287" s="2059"/>
      <c r="AE287" s="2059"/>
      <c r="AF287" s="2059"/>
      <c r="AG287" s="2059"/>
      <c r="AH287" s="2059"/>
      <c r="AI287" s="2059"/>
      <c r="AJ287" s="2059"/>
      <c r="AK287" s="2059"/>
      <c r="BN287" s="61"/>
    </row>
    <row r="288" spans="1:66" ht="13.2">
      <c r="B288" s="58" t="s">
        <v>506</v>
      </c>
      <c r="C288" s="58"/>
      <c r="D288" s="58"/>
      <c r="E288" s="58"/>
      <c r="F288" s="58"/>
      <c r="H288" s="2059" t="s">
        <v>2487</v>
      </c>
      <c r="I288" s="2059"/>
      <c r="J288" s="2059"/>
      <c r="K288" s="2059"/>
      <c r="L288" s="2059"/>
      <c r="M288" s="2059"/>
      <c r="N288" s="2059"/>
      <c r="O288" s="2059"/>
      <c r="P288" s="2059"/>
      <c r="Q288" s="2059"/>
      <c r="R288" s="2059"/>
      <c r="T288" s="58" t="s">
        <v>79</v>
      </c>
      <c r="V288" s="58"/>
      <c r="W288" s="58"/>
      <c r="X288" s="58"/>
      <c r="Y288" s="58"/>
      <c r="AA288" s="2059" t="s">
        <v>2553</v>
      </c>
      <c r="AB288" s="2059"/>
      <c r="AC288" s="2059"/>
      <c r="AD288" s="2059"/>
      <c r="AE288" s="2059"/>
      <c r="AF288" s="2059"/>
      <c r="AG288" s="2059"/>
      <c r="AH288" s="2059"/>
      <c r="AI288" s="2059"/>
      <c r="AJ288" s="2059"/>
      <c r="AK288" s="2059"/>
      <c r="BN288" s="61"/>
    </row>
    <row r="289" spans="2:66" ht="12.75" customHeight="1">
      <c r="B289" s="58" t="s">
        <v>92</v>
      </c>
      <c r="C289" s="58"/>
      <c r="D289" s="58"/>
      <c r="E289" s="58"/>
      <c r="F289" s="58"/>
      <c r="H289" s="2059" t="s">
        <v>2471</v>
      </c>
      <c r="I289" s="2059"/>
      <c r="J289" s="2059"/>
      <c r="K289" s="2059"/>
      <c r="L289" s="2059"/>
      <c r="M289" s="2059"/>
      <c r="N289" s="2059"/>
      <c r="O289" s="2059"/>
      <c r="P289" s="2059"/>
      <c r="Q289" s="2059"/>
      <c r="R289" s="2059"/>
      <c r="T289" s="58" t="s">
        <v>92</v>
      </c>
      <c r="V289" s="58"/>
      <c r="W289" s="58"/>
      <c r="X289" s="58"/>
      <c r="Y289" s="58"/>
      <c r="AA289" s="2059" t="s">
        <v>2489</v>
      </c>
      <c r="AB289" s="2059"/>
      <c r="AC289" s="2059"/>
      <c r="AD289" s="2059"/>
      <c r="AE289" s="2059"/>
      <c r="AF289" s="2059"/>
      <c r="AG289" s="2059"/>
      <c r="AH289" s="2059"/>
      <c r="AI289" s="2059"/>
      <c r="AJ289" s="2059"/>
      <c r="AK289" s="2059"/>
      <c r="BN289" s="61"/>
    </row>
    <row r="290" spans="2:66" ht="12.75" customHeight="1">
      <c r="B290" s="58" t="s">
        <v>93</v>
      </c>
      <c r="C290" s="58"/>
      <c r="D290" s="58"/>
      <c r="E290" s="58"/>
      <c r="F290" s="58"/>
      <c r="G290" s="58"/>
      <c r="H290" s="2201">
        <v>9167243836</v>
      </c>
      <c r="I290" s="2201"/>
      <c r="J290" s="2201"/>
      <c r="K290" s="2201"/>
      <c r="L290" s="2201"/>
      <c r="M290" s="2201"/>
      <c r="N290" s="7" t="s">
        <v>212</v>
      </c>
      <c r="O290" s="7"/>
      <c r="P290" s="2105"/>
      <c r="Q290" s="2105"/>
      <c r="R290" s="2105"/>
      <c r="S290" s="58"/>
      <c r="T290" s="58" t="s">
        <v>93</v>
      </c>
      <c r="V290" s="58"/>
      <c r="W290" s="58"/>
      <c r="X290" s="58"/>
      <c r="Y290" s="58"/>
      <c r="AA290" s="2201">
        <v>9164430335</v>
      </c>
      <c r="AB290" s="2201"/>
      <c r="AC290" s="2201"/>
      <c r="AD290" s="2201"/>
      <c r="AE290" s="2201"/>
      <c r="AF290" s="2201"/>
      <c r="AG290" s="7" t="s">
        <v>212</v>
      </c>
      <c r="AH290" s="7"/>
      <c r="AI290" s="2105"/>
      <c r="AJ290" s="2105"/>
      <c r="AK290" s="2105"/>
      <c r="BN290" s="61"/>
    </row>
    <row r="291" spans="2:66" ht="12.75" customHeight="1">
      <c r="B291" s="58" t="s">
        <v>94</v>
      </c>
      <c r="C291" s="58"/>
      <c r="D291" s="58"/>
      <c r="E291" s="58"/>
      <c r="F291" s="58"/>
      <c r="G291" s="58"/>
      <c r="H291" s="2094">
        <v>9167868150</v>
      </c>
      <c r="I291" s="2094"/>
      <c r="J291" s="2094"/>
      <c r="K291" s="2094"/>
      <c r="L291" s="2094"/>
      <c r="M291" s="2094"/>
      <c r="N291" s="60"/>
      <c r="O291" s="60"/>
      <c r="P291" s="62"/>
      <c r="Q291" s="62"/>
      <c r="R291" s="62"/>
      <c r="S291" s="58"/>
      <c r="T291" s="58" t="s">
        <v>94</v>
      </c>
      <c r="V291" s="58"/>
      <c r="W291" s="58"/>
      <c r="X291" s="58"/>
      <c r="Y291" s="58"/>
      <c r="AA291" s="2095" t="s">
        <v>627</v>
      </c>
      <c r="AB291" s="2094"/>
      <c r="AC291" s="2094"/>
      <c r="AD291" s="2094"/>
      <c r="AE291" s="2094"/>
      <c r="AF291" s="2094"/>
      <c r="AG291" s="60"/>
      <c r="AH291" s="60"/>
      <c r="AI291" s="62"/>
      <c r="AJ291" s="62"/>
      <c r="AK291" s="62"/>
      <c r="BN291" s="61"/>
    </row>
    <row r="292" spans="2:66" ht="12.75" customHeight="1">
      <c r="B292" s="58" t="s">
        <v>80</v>
      </c>
      <c r="C292" s="58"/>
      <c r="D292" s="58"/>
      <c r="E292" s="58"/>
      <c r="F292" s="58"/>
      <c r="G292" s="58"/>
      <c r="H292" s="2059" t="s">
        <v>2479</v>
      </c>
      <c r="I292" s="2059"/>
      <c r="J292" s="2059"/>
      <c r="K292" s="2059"/>
      <c r="L292" s="2059"/>
      <c r="M292" s="2059"/>
      <c r="N292" s="2021"/>
      <c r="O292" s="2021"/>
      <c r="P292" s="2021"/>
      <c r="Q292" s="2021"/>
      <c r="R292" s="2021"/>
      <c r="S292" s="58"/>
      <c r="T292" s="58" t="s">
        <v>80</v>
      </c>
      <c r="V292" s="58"/>
      <c r="W292" s="58"/>
      <c r="X292" s="58"/>
      <c r="Y292" s="58"/>
      <c r="AA292" s="2059" t="s">
        <v>2490</v>
      </c>
      <c r="AB292" s="2059"/>
      <c r="AC292" s="2059"/>
      <c r="AD292" s="2059"/>
      <c r="AE292" s="2059"/>
      <c r="AF292" s="2059"/>
      <c r="AG292" s="2021"/>
      <c r="AH292" s="2021"/>
      <c r="AI292" s="2021"/>
      <c r="AJ292" s="2021"/>
      <c r="AK292" s="202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29" t="s">
        <v>2491</v>
      </c>
      <c r="I294" s="2021"/>
      <c r="J294" s="2021"/>
      <c r="K294" s="2021"/>
      <c r="L294" s="2021"/>
      <c r="M294" s="2021"/>
      <c r="N294" s="2021"/>
      <c r="O294" s="2021"/>
      <c r="P294" s="2021"/>
      <c r="Q294" s="2021"/>
      <c r="R294" s="2021"/>
      <c r="T294" s="58" t="s">
        <v>376</v>
      </c>
      <c r="V294" s="58"/>
      <c r="W294" s="58"/>
      <c r="X294" s="58"/>
      <c r="Y294" s="58"/>
      <c r="AA294" s="2021" t="s">
        <v>2497</v>
      </c>
      <c r="AB294" s="2021"/>
      <c r="AC294" s="2021"/>
      <c r="AD294" s="2021"/>
      <c r="AE294" s="2021"/>
      <c r="AF294" s="2021"/>
      <c r="AG294" s="2021"/>
      <c r="AH294" s="2021"/>
      <c r="AI294" s="2021"/>
      <c r="AJ294" s="2021"/>
      <c r="AK294" s="2021"/>
      <c r="BN294" s="61"/>
    </row>
    <row r="295" spans="2:66" ht="13.2">
      <c r="B295" s="58" t="s">
        <v>505</v>
      </c>
      <c r="C295" s="58"/>
      <c r="D295" s="58"/>
      <c r="E295" s="58"/>
      <c r="F295" s="58"/>
      <c r="H295" s="2056" t="s">
        <v>2492</v>
      </c>
      <c r="I295" s="2059"/>
      <c r="J295" s="2059"/>
      <c r="K295" s="2059"/>
      <c r="L295" s="2059"/>
      <c r="M295" s="2059"/>
      <c r="N295" s="2059"/>
      <c r="O295" s="2059"/>
      <c r="P295" s="2059"/>
      <c r="Q295" s="2059"/>
      <c r="R295" s="2059"/>
      <c r="T295" s="58" t="s">
        <v>505</v>
      </c>
      <c r="V295" s="58"/>
      <c r="W295" s="58"/>
      <c r="X295" s="58"/>
      <c r="Y295" s="58"/>
      <c r="AA295" s="2059" t="s">
        <v>2477</v>
      </c>
      <c r="AB295" s="2059"/>
      <c r="AC295" s="2059"/>
      <c r="AD295" s="2059"/>
      <c r="AE295" s="2059"/>
      <c r="AF295" s="2059"/>
      <c r="AG295" s="2059"/>
      <c r="AH295" s="2059"/>
      <c r="AI295" s="2059"/>
      <c r="AJ295" s="2059"/>
      <c r="AK295" s="2059"/>
      <c r="BN295" s="61"/>
    </row>
    <row r="296" spans="2:66" ht="13.2">
      <c r="B296" s="58" t="s">
        <v>506</v>
      </c>
      <c r="C296" s="58"/>
      <c r="D296" s="58"/>
      <c r="E296" s="58"/>
      <c r="F296" s="58"/>
      <c r="H296" s="2059" t="s">
        <v>2493</v>
      </c>
      <c r="I296" s="2059"/>
      <c r="J296" s="2059"/>
      <c r="K296" s="2059"/>
      <c r="L296" s="2059"/>
      <c r="M296" s="2059"/>
      <c r="N296" s="2059"/>
      <c r="O296" s="2059"/>
      <c r="P296" s="2059"/>
      <c r="Q296" s="2059"/>
      <c r="R296" s="2059"/>
      <c r="T296" s="58" t="s">
        <v>79</v>
      </c>
      <c r="V296" s="58"/>
      <c r="W296" s="58"/>
      <c r="X296" s="58"/>
      <c r="Y296" s="58"/>
      <c r="AA296" s="2059" t="s">
        <v>2487</v>
      </c>
      <c r="AB296" s="2059"/>
      <c r="AC296" s="2059"/>
      <c r="AD296" s="2059"/>
      <c r="AE296" s="2059"/>
      <c r="AF296" s="2059"/>
      <c r="AG296" s="2059"/>
      <c r="AH296" s="2059"/>
      <c r="AI296" s="2059"/>
      <c r="AJ296" s="2059"/>
      <c r="AK296" s="2059"/>
      <c r="BN296" s="61"/>
    </row>
    <row r="297" spans="2:66" ht="13.2">
      <c r="B297" s="58" t="s">
        <v>92</v>
      </c>
      <c r="C297" s="58"/>
      <c r="D297" s="58"/>
      <c r="E297" s="58"/>
      <c r="F297" s="58"/>
      <c r="H297" s="2059" t="s">
        <v>2494</v>
      </c>
      <c r="I297" s="2059"/>
      <c r="J297" s="2059"/>
      <c r="K297" s="2059"/>
      <c r="L297" s="2059"/>
      <c r="M297" s="2059"/>
      <c r="N297" s="2059"/>
      <c r="O297" s="2059"/>
      <c r="P297" s="2059"/>
      <c r="Q297" s="2059"/>
      <c r="R297" s="2059"/>
      <c r="T297" s="58" t="s">
        <v>92</v>
      </c>
      <c r="V297" s="58"/>
      <c r="W297" s="58"/>
      <c r="X297" s="58"/>
      <c r="Y297" s="58"/>
      <c r="AA297" s="2056" t="s">
        <v>2498</v>
      </c>
      <c r="AB297" s="2059"/>
      <c r="AC297" s="2059"/>
      <c r="AD297" s="2059"/>
      <c r="AE297" s="2059"/>
      <c r="AF297" s="2059"/>
      <c r="AG297" s="2059"/>
      <c r="AH297" s="2059"/>
      <c r="AI297" s="2059"/>
      <c r="AJ297" s="2059"/>
      <c r="AK297" s="2059"/>
      <c r="BN297" s="61"/>
    </row>
    <row r="298" spans="2:66" ht="13.2">
      <c r="B298" s="58" t="s">
        <v>93</v>
      </c>
      <c r="C298" s="58"/>
      <c r="D298" s="58"/>
      <c r="E298" s="58"/>
      <c r="F298" s="58"/>
      <c r="G298" s="58"/>
      <c r="H298" s="2201">
        <v>2132398048</v>
      </c>
      <c r="I298" s="2201"/>
      <c r="J298" s="2201"/>
      <c r="K298" s="2201"/>
      <c r="L298" s="2201"/>
      <c r="M298" s="2201"/>
      <c r="N298" s="7" t="s">
        <v>212</v>
      </c>
      <c r="O298" s="7"/>
      <c r="P298" s="2105"/>
      <c r="Q298" s="2105"/>
      <c r="R298" s="2105"/>
      <c r="S298" s="58"/>
      <c r="T298" s="58" t="s">
        <v>93</v>
      </c>
      <c r="V298" s="58"/>
      <c r="W298" s="58"/>
      <c r="X298" s="58"/>
      <c r="Y298" s="58"/>
      <c r="AA298" s="2201">
        <v>9167243856</v>
      </c>
      <c r="AB298" s="2201"/>
      <c r="AC298" s="2201"/>
      <c r="AD298" s="2201"/>
      <c r="AE298" s="2201"/>
      <c r="AF298" s="2201"/>
      <c r="AG298" s="7" t="s">
        <v>212</v>
      </c>
      <c r="AH298" s="7"/>
      <c r="AI298" s="2105"/>
      <c r="AJ298" s="2105"/>
      <c r="AK298" s="2105"/>
      <c r="BN298" s="61"/>
    </row>
    <row r="299" spans="2:66" ht="12.75" customHeight="1">
      <c r="B299" s="58" t="s">
        <v>94</v>
      </c>
      <c r="C299" s="58"/>
      <c r="D299" s="58"/>
      <c r="E299" s="58"/>
      <c r="F299" s="58"/>
      <c r="G299" s="58"/>
      <c r="H299" s="2094">
        <v>2132390410</v>
      </c>
      <c r="I299" s="2094"/>
      <c r="J299" s="2094"/>
      <c r="K299" s="2094"/>
      <c r="L299" s="2094"/>
      <c r="M299" s="2094"/>
      <c r="N299" s="60"/>
      <c r="O299" s="60"/>
      <c r="P299" s="62"/>
      <c r="Q299" s="62"/>
      <c r="R299" s="62"/>
      <c r="S299" s="58"/>
      <c r="T299" s="58" t="s">
        <v>94</v>
      </c>
      <c r="V299" s="58"/>
      <c r="W299" s="58"/>
      <c r="X299" s="58"/>
      <c r="Y299" s="58"/>
      <c r="AA299" s="2094">
        <v>9167731931</v>
      </c>
      <c r="AB299" s="2094"/>
      <c r="AC299" s="2094"/>
      <c r="AD299" s="2094"/>
      <c r="AE299" s="2094"/>
      <c r="AF299" s="2094"/>
      <c r="AG299" s="60"/>
      <c r="AH299" s="60"/>
      <c r="AI299" s="62"/>
      <c r="AJ299" s="62"/>
      <c r="AK299" s="62"/>
      <c r="BN299" s="61"/>
    </row>
    <row r="300" spans="2:66" ht="12.75" customHeight="1">
      <c r="B300" s="58" t="s">
        <v>80</v>
      </c>
      <c r="C300" s="58"/>
      <c r="D300" s="58"/>
      <c r="E300" s="58"/>
      <c r="F300" s="58"/>
      <c r="G300" s="58"/>
      <c r="H300" s="2059" t="s">
        <v>2495</v>
      </c>
      <c r="I300" s="2059"/>
      <c r="J300" s="2059"/>
      <c r="K300" s="2059"/>
      <c r="L300" s="2059"/>
      <c r="M300" s="2059"/>
      <c r="N300" s="2021"/>
      <c r="O300" s="2021"/>
      <c r="P300" s="2021"/>
      <c r="Q300" s="2021"/>
      <c r="R300" s="2021"/>
      <c r="S300" s="58"/>
      <c r="T300" s="58" t="s">
        <v>80</v>
      </c>
      <c r="V300" s="58"/>
      <c r="W300" s="58"/>
      <c r="X300" s="58"/>
      <c r="Y300" s="58"/>
      <c r="AA300" s="2059" t="s">
        <v>2499</v>
      </c>
      <c r="AB300" s="2059"/>
      <c r="AC300" s="2059"/>
      <c r="AD300" s="2059"/>
      <c r="AE300" s="2059"/>
      <c r="AF300" s="2059"/>
      <c r="AG300" s="2021"/>
      <c r="AH300" s="2021"/>
      <c r="AI300" s="2021"/>
      <c r="AJ300" s="2021"/>
      <c r="AK300" s="2021"/>
      <c r="BN300" s="61"/>
    </row>
    <row r="301" spans="2:66" ht="12.75" customHeight="1">
      <c r="BN301" s="61"/>
    </row>
    <row r="302" spans="2:66" ht="12.75" customHeight="1">
      <c r="B302" s="58" t="s">
        <v>81</v>
      </c>
      <c r="C302" s="58"/>
      <c r="D302" s="58"/>
      <c r="E302" s="58"/>
      <c r="F302" s="58"/>
      <c r="H302" s="2021"/>
      <c r="I302" s="2021"/>
      <c r="J302" s="2021"/>
      <c r="K302" s="2021"/>
      <c r="L302" s="2021"/>
      <c r="M302" s="2021"/>
      <c r="N302" s="2021"/>
      <c r="O302" s="2021"/>
      <c r="P302" s="2021"/>
      <c r="Q302" s="2021"/>
      <c r="R302" s="2021"/>
      <c r="T302" s="7" t="s">
        <v>946</v>
      </c>
      <c r="V302" s="58"/>
      <c r="W302" s="58"/>
      <c r="X302" s="58"/>
      <c r="Y302" s="58"/>
      <c r="AA302" s="2021"/>
      <c r="AB302" s="2021"/>
      <c r="AC302" s="2021"/>
      <c r="AD302" s="2021"/>
      <c r="AE302" s="2021"/>
      <c r="AF302" s="2021"/>
      <c r="AG302" s="2021"/>
      <c r="AH302" s="2021"/>
      <c r="AI302" s="2021"/>
      <c r="AJ302" s="2021"/>
      <c r="AK302" s="2021"/>
      <c r="BN302" s="61"/>
    </row>
    <row r="303" spans="2:66" ht="13.2">
      <c r="B303" s="58" t="s">
        <v>505</v>
      </c>
      <c r="C303" s="58"/>
      <c r="D303" s="58"/>
      <c r="E303" s="58"/>
      <c r="F303" s="58"/>
      <c r="H303" s="2059"/>
      <c r="I303" s="2059"/>
      <c r="J303" s="2059"/>
      <c r="K303" s="2059"/>
      <c r="L303" s="2059"/>
      <c r="M303" s="2059"/>
      <c r="N303" s="2059"/>
      <c r="O303" s="2059"/>
      <c r="P303" s="2059"/>
      <c r="Q303" s="2059"/>
      <c r="R303" s="2059"/>
      <c r="T303" s="58" t="s">
        <v>505</v>
      </c>
      <c r="V303" s="58"/>
      <c r="W303" s="58"/>
      <c r="X303" s="58"/>
      <c r="Y303" s="58"/>
      <c r="AA303" s="2059"/>
      <c r="AB303" s="2059"/>
      <c r="AC303" s="2059"/>
      <c r="AD303" s="2059"/>
      <c r="AE303" s="2059"/>
      <c r="AF303" s="2059"/>
      <c r="AG303" s="2059"/>
      <c r="AH303" s="2059"/>
      <c r="AI303" s="2059"/>
      <c r="AJ303" s="2059"/>
      <c r="AK303" s="2059"/>
      <c r="BN303" s="61"/>
    </row>
    <row r="304" spans="2:66" ht="13.2">
      <c r="B304" s="58" t="s">
        <v>506</v>
      </c>
      <c r="C304" s="58"/>
      <c r="D304" s="58"/>
      <c r="E304" s="58"/>
      <c r="F304" s="58"/>
      <c r="H304" s="2059"/>
      <c r="I304" s="2059"/>
      <c r="J304" s="2059"/>
      <c r="K304" s="2059"/>
      <c r="L304" s="2059"/>
      <c r="M304" s="2059"/>
      <c r="N304" s="2059"/>
      <c r="O304" s="2059"/>
      <c r="P304" s="2059"/>
      <c r="Q304" s="2059"/>
      <c r="R304" s="2059"/>
      <c r="T304" s="58" t="s">
        <v>79</v>
      </c>
      <c r="V304" s="58"/>
      <c r="W304" s="58"/>
      <c r="X304" s="58"/>
      <c r="Y304" s="58"/>
      <c r="AA304" s="2059"/>
      <c r="AB304" s="2059"/>
      <c r="AC304" s="2059"/>
      <c r="AD304" s="2059"/>
      <c r="AE304" s="2059"/>
      <c r="AF304" s="2059"/>
      <c r="AG304" s="2059"/>
      <c r="AH304" s="2059"/>
      <c r="AI304" s="2059"/>
      <c r="AJ304" s="2059"/>
      <c r="AK304" s="2059"/>
      <c r="BN304" s="61"/>
    </row>
    <row r="305" spans="2:66" ht="13.2">
      <c r="B305" s="58" t="s">
        <v>92</v>
      </c>
      <c r="C305" s="58"/>
      <c r="D305" s="58"/>
      <c r="E305" s="58"/>
      <c r="F305" s="58"/>
      <c r="H305" s="2059"/>
      <c r="I305" s="2059"/>
      <c r="J305" s="2059"/>
      <c r="K305" s="2059"/>
      <c r="L305" s="2059"/>
      <c r="M305" s="2059"/>
      <c r="N305" s="2059"/>
      <c r="O305" s="2059"/>
      <c r="P305" s="2059"/>
      <c r="Q305" s="2059"/>
      <c r="R305" s="2059"/>
      <c r="T305" s="58" t="s">
        <v>92</v>
      </c>
      <c r="V305" s="58"/>
      <c r="W305" s="58"/>
      <c r="X305" s="58"/>
      <c r="Y305" s="58"/>
      <c r="AA305" s="2059"/>
      <c r="AB305" s="2059"/>
      <c r="AC305" s="2059"/>
      <c r="AD305" s="2059"/>
      <c r="AE305" s="2059"/>
      <c r="AF305" s="2059"/>
      <c r="AG305" s="2059"/>
      <c r="AH305" s="2059"/>
      <c r="AI305" s="2059"/>
      <c r="AJ305" s="2059"/>
      <c r="AK305" s="2059"/>
      <c r="BN305" s="61"/>
    </row>
    <row r="306" spans="2:66" ht="13.2">
      <c r="B306" s="58" t="s">
        <v>93</v>
      </c>
      <c r="C306" s="58"/>
      <c r="D306" s="58"/>
      <c r="E306" s="58"/>
      <c r="F306" s="58"/>
      <c r="G306" s="58"/>
      <c r="H306" s="2201"/>
      <c r="I306" s="2201"/>
      <c r="J306" s="2201"/>
      <c r="K306" s="2201"/>
      <c r="L306" s="2201"/>
      <c r="M306" s="2201"/>
      <c r="N306" s="7" t="s">
        <v>212</v>
      </c>
      <c r="O306" s="7"/>
      <c r="P306" s="2105"/>
      <c r="Q306" s="2105"/>
      <c r="R306" s="2105"/>
      <c r="S306" s="58"/>
      <c r="T306" s="58" t="s">
        <v>93</v>
      </c>
      <c r="V306" s="58"/>
      <c r="W306" s="58"/>
      <c r="X306" s="58"/>
      <c r="Y306" s="58"/>
      <c r="AA306" s="2201"/>
      <c r="AB306" s="2201"/>
      <c r="AC306" s="2201"/>
      <c r="AD306" s="2201"/>
      <c r="AE306" s="2201"/>
      <c r="AF306" s="2201"/>
      <c r="AG306" s="7" t="s">
        <v>212</v>
      </c>
      <c r="AH306" s="7"/>
      <c r="AI306" s="2105"/>
      <c r="AJ306" s="2105"/>
      <c r="AK306" s="2105"/>
      <c r="BN306" s="61"/>
    </row>
    <row r="307" spans="2:66" ht="13.2">
      <c r="B307" s="58" t="s">
        <v>94</v>
      </c>
      <c r="C307" s="58"/>
      <c r="D307" s="58"/>
      <c r="E307" s="58"/>
      <c r="F307" s="58"/>
      <c r="G307" s="58"/>
      <c r="H307" s="2094"/>
      <c r="I307" s="2094"/>
      <c r="J307" s="2094"/>
      <c r="K307" s="2094"/>
      <c r="L307" s="2094"/>
      <c r="M307" s="2094"/>
      <c r="N307" s="60"/>
      <c r="O307" s="60"/>
      <c r="P307" s="62"/>
      <c r="Q307" s="62"/>
      <c r="R307" s="62"/>
      <c r="S307" s="58"/>
      <c r="T307" s="58" t="s">
        <v>94</v>
      </c>
      <c r="V307" s="58"/>
      <c r="W307" s="58"/>
      <c r="X307" s="58"/>
      <c r="Y307" s="58"/>
      <c r="AA307" s="2094"/>
      <c r="AB307" s="2094"/>
      <c r="AC307" s="2094"/>
      <c r="AD307" s="2094"/>
      <c r="AE307" s="2094"/>
      <c r="AF307" s="2094"/>
      <c r="AG307" s="60"/>
      <c r="AH307" s="60"/>
      <c r="AI307" s="62"/>
      <c r="AJ307" s="62"/>
      <c r="AK307" s="62"/>
      <c r="BN307" s="61"/>
    </row>
    <row r="308" spans="2:66" ht="13.2">
      <c r="B308" s="58" t="s">
        <v>80</v>
      </c>
      <c r="C308" s="58"/>
      <c r="D308" s="58"/>
      <c r="E308" s="58"/>
      <c r="F308" s="58"/>
      <c r="G308" s="58"/>
      <c r="H308" s="2059"/>
      <c r="I308" s="2059"/>
      <c r="J308" s="2059"/>
      <c r="K308" s="2059"/>
      <c r="L308" s="2059"/>
      <c r="M308" s="2059"/>
      <c r="N308" s="2021"/>
      <c r="O308" s="2021"/>
      <c r="P308" s="2021"/>
      <c r="Q308" s="2021"/>
      <c r="R308" s="2021"/>
      <c r="S308" s="58"/>
      <c r="T308" s="58" t="s">
        <v>80</v>
      </c>
      <c r="V308" s="58"/>
      <c r="W308" s="58"/>
      <c r="X308" s="58"/>
      <c r="Y308" s="58"/>
      <c r="AA308" s="2059"/>
      <c r="AB308" s="2059"/>
      <c r="AC308" s="2059"/>
      <c r="AD308" s="2059"/>
      <c r="AE308" s="2059"/>
      <c r="AF308" s="2059"/>
      <c r="AG308" s="2021"/>
      <c r="AH308" s="2021"/>
      <c r="AI308" s="2021"/>
      <c r="AJ308" s="2021"/>
      <c r="AK308" s="202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979</v>
      </c>
      <c r="C310" s="58"/>
      <c r="D310" s="58"/>
      <c r="E310" s="58"/>
      <c r="F310" s="58"/>
      <c r="H310" s="2021" t="s">
        <v>2496</v>
      </c>
      <c r="I310" s="2021"/>
      <c r="J310" s="2021"/>
      <c r="K310" s="2021"/>
      <c r="L310" s="2021"/>
      <c r="M310" s="2021"/>
      <c r="N310" s="2021"/>
      <c r="O310" s="2021"/>
      <c r="P310" s="2021"/>
      <c r="Q310" s="2021"/>
      <c r="R310" s="2021"/>
      <c r="S310" s="58"/>
      <c r="T310" s="58" t="s">
        <v>377</v>
      </c>
      <c r="V310" s="58"/>
      <c r="W310" s="58"/>
      <c r="X310" s="58"/>
      <c r="Y310" s="58"/>
      <c r="AA310" s="2021" t="s">
        <v>2547</v>
      </c>
      <c r="AB310" s="2021"/>
      <c r="AC310" s="2021"/>
      <c r="AD310" s="2021"/>
      <c r="AE310" s="2021"/>
      <c r="AF310" s="2021"/>
      <c r="AG310" s="2021"/>
      <c r="AH310" s="2021"/>
      <c r="AI310" s="2021"/>
      <c r="AJ310" s="2021"/>
      <c r="AK310" s="2021"/>
      <c r="BN310" s="61"/>
    </row>
    <row r="311" spans="2:66" ht="13.2">
      <c r="B311" s="58" t="s">
        <v>505</v>
      </c>
      <c r="C311" s="58"/>
      <c r="D311" s="58"/>
      <c r="E311" s="58"/>
      <c r="F311" s="58"/>
      <c r="H311" s="2059" t="s">
        <v>2543</v>
      </c>
      <c r="I311" s="2059"/>
      <c r="J311" s="2059"/>
      <c r="K311" s="2059"/>
      <c r="L311" s="2059"/>
      <c r="M311" s="2059"/>
      <c r="N311" s="2059"/>
      <c r="O311" s="2059"/>
      <c r="P311" s="2059"/>
      <c r="Q311" s="2059"/>
      <c r="R311" s="2059"/>
      <c r="S311" s="58"/>
      <c r="T311" s="58" t="s">
        <v>505</v>
      </c>
      <c r="V311" s="58"/>
      <c r="W311" s="58"/>
      <c r="X311" s="58"/>
      <c r="Y311" s="58"/>
      <c r="AA311" s="2059" t="s">
        <v>2548</v>
      </c>
      <c r="AB311" s="2059"/>
      <c r="AC311" s="2059"/>
      <c r="AD311" s="2059"/>
      <c r="AE311" s="2059"/>
      <c r="AF311" s="2059"/>
      <c r="AG311" s="2059"/>
      <c r="AH311" s="2059"/>
      <c r="AI311" s="2059"/>
      <c r="AJ311" s="2059"/>
      <c r="AK311" s="2059"/>
      <c r="BN311" s="61"/>
    </row>
    <row r="312" spans="2:66" ht="12.75" customHeight="1">
      <c r="B312" s="58" t="s">
        <v>506</v>
      </c>
      <c r="C312" s="58"/>
      <c r="D312" s="58"/>
      <c r="E312" s="58"/>
      <c r="F312" s="58"/>
      <c r="H312" s="2059" t="s">
        <v>2544</v>
      </c>
      <c r="I312" s="2059"/>
      <c r="J312" s="2059"/>
      <c r="K312" s="2059"/>
      <c r="L312" s="2059"/>
      <c r="M312" s="2059"/>
      <c r="N312" s="2059"/>
      <c r="O312" s="2059"/>
      <c r="P312" s="2059"/>
      <c r="Q312" s="2059"/>
      <c r="R312" s="2059"/>
      <c r="S312" s="58"/>
      <c r="T312" s="58" t="s">
        <v>79</v>
      </c>
      <c r="V312" s="58"/>
      <c r="W312" s="58"/>
      <c r="X312" s="58"/>
      <c r="Y312" s="58"/>
      <c r="AA312" s="2059" t="s">
        <v>2549</v>
      </c>
      <c r="AB312" s="2059"/>
      <c r="AC312" s="2059"/>
      <c r="AD312" s="2059"/>
      <c r="AE312" s="2059"/>
      <c r="AF312" s="2059"/>
      <c r="AG312" s="2059"/>
      <c r="AH312" s="2059"/>
      <c r="AI312" s="2059"/>
      <c r="AJ312" s="2059"/>
      <c r="AK312" s="2059"/>
      <c r="BN312" s="61"/>
    </row>
    <row r="313" spans="2:66" ht="13.2">
      <c r="B313" s="58" t="s">
        <v>92</v>
      </c>
      <c r="C313" s="58"/>
      <c r="D313" s="58"/>
      <c r="E313" s="58"/>
      <c r="F313" s="58"/>
      <c r="H313" s="2059" t="s">
        <v>2545</v>
      </c>
      <c r="I313" s="2059"/>
      <c r="J313" s="2059"/>
      <c r="K313" s="2059"/>
      <c r="L313" s="2059"/>
      <c r="M313" s="2059"/>
      <c r="N313" s="2059"/>
      <c r="O313" s="2059"/>
      <c r="P313" s="2059"/>
      <c r="Q313" s="2059"/>
      <c r="R313" s="2059"/>
      <c r="S313" s="58"/>
      <c r="T313" s="58" t="s">
        <v>92</v>
      </c>
      <c r="V313" s="58"/>
      <c r="W313" s="58"/>
      <c r="X313" s="58"/>
      <c r="Y313" s="58"/>
      <c r="AA313" s="2059" t="s">
        <v>2550</v>
      </c>
      <c r="AB313" s="2059"/>
      <c r="AC313" s="2059"/>
      <c r="AD313" s="2059"/>
      <c r="AE313" s="2059"/>
      <c r="AF313" s="2059"/>
      <c r="AG313" s="2059"/>
      <c r="AH313" s="2059"/>
      <c r="AI313" s="2059"/>
      <c r="AJ313" s="2059"/>
      <c r="AK313" s="2059"/>
      <c r="BN313" s="61"/>
    </row>
    <row r="314" spans="2:66" ht="13.2">
      <c r="B314" s="58" t="s">
        <v>93</v>
      </c>
      <c r="C314" s="58"/>
      <c r="D314" s="58"/>
      <c r="E314" s="58"/>
      <c r="F314" s="58"/>
      <c r="G314" s="58"/>
      <c r="H314" s="2201">
        <v>4153568025</v>
      </c>
      <c r="I314" s="2201"/>
      <c r="J314" s="2201"/>
      <c r="K314" s="2201"/>
      <c r="L314" s="2201"/>
      <c r="M314" s="2201"/>
      <c r="N314" s="7" t="s">
        <v>212</v>
      </c>
      <c r="O314" s="7"/>
      <c r="P314" s="2105"/>
      <c r="Q314" s="2105"/>
      <c r="R314" s="2105"/>
      <c r="S314" s="58"/>
      <c r="T314" s="58" t="s">
        <v>93</v>
      </c>
      <c r="V314" s="58"/>
      <c r="W314" s="58"/>
      <c r="X314" s="58"/>
      <c r="Y314" s="58"/>
      <c r="AA314" s="2201">
        <v>9494392616</v>
      </c>
      <c r="AB314" s="2201"/>
      <c r="AC314" s="2201"/>
      <c r="AD314" s="2201"/>
      <c r="AE314" s="2201"/>
      <c r="AF314" s="2201"/>
      <c r="AG314" s="7" t="s">
        <v>212</v>
      </c>
      <c r="AH314" s="7"/>
      <c r="AI314" s="2105"/>
      <c r="AJ314" s="2105"/>
      <c r="AK314" s="2105"/>
      <c r="BN314" s="61"/>
    </row>
    <row r="315" spans="2:66" ht="13.2">
      <c r="B315" s="58" t="s">
        <v>94</v>
      </c>
      <c r="C315" s="58"/>
      <c r="D315" s="58"/>
      <c r="E315" s="58"/>
      <c r="F315" s="58"/>
      <c r="G315" s="58"/>
      <c r="H315" s="2095" t="s">
        <v>627</v>
      </c>
      <c r="I315" s="2094"/>
      <c r="J315" s="2094"/>
      <c r="K315" s="2094"/>
      <c r="L315" s="2094"/>
      <c r="M315" s="2094"/>
      <c r="N315" s="60"/>
      <c r="O315" s="60"/>
      <c r="P315" s="62"/>
      <c r="Q315" s="62"/>
      <c r="R315" s="62"/>
      <c r="S315" s="58"/>
      <c r="T315" s="58" t="s">
        <v>94</v>
      </c>
      <c r="V315" s="58"/>
      <c r="W315" s="58"/>
      <c r="X315" s="58"/>
      <c r="Y315" s="58"/>
      <c r="AA315" s="2095" t="s">
        <v>627</v>
      </c>
      <c r="AB315" s="2094"/>
      <c r="AC315" s="2094"/>
      <c r="AD315" s="2094"/>
      <c r="AE315" s="2094"/>
      <c r="AF315" s="2094"/>
      <c r="AG315" s="60"/>
      <c r="AH315" s="60"/>
      <c r="AI315" s="62"/>
      <c r="AJ315" s="62"/>
      <c r="AK315" s="62"/>
      <c r="BN315" s="61"/>
    </row>
    <row r="316" spans="2:66" ht="13.2">
      <c r="B316" s="58" t="s">
        <v>80</v>
      </c>
      <c r="C316" s="58"/>
      <c r="D316" s="58"/>
      <c r="E316" s="58"/>
      <c r="F316" s="58"/>
      <c r="G316" s="58"/>
      <c r="H316" s="2059" t="s">
        <v>2546</v>
      </c>
      <c r="I316" s="2059"/>
      <c r="J316" s="2059"/>
      <c r="K316" s="2059"/>
      <c r="L316" s="2059"/>
      <c r="M316" s="2059"/>
      <c r="N316" s="2021"/>
      <c r="O316" s="2021"/>
      <c r="P316" s="2021"/>
      <c r="Q316" s="2021"/>
      <c r="R316" s="2021"/>
      <c r="S316" s="58"/>
      <c r="T316" s="58" t="s">
        <v>80</v>
      </c>
      <c r="V316" s="58"/>
      <c r="W316" s="58"/>
      <c r="X316" s="58"/>
      <c r="Y316" s="58"/>
      <c r="AA316" s="2059" t="s">
        <v>2551</v>
      </c>
      <c r="AB316" s="2059"/>
      <c r="AC316" s="2059"/>
      <c r="AD316" s="2059"/>
      <c r="AE316" s="2059"/>
      <c r="AF316" s="2059"/>
      <c r="AG316" s="2021"/>
      <c r="AH316" s="2021"/>
      <c r="AI316" s="2021"/>
      <c r="AJ316" s="2021"/>
      <c r="AK316" s="2021"/>
      <c r="BN316" s="61"/>
    </row>
    <row r="317" spans="2:66" ht="13.2">
      <c r="BN317" s="61"/>
    </row>
    <row r="318" spans="2:66" ht="13.2">
      <c r="B318" s="7" t="s">
        <v>980</v>
      </c>
      <c r="C318" s="58"/>
      <c r="D318" s="58"/>
      <c r="E318" s="58"/>
      <c r="F318" s="58"/>
      <c r="H318" s="2021"/>
      <c r="I318" s="2021"/>
      <c r="J318" s="2021"/>
      <c r="K318" s="2021"/>
      <c r="L318" s="2021"/>
      <c r="M318" s="2021"/>
      <c r="N318" s="2021"/>
      <c r="O318" s="2021"/>
      <c r="P318" s="2021"/>
      <c r="Q318" s="2021"/>
      <c r="R318" s="2021"/>
      <c r="T318" s="58" t="s">
        <v>378</v>
      </c>
      <c r="V318" s="58"/>
      <c r="W318" s="58"/>
      <c r="X318" s="58"/>
      <c r="Y318" s="58"/>
      <c r="AA318" s="2029" t="s">
        <v>2531</v>
      </c>
      <c r="AB318" s="2021"/>
      <c r="AC318" s="2021"/>
      <c r="AD318" s="2021"/>
      <c r="AE318" s="2021"/>
      <c r="AF318" s="2021"/>
      <c r="AG318" s="2021"/>
      <c r="AH318" s="2021"/>
      <c r="AI318" s="2021"/>
      <c r="AJ318" s="2021"/>
      <c r="AK318" s="2021"/>
      <c r="BN318" s="61"/>
    </row>
    <row r="319" spans="2:66" ht="13.2">
      <c r="B319" s="58" t="s">
        <v>505</v>
      </c>
      <c r="C319" s="58"/>
      <c r="D319" s="58"/>
      <c r="E319" s="58"/>
      <c r="F319" s="58"/>
      <c r="H319" s="2059"/>
      <c r="I319" s="2059"/>
      <c r="J319" s="2059"/>
      <c r="K319" s="2059"/>
      <c r="L319" s="2059"/>
      <c r="M319" s="2059"/>
      <c r="N319" s="2059"/>
      <c r="O319" s="2059"/>
      <c r="P319" s="2059"/>
      <c r="Q319" s="2059"/>
      <c r="R319" s="2059"/>
      <c r="T319" s="58" t="s">
        <v>505</v>
      </c>
      <c r="V319" s="58"/>
      <c r="W319" s="58"/>
      <c r="X319" s="58"/>
      <c r="Y319" s="58"/>
      <c r="AA319" s="2059" t="s">
        <v>2554</v>
      </c>
      <c r="AB319" s="2059"/>
      <c r="AC319" s="2059"/>
      <c r="AD319" s="2059"/>
      <c r="AE319" s="2059"/>
      <c r="AF319" s="2059"/>
      <c r="AG319" s="2059"/>
      <c r="AH319" s="2059"/>
      <c r="AI319" s="2059"/>
      <c r="AJ319" s="2059"/>
      <c r="AK319" s="2059"/>
      <c r="BN319" s="61"/>
    </row>
    <row r="320" spans="2:66" ht="13.2">
      <c r="B320" s="58" t="s">
        <v>506</v>
      </c>
      <c r="C320" s="58"/>
      <c r="D320" s="58"/>
      <c r="E320" s="58"/>
      <c r="F320" s="58"/>
      <c r="H320" s="2059"/>
      <c r="I320" s="2059"/>
      <c r="J320" s="2059"/>
      <c r="K320" s="2059"/>
      <c r="L320" s="2059"/>
      <c r="M320" s="2059"/>
      <c r="N320" s="2059"/>
      <c r="O320" s="2059"/>
      <c r="P320" s="2059"/>
      <c r="Q320" s="2059"/>
      <c r="R320" s="2059"/>
      <c r="T320" s="58" t="s">
        <v>79</v>
      </c>
      <c r="V320" s="58"/>
      <c r="W320" s="58"/>
      <c r="X320" s="58"/>
      <c r="Y320" s="58"/>
      <c r="AA320" s="2059" t="s">
        <v>2555</v>
      </c>
      <c r="AB320" s="2059"/>
      <c r="AC320" s="2059"/>
      <c r="AD320" s="2059"/>
      <c r="AE320" s="2059"/>
      <c r="AF320" s="2059"/>
      <c r="AG320" s="2059"/>
      <c r="AH320" s="2059"/>
      <c r="AI320" s="2059"/>
      <c r="AJ320" s="2059"/>
      <c r="AK320" s="2059"/>
      <c r="BN320" s="61"/>
    </row>
    <row r="321" spans="1:66" ht="12.75" customHeight="1">
      <c r="A321" s="39"/>
      <c r="B321" s="58" t="s">
        <v>92</v>
      </c>
      <c r="C321" s="58"/>
      <c r="D321" s="58"/>
      <c r="E321" s="58"/>
      <c r="F321" s="58"/>
      <c r="H321" s="2059"/>
      <c r="I321" s="2059"/>
      <c r="J321" s="2059"/>
      <c r="K321" s="2059"/>
      <c r="L321" s="2059"/>
      <c r="M321" s="2059"/>
      <c r="N321" s="2059"/>
      <c r="O321" s="2059"/>
      <c r="P321" s="2059"/>
      <c r="Q321" s="2059"/>
      <c r="R321" s="2059"/>
      <c r="T321" s="58" t="s">
        <v>92</v>
      </c>
      <c r="V321" s="58"/>
      <c r="W321" s="58"/>
      <c r="X321" s="58"/>
      <c r="Y321" s="58"/>
      <c r="AA321" s="2056" t="s">
        <v>2557</v>
      </c>
      <c r="AB321" s="2059"/>
      <c r="AC321" s="2059"/>
      <c r="AD321" s="2059"/>
      <c r="AE321" s="2059"/>
      <c r="AF321" s="2059"/>
      <c r="AG321" s="2059"/>
      <c r="AH321" s="2059"/>
      <c r="AI321" s="2059"/>
      <c r="AJ321" s="2059"/>
      <c r="AK321" s="2059"/>
      <c r="AL321" s="39"/>
      <c r="BN321" s="61"/>
    </row>
    <row r="322" spans="1:66" ht="13.2">
      <c r="A322" s="39"/>
      <c r="B322" s="58" t="s">
        <v>93</v>
      </c>
      <c r="C322" s="58"/>
      <c r="D322" s="58"/>
      <c r="E322" s="58"/>
      <c r="F322" s="58"/>
      <c r="G322" s="58"/>
      <c r="H322" s="2201"/>
      <c r="I322" s="2201"/>
      <c r="J322" s="2201"/>
      <c r="K322" s="2201"/>
      <c r="L322" s="2201"/>
      <c r="M322" s="2201"/>
      <c r="N322" s="7" t="s">
        <v>212</v>
      </c>
      <c r="O322" s="7"/>
      <c r="P322" s="2105"/>
      <c r="Q322" s="2105"/>
      <c r="R322" s="2105"/>
      <c r="S322" s="58"/>
      <c r="T322" s="58" t="s">
        <v>93</v>
      </c>
      <c r="V322" s="58"/>
      <c r="W322" s="58"/>
      <c r="X322" s="58"/>
      <c r="Y322" s="58"/>
      <c r="AA322" s="2216">
        <v>4022020771</v>
      </c>
      <c r="AB322" s="2216"/>
      <c r="AC322" s="2216"/>
      <c r="AD322" s="2216"/>
      <c r="AE322" s="2216"/>
      <c r="AF322" s="2216"/>
      <c r="AG322" s="7" t="s">
        <v>212</v>
      </c>
      <c r="AH322" s="7"/>
      <c r="AI322" s="2105"/>
      <c r="AJ322" s="2105"/>
      <c r="AK322" s="2105"/>
      <c r="AL322" s="39"/>
      <c r="BN322" s="61"/>
    </row>
    <row r="323" spans="1:66" ht="12.75" customHeight="1">
      <c r="A323" s="39"/>
      <c r="B323" s="58" t="s">
        <v>94</v>
      </c>
      <c r="C323" s="58"/>
      <c r="D323" s="58"/>
      <c r="E323" s="58"/>
      <c r="F323" s="58"/>
      <c r="G323" s="58"/>
      <c r="H323" s="2094"/>
      <c r="I323" s="2094"/>
      <c r="J323" s="2094"/>
      <c r="K323" s="2094"/>
      <c r="L323" s="2094"/>
      <c r="M323" s="2094"/>
      <c r="N323" s="60"/>
      <c r="O323" s="60"/>
      <c r="P323" s="62"/>
      <c r="Q323" s="62"/>
      <c r="R323" s="62"/>
      <c r="S323" s="58"/>
      <c r="T323" s="58" t="s">
        <v>94</v>
      </c>
      <c r="V323" s="58"/>
      <c r="W323" s="58"/>
      <c r="X323" s="58"/>
      <c r="Y323" s="58"/>
      <c r="AA323" s="2095" t="s">
        <v>627</v>
      </c>
      <c r="AB323" s="2094"/>
      <c r="AC323" s="2094"/>
      <c r="AD323" s="2094"/>
      <c r="AE323" s="2094"/>
      <c r="AF323" s="2094"/>
      <c r="AG323" s="60"/>
      <c r="AH323" s="60"/>
      <c r="AI323" s="62"/>
      <c r="AJ323" s="62"/>
      <c r="AK323" s="62"/>
      <c r="AL323" s="39"/>
    </row>
    <row r="324" spans="1:66" ht="13.2">
      <c r="A324" s="39"/>
      <c r="B324" s="58" t="s">
        <v>80</v>
      </c>
      <c r="C324" s="58"/>
      <c r="D324" s="58"/>
      <c r="E324" s="58"/>
      <c r="F324" s="58"/>
      <c r="G324" s="58"/>
      <c r="H324" s="2059"/>
      <c r="I324" s="2059"/>
      <c r="J324" s="2059"/>
      <c r="K324" s="2059"/>
      <c r="L324" s="2059"/>
      <c r="M324" s="2059"/>
      <c r="N324" s="2021"/>
      <c r="O324" s="2021"/>
      <c r="P324" s="2021"/>
      <c r="Q324" s="2021"/>
      <c r="R324" s="2021"/>
      <c r="S324" s="58"/>
      <c r="T324" s="58" t="s">
        <v>80</v>
      </c>
      <c r="V324" s="58"/>
      <c r="W324" s="58"/>
      <c r="X324" s="58"/>
      <c r="Y324" s="58"/>
      <c r="AA324" s="2059" t="s">
        <v>2556</v>
      </c>
      <c r="AB324" s="2059"/>
      <c r="AC324" s="2059"/>
      <c r="AD324" s="2059"/>
      <c r="AE324" s="2059"/>
      <c r="AF324" s="2059"/>
      <c r="AG324" s="2021"/>
      <c r="AH324" s="2021"/>
      <c r="AI324" s="2021"/>
      <c r="AJ324" s="2021"/>
      <c r="AK324" s="202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29" t="s">
        <v>2531</v>
      </c>
      <c r="I326" s="2021"/>
      <c r="J326" s="2021"/>
      <c r="K326" s="2021"/>
      <c r="L326" s="2021"/>
      <c r="M326" s="2021"/>
      <c r="N326" s="2021"/>
      <c r="O326" s="2021"/>
      <c r="P326" s="2021"/>
      <c r="Q326" s="2021"/>
      <c r="R326" s="2021"/>
      <c r="T326" s="58" t="s">
        <v>380</v>
      </c>
      <c r="V326" s="58"/>
      <c r="W326" s="58"/>
      <c r="X326" s="58"/>
      <c r="Y326" s="58"/>
      <c r="AA326" s="2021"/>
      <c r="AB326" s="2021"/>
      <c r="AC326" s="2021"/>
      <c r="AD326" s="2021"/>
      <c r="AE326" s="2021"/>
      <c r="AF326" s="2021"/>
      <c r="AG326" s="2021"/>
      <c r="AH326" s="2021"/>
      <c r="AI326" s="2021"/>
      <c r="AJ326" s="2021"/>
      <c r="AK326" s="2021"/>
      <c r="AL326" s="39"/>
    </row>
    <row r="327" spans="1:66" ht="13.2">
      <c r="A327" s="39"/>
      <c r="B327" s="58" t="s">
        <v>505</v>
      </c>
      <c r="C327" s="58"/>
      <c r="D327" s="58"/>
      <c r="E327" s="58"/>
      <c r="F327" s="58"/>
      <c r="H327" s="2059" t="s">
        <v>2554</v>
      </c>
      <c r="I327" s="2059"/>
      <c r="J327" s="2059"/>
      <c r="K327" s="2059"/>
      <c r="L327" s="2059"/>
      <c r="M327" s="2059"/>
      <c r="N327" s="2059"/>
      <c r="O327" s="2059"/>
      <c r="P327" s="2059"/>
      <c r="Q327" s="2059"/>
      <c r="R327" s="2059"/>
      <c r="T327" s="58" t="s">
        <v>505</v>
      </c>
      <c r="V327" s="58"/>
      <c r="W327" s="58"/>
      <c r="X327" s="58"/>
      <c r="Y327" s="58"/>
      <c r="AA327" s="2059"/>
      <c r="AB327" s="2059"/>
      <c r="AC327" s="2059"/>
      <c r="AD327" s="2059"/>
      <c r="AE327" s="2059"/>
      <c r="AF327" s="2059"/>
      <c r="AG327" s="2059"/>
      <c r="AH327" s="2059"/>
      <c r="AI327" s="2059"/>
      <c r="AJ327" s="2059"/>
      <c r="AK327" s="2059"/>
      <c r="AL327" s="39"/>
    </row>
    <row r="328" spans="1:66" ht="13.2">
      <c r="A328" s="39"/>
      <c r="B328" s="58" t="s">
        <v>506</v>
      </c>
      <c r="C328" s="58"/>
      <c r="D328" s="58"/>
      <c r="E328" s="58"/>
      <c r="F328" s="58"/>
      <c r="H328" s="2059" t="s">
        <v>2555</v>
      </c>
      <c r="I328" s="2059"/>
      <c r="J328" s="2059"/>
      <c r="K328" s="2059"/>
      <c r="L328" s="2059"/>
      <c r="M328" s="2059"/>
      <c r="N328" s="2059"/>
      <c r="O328" s="2059"/>
      <c r="P328" s="2059"/>
      <c r="Q328" s="2059"/>
      <c r="R328" s="2059"/>
      <c r="T328" s="58" t="s">
        <v>79</v>
      </c>
      <c r="V328" s="58"/>
      <c r="W328" s="58"/>
      <c r="X328" s="58"/>
      <c r="Y328" s="58"/>
      <c r="AA328" s="2059"/>
      <c r="AB328" s="2059"/>
      <c r="AC328" s="2059"/>
      <c r="AD328" s="2059"/>
      <c r="AE328" s="2059"/>
      <c r="AF328" s="2059"/>
      <c r="AG328" s="2059"/>
      <c r="AH328" s="2059"/>
      <c r="AI328" s="2059"/>
      <c r="AJ328" s="2059"/>
      <c r="AK328" s="2059"/>
      <c r="AL328" s="39"/>
    </row>
    <row r="329" spans="1:66" ht="13.2">
      <c r="A329" s="39"/>
      <c r="B329" s="58" t="s">
        <v>92</v>
      </c>
      <c r="C329" s="58"/>
      <c r="D329" s="58"/>
      <c r="E329" s="58"/>
      <c r="F329" s="58"/>
      <c r="H329" s="2056" t="s">
        <v>2557</v>
      </c>
      <c r="I329" s="2059"/>
      <c r="J329" s="2059"/>
      <c r="K329" s="2059"/>
      <c r="L329" s="2059"/>
      <c r="M329" s="2059"/>
      <c r="N329" s="2059"/>
      <c r="O329" s="2059"/>
      <c r="P329" s="2059"/>
      <c r="Q329" s="2059"/>
      <c r="R329" s="2059"/>
      <c r="T329" s="58" t="s">
        <v>92</v>
      </c>
      <c r="V329" s="58"/>
      <c r="W329" s="58"/>
      <c r="X329" s="58"/>
      <c r="Y329" s="58"/>
      <c r="AA329" s="2059"/>
      <c r="AB329" s="2059"/>
      <c r="AC329" s="2059"/>
      <c r="AD329" s="2059"/>
      <c r="AE329" s="2059"/>
      <c r="AF329" s="2059"/>
      <c r="AG329" s="2059"/>
      <c r="AH329" s="2059"/>
      <c r="AI329" s="2059"/>
      <c r="AJ329" s="2059"/>
      <c r="AK329" s="2059"/>
      <c r="AL329" s="39"/>
    </row>
    <row r="330" spans="1:66" ht="12.75" customHeight="1">
      <c r="A330" s="39"/>
      <c r="B330" s="58" t="s">
        <v>93</v>
      </c>
      <c r="C330" s="58"/>
      <c r="D330" s="58"/>
      <c r="E330" s="58"/>
      <c r="F330" s="58"/>
      <c r="G330" s="58"/>
      <c r="H330" s="2201">
        <v>4022020771</v>
      </c>
      <c r="I330" s="2201"/>
      <c r="J330" s="2201"/>
      <c r="K330" s="2201"/>
      <c r="L330" s="2201"/>
      <c r="M330" s="2201"/>
      <c r="N330" s="7" t="s">
        <v>212</v>
      </c>
      <c r="O330" s="7"/>
      <c r="P330" s="2105"/>
      <c r="Q330" s="2105"/>
      <c r="R330" s="2105"/>
      <c r="S330" s="58"/>
      <c r="T330" s="58" t="s">
        <v>93</v>
      </c>
      <c r="V330" s="58"/>
      <c r="W330" s="58"/>
      <c r="X330" s="58"/>
      <c r="Y330" s="58"/>
      <c r="AA330" s="2201"/>
      <c r="AB330" s="2201"/>
      <c r="AC330" s="2201"/>
      <c r="AD330" s="2201"/>
      <c r="AE330" s="2201"/>
      <c r="AF330" s="2201"/>
      <c r="AG330" s="7" t="s">
        <v>212</v>
      </c>
      <c r="AH330" s="7"/>
      <c r="AI330" s="2105"/>
      <c r="AJ330" s="2105"/>
      <c r="AK330" s="2105"/>
      <c r="AL330" s="39"/>
    </row>
    <row r="331" spans="1:66" ht="13.2">
      <c r="A331" s="39"/>
      <c r="B331" s="58" t="s">
        <v>94</v>
      </c>
      <c r="C331" s="58"/>
      <c r="D331" s="58"/>
      <c r="E331" s="58"/>
      <c r="F331" s="58"/>
      <c r="G331" s="58"/>
      <c r="H331" s="2095" t="s">
        <v>627</v>
      </c>
      <c r="I331" s="2094"/>
      <c r="J331" s="2094"/>
      <c r="K331" s="2094"/>
      <c r="L331" s="2094"/>
      <c r="M331" s="2094"/>
      <c r="N331" s="60"/>
      <c r="O331" s="60"/>
      <c r="P331" s="62"/>
      <c r="Q331" s="62"/>
      <c r="R331" s="62"/>
      <c r="S331" s="58"/>
      <c r="T331" s="58" t="s">
        <v>94</v>
      </c>
      <c r="V331" s="58"/>
      <c r="W331" s="58"/>
      <c r="X331" s="58"/>
      <c r="Y331" s="58"/>
      <c r="AA331" s="2094"/>
      <c r="AB331" s="2094"/>
      <c r="AC331" s="2094"/>
      <c r="AD331" s="2094"/>
      <c r="AE331" s="2094"/>
      <c r="AF331" s="2094"/>
      <c r="AG331" s="60"/>
      <c r="AH331" s="60"/>
      <c r="AI331" s="62"/>
      <c r="AJ331" s="62"/>
      <c r="AK331" s="62"/>
      <c r="AL331" s="39"/>
    </row>
    <row r="332" spans="1:66" ht="13.2">
      <c r="A332" s="39"/>
      <c r="B332" s="58" t="s">
        <v>80</v>
      </c>
      <c r="C332" s="58"/>
      <c r="D332" s="58"/>
      <c r="E332" s="58"/>
      <c r="F332" s="58"/>
      <c r="G332" s="58"/>
      <c r="H332" s="2059" t="s">
        <v>2556</v>
      </c>
      <c r="I332" s="2059"/>
      <c r="J332" s="2059"/>
      <c r="K332" s="2059"/>
      <c r="L332" s="2059"/>
      <c r="M332" s="2059"/>
      <c r="N332" s="2021"/>
      <c r="O332" s="2021"/>
      <c r="P332" s="2021"/>
      <c r="Q332" s="2021"/>
      <c r="R332" s="2021"/>
      <c r="S332" s="58"/>
      <c r="T332" s="58" t="s">
        <v>80</v>
      </c>
      <c r="V332" s="58"/>
      <c r="W332" s="58"/>
      <c r="X332" s="58"/>
      <c r="Y332" s="58"/>
      <c r="AA332" s="2059"/>
      <c r="AB332" s="2059"/>
      <c r="AC332" s="2059"/>
      <c r="AD332" s="2059"/>
      <c r="AE332" s="2059"/>
      <c r="AF332" s="2059"/>
      <c r="AG332" s="2021"/>
      <c r="AH332" s="2021"/>
      <c r="AI332" s="2021"/>
      <c r="AJ332" s="2021"/>
      <c r="AK332" s="202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1" t="s">
        <v>2500</v>
      </c>
      <c r="I334" s="2021"/>
      <c r="J334" s="2021"/>
      <c r="K334" s="2021"/>
      <c r="L334" s="2021"/>
      <c r="M334" s="2021"/>
      <c r="N334" s="2021"/>
      <c r="O334" s="2021"/>
      <c r="P334" s="2021"/>
      <c r="Q334" s="2021"/>
      <c r="R334" s="2021"/>
      <c r="T334" s="406" t="s">
        <v>955</v>
      </c>
      <c r="V334" s="58"/>
      <c r="W334" s="58"/>
      <c r="X334" s="58"/>
      <c r="Y334" s="58"/>
      <c r="AA334" s="1846" t="s">
        <v>2505</v>
      </c>
      <c r="AB334" s="1846"/>
      <c r="AC334" s="1846"/>
      <c r="AD334" s="1846"/>
      <c r="AE334" s="1846"/>
      <c r="AF334" s="1846"/>
      <c r="AG334" s="1846"/>
      <c r="AH334" s="1846"/>
      <c r="AI334" s="1846"/>
      <c r="AJ334" s="1846"/>
      <c r="AK334" s="1846"/>
      <c r="AL334" s="39"/>
    </row>
    <row r="335" spans="1:66" ht="12.75" customHeight="1">
      <c r="B335" s="58" t="s">
        <v>505</v>
      </c>
      <c r="C335" s="240"/>
      <c r="D335" s="240"/>
      <c r="E335" s="240"/>
      <c r="F335" s="240"/>
      <c r="G335" s="3"/>
      <c r="H335" s="2059" t="s">
        <v>2501</v>
      </c>
      <c r="I335" s="2059"/>
      <c r="J335" s="2059"/>
      <c r="K335" s="2059"/>
      <c r="L335" s="2059"/>
      <c r="M335" s="2059"/>
      <c r="N335" s="2059"/>
      <c r="O335" s="2059"/>
      <c r="P335" s="2059"/>
      <c r="Q335" s="2059"/>
      <c r="R335" s="2059"/>
      <c r="T335" s="58" t="s">
        <v>505</v>
      </c>
      <c r="V335" s="58"/>
      <c r="W335" s="58"/>
      <c r="X335" s="58"/>
      <c r="Y335" s="58"/>
      <c r="AA335" s="1845" t="s">
        <v>2477</v>
      </c>
      <c r="AB335" s="1845"/>
      <c r="AC335" s="1845"/>
      <c r="AD335" s="1845"/>
      <c r="AE335" s="1845"/>
      <c r="AF335" s="1845"/>
      <c r="AG335" s="1845"/>
      <c r="AH335" s="1845"/>
      <c r="AI335" s="1845"/>
      <c r="AJ335" s="1845"/>
      <c r="AK335" s="1845"/>
      <c r="AL335" s="39"/>
    </row>
    <row r="336" spans="1:66" ht="12.75" customHeight="1">
      <c r="B336" s="58" t="s">
        <v>79</v>
      </c>
      <c r="C336" s="240"/>
      <c r="D336" s="240"/>
      <c r="E336" s="240"/>
      <c r="F336" s="240"/>
      <c r="G336" s="3"/>
      <c r="H336" s="2059" t="s">
        <v>2502</v>
      </c>
      <c r="I336" s="2059"/>
      <c r="J336" s="2059"/>
      <c r="K336" s="2059"/>
      <c r="L336" s="2059"/>
      <c r="M336" s="2059"/>
      <c r="N336" s="2059"/>
      <c r="O336" s="2059"/>
      <c r="P336" s="2059"/>
      <c r="Q336" s="2059"/>
      <c r="R336" s="2059"/>
      <c r="T336" s="58" t="s">
        <v>79</v>
      </c>
      <c r="V336" s="58"/>
      <c r="W336" s="58"/>
      <c r="X336" s="58"/>
      <c r="Y336" s="58"/>
      <c r="AA336" s="1845" t="s">
        <v>2487</v>
      </c>
      <c r="AB336" s="1845"/>
      <c r="AC336" s="1845"/>
      <c r="AD336" s="1845"/>
      <c r="AE336" s="1845"/>
      <c r="AF336" s="1845"/>
      <c r="AG336" s="1845"/>
      <c r="AH336" s="1845"/>
      <c r="AI336" s="1845"/>
      <c r="AJ336" s="1845"/>
      <c r="AK336" s="1845"/>
      <c r="AL336" s="39"/>
    </row>
    <row r="337" spans="1:66" ht="12.75" customHeight="1">
      <c r="A337" s="39"/>
      <c r="B337" s="58" t="s">
        <v>92</v>
      </c>
      <c r="C337" s="240"/>
      <c r="D337" s="240"/>
      <c r="E337" s="240"/>
      <c r="F337" s="240"/>
      <c r="G337" s="240"/>
      <c r="H337" s="2059" t="s">
        <v>2503</v>
      </c>
      <c r="I337" s="2059"/>
      <c r="J337" s="2059"/>
      <c r="K337" s="2059"/>
      <c r="L337" s="2059"/>
      <c r="M337" s="2059"/>
      <c r="N337" s="2059"/>
      <c r="O337" s="2059"/>
      <c r="P337" s="2059"/>
      <c r="Q337" s="2059"/>
      <c r="R337" s="2059"/>
      <c r="T337" s="58" t="s">
        <v>92</v>
      </c>
      <c r="V337" s="58"/>
      <c r="W337" s="58"/>
      <c r="X337" s="58"/>
      <c r="Y337" s="58"/>
      <c r="AA337" s="1845" t="s">
        <v>2506</v>
      </c>
      <c r="AB337" s="1845"/>
      <c r="AC337" s="1845"/>
      <c r="AD337" s="1845"/>
      <c r="AE337" s="1845"/>
      <c r="AF337" s="1845"/>
      <c r="AG337" s="1845"/>
      <c r="AH337" s="1845"/>
      <c r="AI337" s="1845"/>
      <c r="AJ337" s="1845"/>
      <c r="AK337" s="1845"/>
      <c r="AL337" s="39"/>
    </row>
    <row r="338" spans="1:66" ht="12.75" customHeight="1">
      <c r="A338" s="39"/>
      <c r="B338" s="58" t="s">
        <v>93</v>
      </c>
      <c r="C338" s="240"/>
      <c r="D338" s="240"/>
      <c r="E338" s="240"/>
      <c r="F338" s="240"/>
      <c r="G338" s="240"/>
      <c r="H338" s="2216">
        <v>7609301333</v>
      </c>
      <c r="I338" s="2216"/>
      <c r="J338" s="2216"/>
      <c r="K338" s="2216"/>
      <c r="L338" s="2216"/>
      <c r="M338" s="2216"/>
      <c r="N338" s="7" t="s">
        <v>212</v>
      </c>
      <c r="O338" s="7"/>
      <c r="P338" s="2105"/>
      <c r="Q338" s="2105"/>
      <c r="R338" s="2105"/>
      <c r="S338" s="58"/>
      <c r="T338" s="58" t="s">
        <v>93</v>
      </c>
      <c r="V338" s="58"/>
      <c r="W338" s="58"/>
      <c r="X338" s="58"/>
      <c r="Y338" s="58"/>
      <c r="AA338" s="2201">
        <v>9167736060</v>
      </c>
      <c r="AB338" s="2201"/>
      <c r="AC338" s="2201"/>
      <c r="AD338" s="2201"/>
      <c r="AE338" s="2201"/>
      <c r="AF338" s="2201"/>
      <c r="AG338" s="7" t="s">
        <v>212</v>
      </c>
      <c r="AH338" s="7"/>
      <c r="AI338" s="2105"/>
      <c r="AJ338" s="2105"/>
      <c r="AK338" s="2105"/>
      <c r="AL338" s="39"/>
    </row>
    <row r="339" spans="1:66" ht="13.2">
      <c r="A339" s="39"/>
      <c r="B339" s="58" t="s">
        <v>94</v>
      </c>
      <c r="C339" s="240"/>
      <c r="D339" s="240"/>
      <c r="E339" s="240"/>
      <c r="F339" s="240"/>
      <c r="G339" s="240"/>
      <c r="H339" s="2095">
        <v>7606833390</v>
      </c>
      <c r="I339" s="2095"/>
      <c r="J339" s="2095"/>
      <c r="K339" s="2095"/>
      <c r="L339" s="2095"/>
      <c r="M339" s="2095"/>
      <c r="N339" s="60"/>
      <c r="O339" s="60"/>
      <c r="P339" s="62"/>
      <c r="Q339" s="62"/>
      <c r="R339" s="62"/>
      <c r="S339" s="58"/>
      <c r="T339" s="58" t="s">
        <v>94</v>
      </c>
      <c r="V339" s="58"/>
      <c r="W339" s="58"/>
      <c r="X339" s="58"/>
      <c r="Y339" s="58"/>
      <c r="AA339" s="2094"/>
      <c r="AB339" s="2094"/>
      <c r="AC339" s="2094"/>
      <c r="AD339" s="2094"/>
      <c r="AE339" s="2094"/>
      <c r="AF339" s="2094"/>
      <c r="AG339" s="60"/>
      <c r="AH339" s="60"/>
      <c r="AI339" s="62"/>
      <c r="AJ339" s="62"/>
      <c r="AK339" s="62"/>
      <c r="AL339" s="39"/>
    </row>
    <row r="340" spans="1:66" ht="13.2">
      <c r="A340" s="39"/>
      <c r="B340" s="58" t="s">
        <v>80</v>
      </c>
      <c r="C340" s="237"/>
      <c r="D340" s="237"/>
      <c r="E340" s="237"/>
      <c r="F340" s="237"/>
      <c r="G340" s="237"/>
      <c r="H340" s="2059" t="s">
        <v>2504</v>
      </c>
      <c r="I340" s="2059"/>
      <c r="J340" s="2059"/>
      <c r="K340" s="2059"/>
      <c r="L340" s="2059"/>
      <c r="M340" s="2059"/>
      <c r="N340" s="2021"/>
      <c r="O340" s="2021"/>
      <c r="P340" s="2021"/>
      <c r="Q340" s="2021"/>
      <c r="R340" s="2021"/>
      <c r="S340" s="58"/>
      <c r="T340" s="58" t="s">
        <v>80</v>
      </c>
      <c r="V340" s="58"/>
      <c r="W340" s="58"/>
      <c r="X340" s="58"/>
      <c r="Y340" s="58"/>
      <c r="AA340" s="2059" t="s">
        <v>2507</v>
      </c>
      <c r="AB340" s="2059"/>
      <c r="AC340" s="2059"/>
      <c r="AD340" s="2059"/>
      <c r="AE340" s="2059"/>
      <c r="AF340" s="2059"/>
      <c r="AG340" s="2021"/>
      <c r="AH340" s="2021"/>
      <c r="AI340" s="2021"/>
      <c r="AJ340" s="2021"/>
      <c r="AK340" s="202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956</v>
      </c>
      <c r="P342" s="2021"/>
      <c r="Q342" s="2021"/>
      <c r="R342" s="2021"/>
      <c r="S342" s="2021"/>
      <c r="T342" s="2021"/>
      <c r="U342" s="2021"/>
      <c r="V342" s="2021"/>
      <c r="W342" s="2021"/>
      <c r="X342" s="2021"/>
      <c r="Y342" s="2021"/>
      <c r="Z342" s="2021"/>
      <c r="AA342" s="2021"/>
      <c r="AB342" s="2021"/>
      <c r="AC342" s="2021"/>
      <c r="AD342" s="2021"/>
      <c r="AE342" s="2021"/>
      <c r="AF342" s="88"/>
      <c r="AG342" s="88"/>
      <c r="AH342" s="88"/>
      <c r="AI342" s="88"/>
      <c r="AJ342" s="88"/>
      <c r="AK342" s="88"/>
      <c r="AL342" s="39"/>
      <c r="BN342" s="12" t="s">
        <v>627</v>
      </c>
    </row>
    <row r="343" spans="1:66" ht="13.2">
      <c r="A343" s="3"/>
      <c r="B343" s="60"/>
      <c r="C343" s="60"/>
      <c r="D343" s="60"/>
      <c r="E343" s="60"/>
      <c r="F343" s="60"/>
      <c r="G343" s="3"/>
      <c r="H343" s="88"/>
      <c r="I343" s="7" t="s">
        <v>505</v>
      </c>
      <c r="P343" s="2059"/>
      <c r="Q343" s="2059"/>
      <c r="R343" s="2059"/>
      <c r="S343" s="2059"/>
      <c r="T343" s="2059"/>
      <c r="U343" s="2059"/>
      <c r="V343" s="2059"/>
      <c r="W343" s="2059"/>
      <c r="X343" s="2059"/>
      <c r="Y343" s="2059"/>
      <c r="Z343" s="2059"/>
      <c r="AA343" s="2059"/>
      <c r="AB343" s="2059"/>
      <c r="AC343" s="2059"/>
      <c r="AD343" s="2059"/>
      <c r="AE343" s="2059"/>
      <c r="AF343" s="88"/>
      <c r="AG343" s="88"/>
      <c r="AH343" s="88"/>
      <c r="AI343" s="88"/>
      <c r="AJ343" s="88"/>
      <c r="AK343" s="88"/>
      <c r="AL343" s="39"/>
      <c r="BN343" s="12" t="s">
        <v>707</v>
      </c>
    </row>
    <row r="344" spans="1:66" ht="13.2">
      <c r="A344" s="3"/>
      <c r="B344" s="60"/>
      <c r="C344" s="60"/>
      <c r="D344" s="60"/>
      <c r="E344" s="60"/>
      <c r="F344" s="60"/>
      <c r="G344" s="3"/>
      <c r="H344" s="88"/>
      <c r="I344" s="7" t="s">
        <v>79</v>
      </c>
      <c r="P344" s="2059"/>
      <c r="Q344" s="2059"/>
      <c r="R344" s="2059"/>
      <c r="S344" s="2059"/>
      <c r="T344" s="2059"/>
      <c r="U344" s="2059"/>
      <c r="V344" s="2059"/>
      <c r="W344" s="2059"/>
      <c r="X344" s="2059"/>
      <c r="Y344" s="2059"/>
      <c r="Z344" s="2059"/>
      <c r="AA344" s="2059"/>
      <c r="AB344" s="2059"/>
      <c r="AC344" s="2059"/>
      <c r="AD344" s="2059"/>
      <c r="AE344" s="2059"/>
      <c r="AF344" s="88"/>
      <c r="AG344" s="88"/>
      <c r="AH344" s="88"/>
      <c r="AI344" s="88"/>
      <c r="AJ344" s="88"/>
      <c r="AK344" s="88"/>
      <c r="AL344" s="39"/>
      <c r="BN344" s="12" t="s">
        <v>579</v>
      </c>
    </row>
    <row r="345" spans="1:66" ht="13.2">
      <c r="A345" s="3"/>
      <c r="B345" s="60"/>
      <c r="C345" s="60"/>
      <c r="D345" s="60"/>
      <c r="E345" s="60"/>
      <c r="F345" s="60"/>
      <c r="G345" s="60"/>
      <c r="H345" s="88"/>
      <c r="I345" s="7" t="s">
        <v>92</v>
      </c>
      <c r="P345" s="2059"/>
      <c r="Q345" s="2059"/>
      <c r="R345" s="2059"/>
      <c r="S345" s="2059"/>
      <c r="T345" s="2059"/>
      <c r="U345" s="2059"/>
      <c r="V345" s="2059"/>
      <c r="W345" s="2059"/>
      <c r="X345" s="2059"/>
      <c r="Y345" s="2059"/>
      <c r="Z345" s="2059"/>
      <c r="AA345" s="2059"/>
      <c r="AB345" s="2059"/>
      <c r="AC345" s="2059"/>
      <c r="AD345" s="2059"/>
      <c r="AE345" s="2059"/>
      <c r="AF345" s="88"/>
      <c r="AG345" s="88"/>
      <c r="AH345" s="88"/>
      <c r="AI345" s="88"/>
      <c r="AJ345" s="88"/>
      <c r="AK345" s="88"/>
      <c r="AL345" s="39"/>
    </row>
    <row r="346" spans="1:66" ht="13.2">
      <c r="A346" s="3"/>
      <c r="B346" s="60"/>
      <c r="C346" s="60"/>
      <c r="D346" s="60"/>
      <c r="E346" s="60"/>
      <c r="F346" s="60"/>
      <c r="G346" s="60"/>
      <c r="H346" s="466"/>
      <c r="I346" s="7" t="s">
        <v>93</v>
      </c>
      <c r="P346" s="2094"/>
      <c r="Q346" s="2094"/>
      <c r="R346" s="2094"/>
      <c r="S346" s="2094"/>
      <c r="T346" s="2094"/>
      <c r="U346" s="2094"/>
      <c r="V346" s="2094"/>
      <c r="W346" s="2094"/>
      <c r="X346" s="2094"/>
      <c r="Y346" s="2094"/>
      <c r="Z346" s="2094"/>
      <c r="AA346" s="7" t="s">
        <v>212</v>
      </c>
      <c r="AB346" s="7"/>
      <c r="AC346" s="2134"/>
      <c r="AD346" s="2134"/>
      <c r="AE346" s="2134"/>
      <c r="AF346" s="466"/>
      <c r="AG346" s="60"/>
      <c r="AH346" s="60"/>
      <c r="AI346" s="407"/>
      <c r="AJ346" s="407"/>
      <c r="AK346" s="407"/>
      <c r="AL346" s="39"/>
    </row>
    <row r="347" spans="1:66" ht="12.75" customHeight="1">
      <c r="A347" s="3"/>
      <c r="B347" s="60"/>
      <c r="C347" s="60"/>
      <c r="D347" s="60"/>
      <c r="E347" s="60"/>
      <c r="F347" s="60"/>
      <c r="G347" s="60"/>
      <c r="H347" s="466"/>
      <c r="I347" s="7" t="s">
        <v>94</v>
      </c>
      <c r="P347" s="2094"/>
      <c r="Q347" s="2094"/>
      <c r="R347" s="2094"/>
      <c r="S347" s="2094"/>
      <c r="T347" s="2094"/>
      <c r="U347" s="2094"/>
      <c r="V347" s="2094"/>
      <c r="W347" s="2094"/>
      <c r="X347" s="2094"/>
      <c r="Y347" s="2094"/>
      <c r="Z347" s="2094"/>
      <c r="AF347" s="466"/>
      <c r="AG347" s="60"/>
      <c r="AH347" s="60"/>
      <c r="AI347" s="62"/>
      <c r="AJ347" s="62"/>
      <c r="AK347" s="62"/>
      <c r="AL347" s="39"/>
    </row>
    <row r="348" spans="1:66" ht="13.2">
      <c r="A348" s="3"/>
      <c r="B348" s="60"/>
      <c r="C348" s="407"/>
      <c r="D348" s="407"/>
      <c r="E348" s="407"/>
      <c r="F348" s="407"/>
      <c r="G348" s="407"/>
      <c r="H348" s="88"/>
      <c r="I348" s="7" t="s">
        <v>80</v>
      </c>
      <c r="P348" s="2021"/>
      <c r="Q348" s="2021"/>
      <c r="R348" s="2021"/>
      <c r="S348" s="2021"/>
      <c r="T348" s="2021"/>
      <c r="U348" s="2021"/>
      <c r="V348" s="2021"/>
      <c r="W348" s="2021"/>
      <c r="X348" s="2021"/>
      <c r="Y348" s="2021"/>
      <c r="Z348" s="2021"/>
      <c r="AA348" s="2021"/>
      <c r="AB348" s="2021"/>
      <c r="AC348" s="2021"/>
      <c r="AD348" s="2021"/>
      <c r="AE348" s="202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47" t="s">
        <v>576</v>
      </c>
      <c r="B350" s="2047"/>
      <c r="C350" s="2047"/>
      <c r="D350" s="2047"/>
      <c r="E350" s="2047"/>
      <c r="F350" s="2047"/>
      <c r="G350" s="2047"/>
      <c r="H350" s="2047"/>
      <c r="I350" s="2047"/>
      <c r="J350" s="2047"/>
      <c r="K350" s="2047"/>
      <c r="L350" s="2047"/>
      <c r="M350" s="2047"/>
      <c r="N350" s="2047"/>
      <c r="O350" s="2047"/>
      <c r="P350" s="2047"/>
      <c r="Q350" s="2047"/>
      <c r="R350" s="2047"/>
      <c r="S350" s="2047"/>
      <c r="T350" s="2047"/>
      <c r="U350" s="2047"/>
      <c r="V350" s="2047"/>
      <c r="W350" s="2047"/>
      <c r="X350" s="2047"/>
      <c r="Y350" s="2047"/>
      <c r="Z350" s="2047"/>
      <c r="AA350" s="2047"/>
      <c r="AB350" s="2047"/>
      <c r="AC350" s="2047"/>
      <c r="AD350" s="2047"/>
      <c r="AE350" s="2047"/>
      <c r="AF350" s="2047"/>
      <c r="AG350" s="2047"/>
      <c r="AH350" s="2047"/>
      <c r="AI350" s="2047"/>
      <c r="AJ350" s="2047"/>
      <c r="AK350" s="2047"/>
      <c r="AL350" s="2047"/>
      <c r="AM350" s="144"/>
      <c r="AN350" s="144"/>
      <c r="AO350" s="144"/>
      <c r="AP350" s="144"/>
      <c r="AQ350" s="144"/>
      <c r="AR350" s="144"/>
      <c r="AS350" s="144"/>
      <c r="AT350" s="144"/>
      <c r="AU350" s="144"/>
      <c r="AV350" s="144"/>
      <c r="AW350" s="144"/>
      <c r="AX350" s="144"/>
      <c r="AY350" s="144"/>
    </row>
    <row r="351" spans="1:66" ht="13.8" thickBot="1">
      <c r="A351" s="2048"/>
      <c r="B351" s="2048"/>
      <c r="C351" s="2048"/>
      <c r="D351" s="2048"/>
      <c r="E351" s="2048"/>
      <c r="F351" s="2048"/>
      <c r="G351" s="2048"/>
      <c r="H351" s="2048"/>
      <c r="I351" s="2048"/>
      <c r="J351" s="2048"/>
      <c r="K351" s="2048"/>
      <c r="L351" s="2048"/>
      <c r="M351" s="2048"/>
      <c r="N351" s="2048"/>
      <c r="O351" s="2048"/>
      <c r="P351" s="2048"/>
      <c r="Q351" s="2048"/>
      <c r="R351" s="2048"/>
      <c r="S351" s="2048"/>
      <c r="T351" s="2048"/>
      <c r="U351" s="2048"/>
      <c r="V351" s="2048"/>
      <c r="W351" s="2048"/>
      <c r="X351" s="2048"/>
      <c r="Y351" s="2048"/>
      <c r="Z351" s="2048"/>
      <c r="AA351" s="2048"/>
      <c r="AB351" s="2048"/>
      <c r="AC351" s="2048"/>
      <c r="AD351" s="2048"/>
      <c r="AE351" s="2048"/>
      <c r="AF351" s="2048"/>
      <c r="AG351" s="2048"/>
      <c r="AH351" s="2048"/>
      <c r="AI351" s="2048"/>
      <c r="AJ351" s="2048"/>
      <c r="AK351" s="2048"/>
      <c r="AL351" s="204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22" t="s">
        <v>579</v>
      </c>
      <c r="N354" s="2022"/>
      <c r="P354" s="12" t="s">
        <v>2018</v>
      </c>
      <c r="AJ354" s="2022" t="s">
        <v>579</v>
      </c>
      <c r="AK354" s="2022"/>
    </row>
    <row r="355" spans="1:37" ht="12.75" customHeight="1">
      <c r="D355" s="58" t="s">
        <v>2007</v>
      </c>
      <c r="M355" s="2022" t="s">
        <v>627</v>
      </c>
      <c r="N355" s="2022"/>
      <c r="P355" s="58" t="s">
        <v>2233</v>
      </c>
      <c r="AJ355" s="2126">
        <v>0</v>
      </c>
      <c r="AK355" s="2126"/>
    </row>
    <row r="356" spans="1:37" ht="12.75" customHeight="1">
      <c r="D356" s="12" t="s">
        <v>748</v>
      </c>
      <c r="M356" s="2022" t="s">
        <v>627</v>
      </c>
      <c r="N356" s="2022"/>
      <c r="P356" s="720" t="s">
        <v>2017</v>
      </c>
      <c r="AJ356" s="2022" t="s">
        <v>707</v>
      </c>
      <c r="AK356" s="2022"/>
    </row>
    <row r="357" spans="1:37" ht="12.75" customHeight="1">
      <c r="D357" s="12" t="s">
        <v>749</v>
      </c>
      <c r="M357" s="2022" t="s">
        <v>627</v>
      </c>
      <c r="N357" s="2022"/>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2" t="s">
        <v>627</v>
      </c>
      <c r="O362" s="2022"/>
      <c r="P362" s="69"/>
      <c r="Q362" s="69"/>
      <c r="R362" s="69"/>
      <c r="S362" s="69"/>
      <c r="T362" s="69"/>
      <c r="U362" s="69"/>
      <c r="V362" s="69"/>
      <c r="W362" s="69"/>
      <c r="X362" s="69"/>
      <c r="Y362" s="70"/>
      <c r="Z362" s="70"/>
      <c r="AC362" s="69"/>
      <c r="AD362" s="69"/>
      <c r="AE362" s="69"/>
    </row>
    <row r="363" spans="1:37" ht="12.75" customHeight="1">
      <c r="E363" s="12" t="s">
        <v>383</v>
      </c>
      <c r="Y363" s="2022" t="s">
        <v>627</v>
      </c>
      <c r="Z363" s="2022"/>
    </row>
    <row r="364" spans="1:37" ht="12.75" customHeight="1">
      <c r="D364" s="7" t="s">
        <v>1062</v>
      </c>
      <c r="Q364" s="2021" t="s">
        <v>627</v>
      </c>
      <c r="R364" s="2021"/>
      <c r="S364" s="2021"/>
      <c r="T364" s="2021"/>
      <c r="U364" s="2021"/>
      <c r="V364" s="2021"/>
      <c r="W364" s="2021"/>
      <c r="X364" s="2021"/>
      <c r="Y364" s="2021"/>
      <c r="Z364" s="2021"/>
      <c r="AA364" s="2021"/>
      <c r="AB364" s="2021"/>
      <c r="AC364" s="2021"/>
      <c r="AD364" s="2021"/>
      <c r="AE364" s="2021"/>
      <c r="AF364" s="2021"/>
      <c r="AG364" s="202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2" t="s">
        <v>627</v>
      </c>
      <c r="K366" s="2022"/>
      <c r="L366" s="69"/>
      <c r="M366" s="69"/>
      <c r="N366" s="69"/>
      <c r="O366" s="69"/>
      <c r="P366" s="69"/>
      <c r="Q366" s="69"/>
      <c r="R366" s="69"/>
      <c r="S366" s="69"/>
      <c r="T366" s="69"/>
      <c r="U366" s="69"/>
      <c r="V366" s="69"/>
      <c r="W366" s="69"/>
      <c r="X366" s="69"/>
      <c r="Y366" s="69"/>
      <c r="Z366" s="69"/>
      <c r="AC366" s="69"/>
      <c r="AD366" s="69"/>
      <c r="AE366" s="69"/>
    </row>
    <row r="367" spans="1:37" ht="12.75" customHeight="1">
      <c r="E367" s="2380" t="s">
        <v>750</v>
      </c>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row>
    <row r="368" spans="1:37" ht="12.75" customHeight="1">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row>
    <row r="369" spans="1:36" ht="12.75" customHeight="1">
      <c r="E369" s="7" t="s">
        <v>480</v>
      </c>
      <c r="F369" s="7"/>
      <c r="G369" s="7"/>
      <c r="H369" s="7"/>
      <c r="I369" s="7"/>
      <c r="J369" s="7"/>
      <c r="K369" s="7"/>
      <c r="L369" s="7"/>
      <c r="N369" s="2026"/>
      <c r="O369" s="2026"/>
      <c r="P369" s="2026"/>
      <c r="Q369" s="2026"/>
      <c r="R369" s="7"/>
      <c r="U369" s="7" t="s">
        <v>481</v>
      </c>
      <c r="V369" s="7"/>
      <c r="W369" s="7"/>
      <c r="X369" s="7"/>
      <c r="Y369" s="7"/>
      <c r="Z369" s="7"/>
      <c r="AA369" s="7"/>
      <c r="AB369" s="7"/>
      <c r="AC369" s="2026"/>
      <c r="AD369" s="2026"/>
      <c r="AE369" s="2026"/>
      <c r="AF369" s="2026"/>
    </row>
    <row r="370" spans="1:36" ht="12.75" customHeight="1">
      <c r="E370" s="7" t="s">
        <v>482</v>
      </c>
      <c r="F370" s="7"/>
      <c r="G370" s="7"/>
      <c r="H370" s="7"/>
      <c r="I370" s="7"/>
      <c r="J370" s="7"/>
      <c r="K370" s="7"/>
      <c r="L370" s="7"/>
      <c r="N370" s="2026"/>
      <c r="O370" s="2026"/>
      <c r="P370" s="2026"/>
      <c r="Q370" s="2026"/>
      <c r="R370" s="7"/>
      <c r="U370" s="7" t="s">
        <v>0</v>
      </c>
      <c r="V370" s="7"/>
      <c r="W370" s="7"/>
      <c r="X370" s="7"/>
      <c r="Y370" s="7"/>
      <c r="Z370" s="7"/>
      <c r="AA370" s="7"/>
      <c r="AB370" s="7"/>
      <c r="AC370" s="2026"/>
      <c r="AD370" s="2026"/>
      <c r="AE370" s="2026"/>
      <c r="AF370" s="2026"/>
    </row>
    <row r="371" spans="1:36" ht="12.75" customHeight="1">
      <c r="E371" s="7" t="s">
        <v>1</v>
      </c>
      <c r="F371" s="7"/>
      <c r="G371" s="7"/>
      <c r="H371" s="7"/>
      <c r="I371" s="7"/>
      <c r="J371" s="7"/>
      <c r="K371" s="7"/>
      <c r="L371" s="7"/>
      <c r="N371" s="2026"/>
      <c r="O371" s="2026"/>
      <c r="P371" s="2026"/>
      <c r="Q371" s="2026"/>
      <c r="R371" s="7"/>
      <c r="V371" s="7"/>
      <c r="W371" s="7"/>
      <c r="X371" s="7"/>
      <c r="Y371" s="7"/>
      <c r="Z371" s="7"/>
      <c r="AA371" s="7"/>
      <c r="AB371" s="7"/>
    </row>
    <row r="372" spans="1:36" ht="12.75" customHeight="1">
      <c r="E372" s="7" t="s">
        <v>2</v>
      </c>
      <c r="F372" s="7"/>
      <c r="G372" s="7"/>
      <c r="H372" s="7"/>
      <c r="I372" s="7"/>
      <c r="J372" s="7"/>
      <c r="K372" s="7"/>
      <c r="L372" s="7"/>
      <c r="N372" s="2219"/>
      <c r="O372" s="2219"/>
      <c r="P372" s="2219"/>
      <c r="Q372" s="2219"/>
      <c r="R372" s="2219"/>
      <c r="S372" s="2219"/>
      <c r="T372" s="2219"/>
      <c r="U372" s="2219"/>
      <c r="V372" s="2219"/>
      <c r="W372" s="2219"/>
      <c r="X372" s="2219"/>
      <c r="Y372" s="2219"/>
      <c r="Z372" s="2219"/>
      <c r="AA372" s="2219"/>
      <c r="AB372" s="2219"/>
      <c r="AC372" s="2219"/>
      <c r="AD372" s="2219"/>
      <c r="AE372" s="2219"/>
      <c r="AF372" s="2219"/>
    </row>
    <row r="373" spans="1:36" ht="12.75" customHeight="1">
      <c r="E373" s="7"/>
      <c r="F373" s="7"/>
      <c r="G373" s="7"/>
      <c r="H373" s="7"/>
      <c r="I373" s="7"/>
      <c r="J373" s="7"/>
      <c r="K373" s="7"/>
      <c r="L373" s="7"/>
      <c r="N373" s="2220"/>
      <c r="O373" s="2220"/>
      <c r="P373" s="2220"/>
      <c r="Q373" s="2220"/>
      <c r="R373" s="2220"/>
      <c r="S373" s="2220"/>
      <c r="T373" s="2220"/>
      <c r="U373" s="2220"/>
      <c r="V373" s="2220"/>
      <c r="W373" s="2220"/>
      <c r="X373" s="2220"/>
      <c r="Y373" s="2220"/>
      <c r="Z373" s="2220"/>
      <c r="AA373" s="2220"/>
      <c r="AB373" s="2220"/>
      <c r="AC373" s="2220"/>
      <c r="AD373" s="2220"/>
      <c r="AE373" s="2220"/>
      <c r="AF373" s="2220"/>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49"/>
      <c r="T376" s="2049"/>
      <c r="U376" s="4" t="s">
        <v>317</v>
      </c>
      <c r="V376" s="2049"/>
      <c r="W376" s="2049"/>
      <c r="Y376" s="25" t="s">
        <v>315</v>
      </c>
      <c r="AA376" s="25"/>
      <c r="AB376" s="25" t="s">
        <v>316</v>
      </c>
      <c r="AD376" s="2049"/>
      <c r="AE376" s="2049"/>
      <c r="AF376" s="4" t="s">
        <v>317</v>
      </c>
      <c r="AG376" s="2049"/>
      <c r="AH376" s="2049"/>
    </row>
    <row r="377" spans="1:36" ht="12.75" customHeight="1">
      <c r="E377" s="7" t="s">
        <v>1093</v>
      </c>
      <c r="F377" s="7"/>
      <c r="G377" s="7"/>
      <c r="H377" s="7"/>
      <c r="I377" s="7"/>
      <c r="J377" s="7"/>
      <c r="K377" s="7"/>
      <c r="L377" s="7"/>
      <c r="N377" s="2049"/>
      <c r="O377" s="2049"/>
      <c r="P377" s="2049"/>
    </row>
    <row r="378" spans="1:36" ht="12.75" customHeight="1">
      <c r="E378" s="383" t="s">
        <v>1094</v>
      </c>
      <c r="F378" s="7"/>
      <c r="G378" s="7"/>
      <c r="H378" s="7"/>
      <c r="I378" s="7"/>
      <c r="J378" s="7"/>
      <c r="K378" s="7"/>
      <c r="L378" s="7"/>
      <c r="AG378" s="2197" t="s">
        <v>627</v>
      </c>
      <c r="AH378" s="2197"/>
    </row>
    <row r="379" spans="1:36" ht="12.75" customHeight="1">
      <c r="E379" s="7"/>
      <c r="F379" s="7"/>
      <c r="G379" s="7" t="s">
        <v>1115</v>
      </c>
      <c r="H379" s="7"/>
      <c r="I379" s="7"/>
      <c r="J379" s="7"/>
      <c r="K379" s="7"/>
      <c r="L379" s="7"/>
      <c r="AG379" s="2197" t="s">
        <v>627</v>
      </c>
      <c r="AH379" s="2197"/>
    </row>
    <row r="380" spans="1:36" ht="12.75" customHeight="1">
      <c r="E380" s="7"/>
      <c r="F380" s="7"/>
      <c r="G380" s="510" t="s">
        <v>1095</v>
      </c>
      <c r="H380" s="7"/>
      <c r="I380" s="7"/>
      <c r="J380" s="7"/>
      <c r="K380" s="7"/>
      <c r="L380" s="7"/>
      <c r="V380" s="2022" t="s">
        <v>627</v>
      </c>
      <c r="W380" s="2022"/>
      <c r="Y380" s="35" t="s">
        <v>1064</v>
      </c>
    </row>
    <row r="381" spans="1:36" ht="12.75" customHeight="1">
      <c r="E381" s="7" t="s">
        <v>1065</v>
      </c>
      <c r="F381" s="7"/>
      <c r="G381" s="7"/>
      <c r="H381" s="7"/>
      <c r="I381" s="7"/>
      <c r="J381" s="7"/>
      <c r="K381" s="7"/>
      <c r="L381" s="7"/>
      <c r="V381" s="2022" t="s">
        <v>627</v>
      </c>
      <c r="W381" s="2022"/>
      <c r="Y381" s="7" t="s">
        <v>1066</v>
      </c>
    </row>
    <row r="382" spans="1:36" ht="12.75" customHeight="1"/>
    <row r="383" spans="1:36" ht="12.75" customHeight="1">
      <c r="A383" s="50" t="s">
        <v>82</v>
      </c>
      <c r="B383" s="50"/>
    </row>
    <row r="384" spans="1:36" ht="12.75" customHeight="1">
      <c r="D384" s="12" t="s">
        <v>451</v>
      </c>
      <c r="J384" s="2029" t="s">
        <v>2512</v>
      </c>
      <c r="K384" s="2021"/>
      <c r="L384" s="2021"/>
      <c r="M384" s="2021"/>
      <c r="N384" s="2021"/>
      <c r="O384" s="2021"/>
      <c r="P384" s="2021"/>
      <c r="Q384" s="2021"/>
      <c r="R384" s="2021"/>
      <c r="S384" s="2021"/>
      <c r="T384" s="2021"/>
      <c r="U384" s="2021"/>
      <c r="V384" s="14" t="s">
        <v>88</v>
      </c>
      <c r="W384" s="14"/>
      <c r="X384" s="14"/>
      <c r="Y384" s="14"/>
      <c r="Z384" s="14"/>
      <c r="AA384" s="14"/>
      <c r="AB384" s="14"/>
      <c r="AC384" s="2021"/>
      <c r="AD384" s="2021"/>
      <c r="AE384" s="2021"/>
      <c r="AF384" s="2021"/>
      <c r="AG384" s="2021"/>
      <c r="AH384" s="2021"/>
      <c r="AI384" s="2021"/>
      <c r="AJ384" s="2021"/>
    </row>
    <row r="385" spans="1:96" ht="12.75" customHeight="1">
      <c r="A385" s="720"/>
      <c r="B385" s="720"/>
      <c r="C385" s="720"/>
      <c r="D385" s="58" t="s">
        <v>1385</v>
      </c>
      <c r="E385" s="720"/>
      <c r="F385" s="720"/>
      <c r="G385" s="720"/>
      <c r="H385" s="720"/>
      <c r="I385" s="720"/>
      <c r="J385" s="2059" t="s">
        <v>2581</v>
      </c>
      <c r="K385" s="2059"/>
      <c r="L385" s="2059"/>
      <c r="M385" s="2059"/>
      <c r="N385" s="2059"/>
      <c r="O385" s="2059"/>
      <c r="P385" s="2059"/>
      <c r="Q385" s="2059"/>
      <c r="R385" s="2059"/>
      <c r="S385" s="2059"/>
      <c r="T385" s="2059"/>
      <c r="U385" s="2059"/>
      <c r="V385" s="58" t="s">
        <v>1385</v>
      </c>
      <c r="W385" s="14"/>
      <c r="X385" s="14"/>
      <c r="Y385" s="14"/>
      <c r="Z385" s="14"/>
      <c r="AA385" s="14"/>
      <c r="AB385" s="14"/>
      <c r="AC385" s="2021"/>
      <c r="AD385" s="2021"/>
      <c r="AE385" s="2021"/>
      <c r="AF385" s="2021"/>
      <c r="AG385" s="2021"/>
      <c r="AH385" s="2021"/>
      <c r="AI385" s="2021"/>
      <c r="AJ385" s="2021"/>
      <c r="AK385" s="720"/>
      <c r="AL385" s="720"/>
    </row>
    <row r="386" spans="1:96" ht="12.75" customHeight="1">
      <c r="A386" s="720"/>
      <c r="B386" s="720"/>
      <c r="C386" s="720"/>
      <c r="D386" s="58" t="s">
        <v>465</v>
      </c>
      <c r="E386" s="720"/>
      <c r="F386" s="720"/>
      <c r="G386" s="720"/>
      <c r="H386" s="720"/>
      <c r="I386" s="720"/>
      <c r="J386" s="2059" t="s">
        <v>2582</v>
      </c>
      <c r="K386" s="2059"/>
      <c r="L386" s="2059"/>
      <c r="M386" s="2059"/>
      <c r="N386" s="2059"/>
      <c r="O386" s="2059"/>
      <c r="P386" s="2059"/>
      <c r="Q386" s="2059"/>
      <c r="R386" s="2059"/>
      <c r="S386" s="2059"/>
      <c r="T386" s="2059"/>
      <c r="U386" s="2059"/>
      <c r="V386" s="58" t="s">
        <v>465</v>
      </c>
      <c r="W386" s="14"/>
      <c r="X386" s="14"/>
      <c r="Y386" s="14"/>
      <c r="Z386" s="14"/>
      <c r="AA386" s="14"/>
      <c r="AB386" s="14"/>
      <c r="AC386" s="2021"/>
      <c r="AD386" s="2021"/>
      <c r="AE386" s="2021"/>
      <c r="AF386" s="2021"/>
      <c r="AG386" s="2021"/>
      <c r="AH386" s="2021"/>
      <c r="AI386" s="2021"/>
      <c r="AJ386" s="2021"/>
      <c r="AK386" s="720"/>
      <c r="AL386" s="720"/>
    </row>
    <row r="387" spans="1:96" ht="12.75" customHeight="1">
      <c r="A387" s="720"/>
      <c r="B387" s="720"/>
      <c r="C387" s="720"/>
      <c r="D387" s="480" t="s">
        <v>1381</v>
      </c>
      <c r="E387" s="720"/>
      <c r="F387" s="720"/>
      <c r="G387" s="720"/>
      <c r="H387" s="720"/>
      <c r="I387" s="88"/>
      <c r="J387" s="2027" t="s">
        <v>2584</v>
      </c>
      <c r="K387" s="2027"/>
      <c r="L387" s="2027"/>
      <c r="M387" s="2027"/>
      <c r="N387" s="2027"/>
      <c r="O387" s="2027"/>
      <c r="P387" s="2027"/>
      <c r="Q387" s="2027"/>
      <c r="R387" s="2027"/>
      <c r="S387" s="2027"/>
      <c r="T387" s="2027"/>
      <c r="U387" s="2027"/>
      <c r="V387" s="2021" t="s">
        <v>2583</v>
      </c>
      <c r="W387" s="2021"/>
      <c r="X387" s="2021"/>
      <c r="Y387" s="2021"/>
      <c r="Z387" s="2021"/>
      <c r="AA387" s="2021"/>
      <c r="AB387" s="2021"/>
      <c r="AC387" s="2021"/>
      <c r="AD387" s="2021"/>
      <c r="AE387" s="2021"/>
      <c r="AF387" s="2021"/>
      <c r="AG387" s="2021"/>
      <c r="AH387" s="2021"/>
      <c r="AI387" s="2021"/>
      <c r="AJ387" s="2021"/>
      <c r="AK387" s="720"/>
      <c r="AL387" s="720"/>
    </row>
    <row r="388" spans="1:96" ht="12.75" customHeight="1">
      <c r="D388" s="12" t="s">
        <v>4</v>
      </c>
      <c r="Q388" s="2223">
        <v>44222</v>
      </c>
      <c r="R388" s="2223"/>
      <c r="S388" s="2223"/>
      <c r="T388" s="2223"/>
      <c r="U388" s="2223"/>
      <c r="V388" s="12" t="s">
        <v>320</v>
      </c>
      <c r="AI388" s="2022" t="s">
        <v>707</v>
      </c>
      <c r="AJ388" s="2022"/>
    </row>
    <row r="389" spans="1:96" ht="12.75" customHeight="1">
      <c r="D389" s="12" t="s">
        <v>5</v>
      </c>
      <c r="Q389" s="2288">
        <v>44952</v>
      </c>
      <c r="R389" s="2379"/>
      <c r="S389" s="2379"/>
      <c r="T389" s="2379"/>
      <c r="U389" s="2379"/>
      <c r="W389" s="33" t="s">
        <v>78</v>
      </c>
      <c r="AG389" s="2063"/>
      <c r="AH389" s="2063"/>
      <c r="AI389" s="2063"/>
      <c r="AJ389" s="2063"/>
    </row>
    <row r="390" spans="1:96" ht="12.75" customHeight="1">
      <c r="D390" s="12" t="s">
        <v>450</v>
      </c>
      <c r="Q390" s="2224">
        <v>4428000</v>
      </c>
      <c r="R390" s="2224"/>
      <c r="S390" s="2224"/>
      <c r="T390" s="2224"/>
      <c r="U390" s="2224"/>
      <c r="V390" s="58" t="s">
        <v>1384</v>
      </c>
      <c r="AG390" s="2064"/>
      <c r="AH390" s="2064"/>
      <c r="AI390" s="2064"/>
      <c r="AJ390" s="2064"/>
    </row>
    <row r="391" spans="1:96" ht="12.75" customHeight="1">
      <c r="D391" s="12" t="s">
        <v>93</v>
      </c>
      <c r="I391" s="2201"/>
      <c r="J391" s="2201"/>
      <c r="K391" s="2201"/>
      <c r="L391" s="2201"/>
      <c r="M391" s="2201"/>
      <c r="N391" s="2201"/>
      <c r="Q391" s="57" t="s">
        <v>212</v>
      </c>
      <c r="S391" s="2225"/>
      <c r="T391" s="2225"/>
      <c r="U391" s="2225"/>
      <c r="V391" s="12" t="s">
        <v>77</v>
      </c>
      <c r="AI391" s="2022" t="s">
        <v>707</v>
      </c>
      <c r="AJ391" s="2022"/>
    </row>
    <row r="392" spans="1:96" ht="12.75" customHeight="1">
      <c r="D392" s="12" t="s">
        <v>321</v>
      </c>
      <c r="Q392" s="2013">
        <v>0</v>
      </c>
      <c r="R392" s="2013"/>
      <c r="S392" s="2013"/>
      <c r="T392" s="2013"/>
      <c r="U392" s="2013"/>
      <c r="V392" s="12" t="s">
        <v>322</v>
      </c>
      <c r="AG392" s="2063">
        <v>0</v>
      </c>
      <c r="AH392" s="2063"/>
      <c r="AI392" s="2063"/>
      <c r="AJ392" s="2063"/>
    </row>
    <row r="393" spans="1:96" ht="12.75" customHeight="1">
      <c r="D393" s="12" t="s">
        <v>323</v>
      </c>
      <c r="Q393" s="2202">
        <v>1.1495E-2</v>
      </c>
      <c r="R393" s="2202"/>
      <c r="S393" s="2202"/>
      <c r="T393" s="2202"/>
      <c r="U393" s="2202"/>
      <c r="V393" s="720" t="s">
        <v>1361</v>
      </c>
      <c r="AG393" s="2063">
        <v>0</v>
      </c>
      <c r="AH393" s="2063"/>
      <c r="AI393" s="2063"/>
      <c r="AJ393" s="2063"/>
    </row>
    <row r="394" spans="1:96" ht="13.2">
      <c r="D394" s="720" t="s">
        <v>1360</v>
      </c>
      <c r="V394" s="720"/>
      <c r="AG394" s="2063">
        <v>0</v>
      </c>
      <c r="AH394" s="2063"/>
      <c r="AI394" s="2063"/>
      <c r="AJ394" s="2063"/>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2036</v>
      </c>
      <c r="AG396" s="749"/>
      <c r="AH396" s="749"/>
      <c r="AI396" s="2022" t="s">
        <v>707</v>
      </c>
      <c r="AJ396" s="2022"/>
      <c r="AM396" s="39"/>
      <c r="AN396" s="39"/>
      <c r="AO396" s="39"/>
      <c r="AP396" s="39"/>
      <c r="AQ396" s="39"/>
      <c r="AR396" s="39"/>
      <c r="AS396" s="39"/>
      <c r="AT396" s="39"/>
      <c r="AU396" s="39"/>
      <c r="AV396" s="39"/>
      <c r="AW396" s="39"/>
      <c r="AX396" s="39"/>
      <c r="AY396" s="39"/>
      <c r="CR396" s="25"/>
    </row>
    <row r="397" spans="1:96" s="720" customFormat="1" ht="13.2">
      <c r="D397" s="58" t="s">
        <v>2038</v>
      </c>
      <c r="T397" s="2023"/>
      <c r="U397" s="2023"/>
      <c r="V397" s="2023"/>
      <c r="W397" s="2023"/>
      <c r="X397" s="2023"/>
      <c r="Y397" s="2023"/>
      <c r="Z397" s="2023"/>
      <c r="AA397" s="2023"/>
      <c r="AB397" s="2023"/>
      <c r="AC397" s="2023"/>
      <c r="AD397" s="2023"/>
      <c r="AE397" s="2023"/>
      <c r="AF397" s="2023"/>
      <c r="AG397" s="2023"/>
      <c r="AH397" s="2023"/>
      <c r="AI397" s="2023"/>
      <c r="AJ397" s="2023"/>
      <c r="AM397" s="39"/>
      <c r="AN397" s="39"/>
      <c r="AO397" s="39"/>
      <c r="AP397" s="39"/>
      <c r="AQ397" s="39"/>
      <c r="AR397" s="39"/>
      <c r="AS397" s="39"/>
      <c r="AT397" s="39"/>
      <c r="AU397" s="39"/>
      <c r="AV397" s="39"/>
      <c r="AW397" s="39"/>
      <c r="AX397" s="39"/>
      <c r="AY397" s="39"/>
      <c r="CR397" s="25"/>
    </row>
    <row r="398" spans="1:96" s="720" customFormat="1" ht="13.2">
      <c r="D398" s="58" t="s">
        <v>2037</v>
      </c>
      <c r="T398" s="2023"/>
      <c r="U398" s="2023"/>
      <c r="V398" s="2023"/>
      <c r="W398" s="2023"/>
      <c r="X398" s="2023"/>
      <c r="Y398" s="2023"/>
      <c r="Z398" s="2023"/>
      <c r="AA398" s="2023"/>
      <c r="AB398" s="2023"/>
      <c r="AC398" s="2023"/>
      <c r="AD398" s="2023"/>
      <c r="AE398" s="2023"/>
      <c r="AF398" s="2023"/>
      <c r="AG398" s="2023"/>
      <c r="AH398" s="2023"/>
      <c r="AI398" s="2023"/>
      <c r="AJ398" s="2023"/>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2030</v>
      </c>
      <c r="E400" s="720"/>
      <c r="F400" s="720"/>
      <c r="G400" s="720"/>
      <c r="H400" s="720"/>
      <c r="I400" s="720"/>
      <c r="J400" s="720"/>
      <c r="K400" s="720"/>
      <c r="L400" s="720"/>
      <c r="M400" s="720"/>
      <c r="N400" s="720"/>
      <c r="O400" s="720"/>
      <c r="P400" s="720"/>
      <c r="Q400" s="720"/>
      <c r="R400" s="720"/>
      <c r="S400" s="2023" t="s">
        <v>707</v>
      </c>
      <c r="T400" s="2023"/>
      <c r="U400" s="2023"/>
      <c r="V400" s="480" t="s">
        <v>2031</v>
      </c>
      <c r="W400" s="720"/>
      <c r="X400" s="720"/>
      <c r="Y400" s="720"/>
      <c r="Z400" s="720"/>
      <c r="AA400" s="720"/>
      <c r="AB400" s="39"/>
      <c r="AC400" s="39"/>
      <c r="AD400" s="39"/>
      <c r="AE400" s="39"/>
      <c r="AF400" s="39"/>
      <c r="AG400" s="2185"/>
      <c r="AH400" s="2185"/>
      <c r="AI400" s="2185"/>
      <c r="AJ400" s="2185"/>
      <c r="AK400" s="39"/>
      <c r="AL400" s="720"/>
    </row>
    <row r="401" spans="1:96" s="720" customFormat="1" ht="13.2">
      <c r="D401" s="58" t="s">
        <v>2027</v>
      </c>
      <c r="S401" s="2023" t="s">
        <v>627</v>
      </c>
      <c r="T401" s="2023"/>
      <c r="U401" s="2023"/>
      <c r="V401" s="480" t="s">
        <v>2033</v>
      </c>
      <c r="AB401" s="39"/>
      <c r="AC401" s="39"/>
      <c r="AD401" s="39"/>
      <c r="AE401" s="2221"/>
      <c r="AF401" s="2221"/>
      <c r="AG401" s="2221"/>
      <c r="AH401" s="2221"/>
      <c r="AI401" s="2221"/>
      <c r="AJ401" s="2221"/>
      <c r="AK401" s="39"/>
      <c r="AM401" s="39"/>
      <c r="AN401" s="39"/>
      <c r="AO401" s="39"/>
      <c r="AP401" s="39"/>
      <c r="AQ401" s="39"/>
      <c r="AR401" s="39"/>
      <c r="AS401" s="39"/>
      <c r="AT401" s="39"/>
      <c r="AU401" s="39"/>
      <c r="AV401" s="39"/>
      <c r="AW401" s="39"/>
      <c r="AX401" s="39"/>
      <c r="AY401" s="39"/>
      <c r="CR401" s="25"/>
    </row>
    <row r="402" spans="1:96" s="720" customFormat="1" ht="13.2">
      <c r="D402" s="58" t="s">
        <v>2029</v>
      </c>
      <c r="K402" s="2084"/>
      <c r="L402" s="2084"/>
      <c r="M402" s="2084"/>
      <c r="N402" s="2084"/>
      <c r="O402" s="2084"/>
      <c r="P402" s="2084"/>
      <c r="Q402" s="2084"/>
      <c r="R402" s="2084"/>
      <c r="S402" s="2084"/>
      <c r="T402" s="2084"/>
      <c r="U402" s="2084"/>
      <c r="V402" s="2084"/>
      <c r="W402" s="2084"/>
      <c r="X402" s="2084"/>
      <c r="Y402" s="2084"/>
      <c r="Z402" s="2084"/>
      <c r="AA402" s="2084"/>
      <c r="AB402" s="2084"/>
      <c r="AC402" s="2084"/>
      <c r="AD402" s="2084"/>
      <c r="AE402" s="2084"/>
      <c r="AF402" s="2084"/>
      <c r="AG402" s="2084"/>
      <c r="AH402" s="2084"/>
      <c r="AI402" s="2084"/>
      <c r="AJ402" s="2084"/>
      <c r="AK402" s="39"/>
      <c r="AM402" s="39"/>
      <c r="AN402" s="39"/>
      <c r="AO402" s="39"/>
      <c r="AP402" s="39"/>
      <c r="AQ402" s="39"/>
      <c r="AR402" s="39"/>
      <c r="AS402" s="39"/>
      <c r="AT402" s="39"/>
      <c r="AU402" s="39"/>
      <c r="AV402" s="39"/>
      <c r="AW402" s="39"/>
      <c r="AX402" s="39"/>
      <c r="AY402" s="39"/>
      <c r="CR402" s="25"/>
    </row>
    <row r="403" spans="1:96" s="720" customFormat="1" ht="13.2">
      <c r="D403" s="58" t="s">
        <v>2032</v>
      </c>
      <c r="K403" s="2084"/>
      <c r="L403" s="2084"/>
      <c r="M403" s="2084"/>
      <c r="N403" s="2084"/>
      <c r="O403" s="2084"/>
      <c r="P403" s="2084"/>
      <c r="Q403" s="2084"/>
      <c r="R403" s="2084"/>
      <c r="S403" s="2084"/>
      <c r="T403" s="2084"/>
      <c r="U403" s="2084"/>
      <c r="V403" s="2084"/>
      <c r="W403" s="2084"/>
      <c r="X403" s="2084"/>
      <c r="Y403" s="2084"/>
      <c r="Z403" s="2084"/>
      <c r="AA403" s="2084"/>
      <c r="AB403" s="2084"/>
      <c r="AC403" s="2084"/>
      <c r="AD403" s="2084"/>
      <c r="AE403" s="2084"/>
      <c r="AF403" s="2084"/>
      <c r="AG403" s="2084"/>
      <c r="AH403" s="2084"/>
      <c r="AI403" s="2084"/>
      <c r="AJ403" s="2084"/>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218" t="s">
        <v>1387</v>
      </c>
      <c r="T404" s="2218"/>
      <c r="U404" s="2218"/>
      <c r="V404" s="2218"/>
      <c r="W404" s="2218"/>
      <c r="X404" s="2218"/>
      <c r="Y404" s="2218"/>
      <c r="Z404" s="2218"/>
      <c r="AA404" s="2218"/>
      <c r="AB404" s="2218"/>
      <c r="AC404" s="2218"/>
      <c r="AD404" s="2218"/>
      <c r="AE404" s="2218"/>
      <c r="AF404" s="2218"/>
      <c r="AG404" s="2218"/>
      <c r="AH404" s="2218"/>
      <c r="AI404" s="2218"/>
      <c r="AJ404" s="2218"/>
      <c r="AK404" s="39"/>
      <c r="AL404" s="39"/>
      <c r="AM404" s="39"/>
      <c r="AN404" s="39"/>
      <c r="AO404" s="39"/>
      <c r="AP404" s="39"/>
      <c r="AQ404" s="39"/>
      <c r="AR404" s="39"/>
      <c r="AS404" s="39"/>
      <c r="AT404" s="39"/>
      <c r="AU404" s="39"/>
      <c r="AV404" s="39"/>
      <c r="AW404" s="39"/>
      <c r="AX404" s="39"/>
      <c r="AY404" s="39"/>
      <c r="CR404" s="25"/>
    </row>
    <row r="405" spans="1:96" s="720" customFormat="1" ht="13.2">
      <c r="D405" s="2217" t="s">
        <v>2034</v>
      </c>
      <c r="E405" s="2217"/>
      <c r="F405" s="2217"/>
      <c r="G405" s="2217"/>
      <c r="H405" s="2217"/>
      <c r="I405" s="2217"/>
      <c r="J405" s="2217"/>
      <c r="K405" s="2217"/>
      <c r="L405" s="2217"/>
      <c r="M405" s="2217"/>
      <c r="N405" s="2217"/>
      <c r="O405" s="2217"/>
      <c r="P405" s="2217"/>
      <c r="Q405" s="2217"/>
      <c r="R405" s="2217"/>
      <c r="S405" s="2217"/>
      <c r="T405" s="2217"/>
      <c r="U405" s="2217"/>
      <c r="V405" s="2217"/>
      <c r="W405" s="2217"/>
      <c r="X405" s="2217"/>
      <c r="Y405" s="2217"/>
      <c r="Z405" s="2217"/>
      <c r="AA405" s="2217"/>
      <c r="AB405" s="2217"/>
      <c r="AC405" s="2217"/>
      <c r="AD405" s="2217"/>
      <c r="AE405" s="2217"/>
      <c r="AF405" s="2217"/>
      <c r="AG405" s="2217"/>
      <c r="AH405" s="2217"/>
      <c r="AI405" s="2217"/>
      <c r="AJ405" s="2217"/>
      <c r="AK405" s="39"/>
      <c r="AL405" s="39"/>
      <c r="AM405" s="39"/>
      <c r="AN405" s="39"/>
      <c r="AO405" s="39"/>
      <c r="AP405" s="39"/>
      <c r="AQ405" s="39"/>
      <c r="AR405" s="39"/>
      <c r="AS405" s="39"/>
      <c r="AT405" s="39"/>
      <c r="AU405" s="39"/>
      <c r="AV405" s="39"/>
      <c r="AW405" s="39"/>
      <c r="AX405" s="39"/>
      <c r="AY405" s="39"/>
      <c r="CR405" s="25"/>
    </row>
    <row r="406" spans="1:96" s="720" customFormat="1" ht="13.2">
      <c r="D406" s="2217"/>
      <c r="E406" s="2217"/>
      <c r="F406" s="2217"/>
      <c r="G406" s="2217"/>
      <c r="H406" s="2217"/>
      <c r="I406" s="2217"/>
      <c r="J406" s="2217"/>
      <c r="K406" s="2217"/>
      <c r="L406" s="2217"/>
      <c r="M406" s="2217"/>
      <c r="N406" s="2217"/>
      <c r="O406" s="2217"/>
      <c r="P406" s="2217"/>
      <c r="Q406" s="2217"/>
      <c r="R406" s="2217"/>
      <c r="S406" s="2217"/>
      <c r="T406" s="2217"/>
      <c r="U406" s="2217"/>
      <c r="V406" s="2217"/>
      <c r="W406" s="2217"/>
      <c r="X406" s="2217"/>
      <c r="Y406" s="2217"/>
      <c r="Z406" s="2217"/>
      <c r="AA406" s="2217"/>
      <c r="AB406" s="2217"/>
      <c r="AC406" s="2217"/>
      <c r="AD406" s="2217"/>
      <c r="AE406" s="2217"/>
      <c r="AF406" s="2217"/>
      <c r="AG406" s="2217"/>
      <c r="AH406" s="2217"/>
      <c r="AI406" s="2217"/>
      <c r="AJ406" s="2217"/>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29" t="s">
        <v>2511</v>
      </c>
      <c r="J409" s="2029"/>
      <c r="K409" s="2029"/>
      <c r="L409" s="2029"/>
      <c r="M409" s="2029"/>
      <c r="N409" s="2029"/>
      <c r="O409" s="2029"/>
      <c r="P409" s="2029"/>
      <c r="Q409" s="2029"/>
      <c r="R409" s="2029"/>
      <c r="S409" s="2029"/>
      <c r="T409" s="2029"/>
      <c r="U409" s="2029"/>
      <c r="V409" s="2029"/>
      <c r="W409" s="2029"/>
      <c r="X409" s="2029"/>
      <c r="Y409" s="2029"/>
      <c r="Z409" s="2029"/>
      <c r="AA409" s="2029"/>
      <c r="AB409" s="2029"/>
      <c r="AC409" s="2029"/>
      <c r="AD409" s="2029"/>
      <c r="AE409" s="2029"/>
    </row>
    <row r="410" spans="1:96" ht="12.75" customHeight="1">
      <c r="C410" s="25"/>
      <c r="D410" s="25"/>
      <c r="E410" s="12" t="s">
        <v>111</v>
      </c>
      <c r="F410" s="25"/>
      <c r="G410" s="25"/>
      <c r="H410" s="25"/>
      <c r="I410" s="25"/>
      <c r="J410" s="25"/>
      <c r="K410" s="25"/>
      <c r="L410" s="25"/>
      <c r="M410" s="25"/>
      <c r="N410" s="25"/>
      <c r="O410" s="25"/>
      <c r="P410" s="720"/>
      <c r="Q410" s="720"/>
      <c r="R410" s="2022" t="s">
        <v>579</v>
      </c>
      <c r="S410" s="2022"/>
      <c r="T410" s="12" t="s">
        <v>605</v>
      </c>
      <c r="U410" s="720"/>
      <c r="V410" s="720"/>
      <c r="W410" s="720"/>
      <c r="X410" s="720"/>
      <c r="Y410" s="720"/>
      <c r="Z410" s="720"/>
      <c r="AA410" s="720"/>
      <c r="AB410" s="720"/>
      <c r="AC410" s="720"/>
      <c r="AD410" s="2050">
        <v>4</v>
      </c>
      <c r="AE410" s="2050"/>
      <c r="AF410" s="720"/>
    </row>
    <row r="411" spans="1:96" ht="13.2">
      <c r="C411" s="25"/>
      <c r="E411" s="12" t="s">
        <v>112</v>
      </c>
      <c r="F411" s="720"/>
      <c r="G411" s="720"/>
      <c r="H411" s="720"/>
      <c r="I411" s="720"/>
      <c r="J411" s="720"/>
      <c r="K411" s="720"/>
      <c r="L411" s="720"/>
      <c r="M411" s="720"/>
      <c r="N411" s="25"/>
      <c r="O411" s="25"/>
      <c r="P411" s="720"/>
      <c r="Q411" s="720"/>
      <c r="R411" s="2022" t="s">
        <v>579</v>
      </c>
      <c r="S411" s="2022"/>
      <c r="T411" s="12" t="s">
        <v>605</v>
      </c>
      <c r="U411" s="720"/>
      <c r="V411" s="720"/>
      <c r="W411" s="720"/>
      <c r="X411" s="720"/>
      <c r="Y411" s="720"/>
      <c r="Z411" s="720"/>
      <c r="AA411" s="720"/>
      <c r="AB411" s="720"/>
      <c r="AC411" s="720"/>
      <c r="AD411" s="2026">
        <v>3</v>
      </c>
      <c r="AE411" s="2026"/>
      <c r="AF411" s="720"/>
    </row>
    <row r="412" spans="1:96" ht="12.75" customHeight="1">
      <c r="C412" s="25"/>
      <c r="E412" s="12" t="s">
        <v>113</v>
      </c>
      <c r="F412" s="720"/>
      <c r="G412" s="720"/>
      <c r="H412" s="720"/>
      <c r="I412" s="720"/>
      <c r="J412" s="720"/>
      <c r="K412" s="720"/>
      <c r="L412" s="720"/>
      <c r="M412" s="720"/>
      <c r="N412" s="25"/>
      <c r="O412" s="25"/>
      <c r="P412" s="720"/>
      <c r="Q412" s="720"/>
      <c r="R412" s="720"/>
      <c r="S412" s="2022" t="s">
        <v>627</v>
      </c>
      <c r="T412" s="2022"/>
      <c r="U412" s="720"/>
      <c r="V412" s="720"/>
      <c r="W412" s="720"/>
      <c r="X412" s="720"/>
      <c r="Y412" s="720"/>
      <c r="Z412" s="720"/>
      <c r="AA412" s="720"/>
      <c r="AB412" s="720"/>
      <c r="AC412" s="720"/>
      <c r="AD412" s="720"/>
      <c r="AE412" s="720"/>
      <c r="AF412" s="720"/>
    </row>
    <row r="413" spans="1:96" ht="12.75" customHeight="1">
      <c r="E413" s="12" t="s">
        <v>175</v>
      </c>
      <c r="F413" s="720"/>
      <c r="G413" s="720"/>
      <c r="H413" s="2198" t="s">
        <v>2575</v>
      </c>
      <c r="I413" s="2198"/>
      <c r="J413" s="2198"/>
      <c r="K413" s="2198"/>
      <c r="L413" s="2198"/>
      <c r="M413" s="2198"/>
      <c r="N413" s="2198"/>
      <c r="O413" s="2198"/>
      <c r="P413" s="2198"/>
      <c r="Q413" s="2198"/>
      <c r="R413" s="2198"/>
      <c r="S413" s="2198"/>
      <c r="T413" s="2198"/>
      <c r="U413" s="2198"/>
      <c r="V413" s="2198"/>
      <c r="W413" s="2198"/>
      <c r="X413" s="2198"/>
      <c r="Y413" s="2198"/>
      <c r="Z413" s="2198"/>
      <c r="AA413" s="2198"/>
      <c r="AB413" s="2198"/>
      <c r="AC413" s="2198"/>
      <c r="AD413" s="2198"/>
      <c r="AE413" s="2198"/>
      <c r="AF413" s="720"/>
    </row>
    <row r="414" spans="1:96" ht="12.75" customHeight="1">
      <c r="E414" s="25"/>
      <c r="F414" s="720"/>
      <c r="G414" s="720"/>
      <c r="H414" s="2199"/>
      <c r="I414" s="2199"/>
      <c r="J414" s="2199"/>
      <c r="K414" s="2199"/>
      <c r="L414" s="2199"/>
      <c r="M414" s="2199"/>
      <c r="N414" s="2199"/>
      <c r="O414" s="2199"/>
      <c r="P414" s="2199"/>
      <c r="Q414" s="2199"/>
      <c r="R414" s="2199"/>
      <c r="S414" s="2199"/>
      <c r="T414" s="2199"/>
      <c r="U414" s="2199"/>
      <c r="V414" s="2199"/>
      <c r="W414" s="2199"/>
      <c r="X414" s="2199"/>
      <c r="Y414" s="2199"/>
      <c r="Z414" s="2199"/>
      <c r="AA414" s="2199"/>
      <c r="AB414" s="2199"/>
      <c r="AC414" s="2199"/>
      <c r="AD414" s="2199"/>
      <c r="AE414" s="2199"/>
      <c r="AF414" s="720"/>
    </row>
    <row r="415" spans="1:96" ht="12.75" customHeight="1"/>
    <row r="416" spans="1:96" ht="12.75" customHeight="1">
      <c r="A416" s="50" t="s">
        <v>626</v>
      </c>
      <c r="B416" s="50"/>
      <c r="C416" s="50"/>
      <c r="D416" s="50" t="s">
        <v>119</v>
      </c>
      <c r="AF416" s="50" t="s">
        <v>1039</v>
      </c>
    </row>
    <row r="417" spans="1:96" ht="12.75" customHeight="1">
      <c r="E417" s="2049"/>
      <c r="F417" s="2049"/>
      <c r="G417" s="2049"/>
      <c r="H417" s="23" t="s">
        <v>120</v>
      </c>
      <c r="I417" s="2049"/>
      <c r="J417" s="2049"/>
      <c r="K417" s="2049"/>
      <c r="L417" s="12" t="s">
        <v>121</v>
      </c>
      <c r="N417" s="141" t="s">
        <v>611</v>
      </c>
      <c r="P417" s="2200">
        <v>5.79</v>
      </c>
      <c r="Q417" s="2200"/>
      <c r="R417" s="2200"/>
      <c r="S417" s="12" t="s">
        <v>122</v>
      </c>
      <c r="W417" s="2073">
        <f>IF(E417&gt;0,(E417*I417),(P417*43560))</f>
        <v>252212.4</v>
      </c>
      <c r="X417" s="2073"/>
      <c r="Y417" s="2073"/>
      <c r="Z417" s="12" t="s">
        <v>123</v>
      </c>
      <c r="AF417" s="2200">
        <f>AG436/P417</f>
        <v>28.324697754749568</v>
      </c>
      <c r="AG417" s="2200"/>
      <c r="AH417" s="2200"/>
    </row>
    <row r="418" spans="1:96" ht="13.2">
      <c r="E418" s="12" t="s">
        <v>54</v>
      </c>
    </row>
    <row r="419" spans="1:96" ht="12.75" customHeight="1">
      <c r="E419" s="2184"/>
      <c r="F419" s="2184"/>
      <c r="G419" s="2184"/>
      <c r="H419" s="2184"/>
      <c r="I419" s="2184"/>
      <c r="J419" s="2184"/>
      <c r="K419" s="2184"/>
      <c r="L419" s="2184"/>
      <c r="M419" s="2184"/>
      <c r="N419" s="2184"/>
      <c r="O419" s="2184"/>
      <c r="P419" s="2184"/>
      <c r="Q419" s="2184"/>
      <c r="R419" s="2184"/>
      <c r="S419" s="2184"/>
      <c r="T419" s="2184"/>
      <c r="U419" s="2184"/>
      <c r="V419" s="2184"/>
      <c r="W419" s="2184"/>
      <c r="X419" s="2184"/>
      <c r="Y419" s="2184"/>
      <c r="Z419" s="2184"/>
      <c r="AA419" s="2184"/>
      <c r="AB419" s="2184"/>
      <c r="AC419" s="2184"/>
      <c r="AD419" s="2184"/>
      <c r="AE419" s="2184"/>
      <c r="AF419" s="2184"/>
      <c r="AG419" s="2184"/>
      <c r="AH419" s="2184"/>
      <c r="AI419" s="2184"/>
      <c r="AJ419" s="2184"/>
    </row>
    <row r="420" spans="1:96" s="39" customFormat="1" ht="12.75" customHeight="1">
      <c r="E420" s="254" t="s">
        <v>2250</v>
      </c>
      <c r="F420" s="1825"/>
      <c r="G420" s="1825"/>
      <c r="H420" s="1825"/>
      <c r="I420" s="2503">
        <v>5.79</v>
      </c>
      <c r="J420" s="2503"/>
      <c r="K420" s="2503"/>
      <c r="L420" s="1825"/>
      <c r="M420" s="254"/>
      <c r="N420" s="1825"/>
      <c r="O420" s="1825"/>
      <c r="P420" s="2504">
        <f>(CM636+CS644+CS661)/I420</f>
        <v>28.324697754749568</v>
      </c>
      <c r="Q420" s="2504"/>
      <c r="R420" s="2504"/>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22">
        <v>3</v>
      </c>
      <c r="Q423" s="2022"/>
      <c r="S423" s="12" t="s">
        <v>195</v>
      </c>
      <c r="AE423" s="2022">
        <v>3</v>
      </c>
      <c r="AF423" s="2022"/>
    </row>
    <row r="424" spans="1:96" ht="13.2">
      <c r="E424" s="12" t="s">
        <v>196</v>
      </c>
      <c r="P424" s="2022" t="s">
        <v>2576</v>
      </c>
      <c r="Q424" s="2022"/>
      <c r="S424" s="12" t="s">
        <v>136</v>
      </c>
      <c r="AE424" s="2022" t="s">
        <v>627</v>
      </c>
      <c r="AF424" s="2022"/>
    </row>
    <row r="425" spans="1:96" ht="13.2">
      <c r="F425" s="67" t="s">
        <v>137</v>
      </c>
    </row>
    <row r="426" spans="1:96" ht="13.2">
      <c r="F426" s="2051"/>
      <c r="G426" s="2051"/>
      <c r="H426" s="2051"/>
      <c r="I426" s="2051"/>
      <c r="J426" s="2051"/>
      <c r="K426" s="2051"/>
      <c r="L426" s="2051"/>
      <c r="M426" s="2051"/>
      <c r="N426" s="2051"/>
      <c r="O426" s="2051"/>
      <c r="P426" s="2051"/>
      <c r="Q426" s="2051"/>
      <c r="R426" s="2051"/>
      <c r="S426" s="2051"/>
      <c r="T426" s="2051"/>
      <c r="U426" s="2051"/>
      <c r="V426" s="2051"/>
      <c r="W426" s="2051"/>
      <c r="X426" s="2051"/>
      <c r="Y426" s="2051"/>
      <c r="Z426" s="2051"/>
      <c r="AA426" s="2051"/>
      <c r="AB426" s="2051"/>
      <c r="AC426" s="2051"/>
      <c r="AD426" s="2051"/>
      <c r="AE426" s="2051"/>
      <c r="AF426" s="2051"/>
      <c r="AG426" s="2051"/>
      <c r="AH426" s="2051"/>
    </row>
    <row r="427" spans="1:96" ht="12.75" customHeight="1">
      <c r="F427" s="2052"/>
      <c r="G427" s="2052"/>
      <c r="H427" s="2052"/>
      <c r="I427" s="2052"/>
      <c r="J427" s="2052"/>
      <c r="K427" s="2052"/>
      <c r="L427" s="2052"/>
      <c r="M427" s="2052"/>
      <c r="N427" s="2052"/>
      <c r="O427" s="2052"/>
      <c r="P427" s="2052"/>
      <c r="Q427" s="2052"/>
      <c r="R427" s="2052"/>
      <c r="S427" s="2052"/>
      <c r="T427" s="2052"/>
      <c r="U427" s="2052"/>
      <c r="V427" s="2052"/>
      <c r="W427" s="2052"/>
      <c r="X427" s="2052"/>
      <c r="Y427" s="2052"/>
      <c r="Z427" s="2052"/>
      <c r="AA427" s="2052"/>
      <c r="AB427" s="2052"/>
      <c r="AC427" s="2052"/>
      <c r="AD427" s="2052"/>
      <c r="AE427" s="2052"/>
      <c r="AF427" s="2052"/>
      <c r="AG427" s="2052"/>
      <c r="AH427" s="2052"/>
    </row>
    <row r="428" spans="1:96" ht="12.75" customHeight="1">
      <c r="E428" s="12" t="s">
        <v>644</v>
      </c>
      <c r="N428" s="39"/>
      <c r="O428" s="39"/>
      <c r="P428" s="235"/>
      <c r="Q428" s="2022" t="s">
        <v>579</v>
      </c>
      <c r="R428" s="2022"/>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22" t="s">
        <v>627</v>
      </c>
      <c r="AG429" s="2058"/>
    </row>
    <row r="430" spans="1:96" ht="12.75" customHeight="1">
      <c r="S430" s="25"/>
      <c r="T430" s="25"/>
    </row>
    <row r="431" spans="1:96" ht="12.75" customHeight="1">
      <c r="A431" s="50"/>
      <c r="B431" s="50"/>
      <c r="C431" s="50"/>
      <c r="E431" s="7" t="s">
        <v>319</v>
      </c>
      <c r="Z431" s="2022" t="s">
        <v>707</v>
      </c>
      <c r="AA431" s="202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22" t="s">
        <v>627</v>
      </c>
      <c r="AA433" s="2022"/>
    </row>
    <row r="434" spans="1:110" ht="12.75" customHeight="1"/>
    <row r="435" spans="1:110" ht="12.75" customHeight="1">
      <c r="A435" s="50" t="s">
        <v>501</v>
      </c>
      <c r="B435" s="50"/>
      <c r="C435" s="50"/>
      <c r="D435" s="50" t="s">
        <v>825</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17">
        <v>164</v>
      </c>
      <c r="AH436" s="2017"/>
      <c r="AI436" s="2017"/>
      <c r="AJ436" s="2017"/>
    </row>
    <row r="437" spans="1:110" ht="12.75" customHeight="1">
      <c r="D437" s="2067" t="s">
        <v>1444</v>
      </c>
      <c r="E437" s="2077"/>
      <c r="F437" s="2077"/>
      <c r="G437" s="2077"/>
      <c r="H437" s="2077"/>
      <c r="I437" s="2077"/>
      <c r="J437" s="2077"/>
      <c r="K437" s="2077"/>
      <c r="L437" s="2077"/>
      <c r="M437" s="2077"/>
      <c r="N437" s="2077"/>
      <c r="O437" s="2077"/>
      <c r="P437" s="2077"/>
      <c r="Q437" s="2077"/>
      <c r="R437" s="2077"/>
      <c r="S437" s="2077"/>
      <c r="T437" s="2077"/>
      <c r="U437" s="2077"/>
      <c r="V437" s="2077"/>
      <c r="W437" s="2077"/>
      <c r="X437" s="2077"/>
      <c r="Y437" s="2077"/>
      <c r="Z437" s="2077"/>
      <c r="AA437" s="2077"/>
      <c r="AB437" s="2077"/>
      <c r="AC437" s="2077"/>
      <c r="AD437" s="2077"/>
      <c r="AE437" s="2077"/>
      <c r="AF437" s="2078"/>
      <c r="AG437" s="2079">
        <v>0</v>
      </c>
      <c r="AH437" s="2080"/>
      <c r="AI437" s="2080"/>
      <c r="AJ437" s="2080"/>
    </row>
    <row r="438" spans="1:110" ht="12.75" customHeight="1">
      <c r="D438" s="2067" t="s">
        <v>1148</v>
      </c>
      <c r="E438" s="2077"/>
      <c r="F438" s="2077"/>
      <c r="G438" s="2077"/>
      <c r="H438" s="2077"/>
      <c r="I438" s="2077"/>
      <c r="J438" s="2077"/>
      <c r="K438" s="2077"/>
      <c r="L438" s="2077"/>
      <c r="M438" s="2077"/>
      <c r="N438" s="2077"/>
      <c r="O438" s="2077"/>
      <c r="P438" s="2077"/>
      <c r="Q438" s="2077"/>
      <c r="R438" s="2077"/>
      <c r="S438" s="2077"/>
      <c r="T438" s="2077"/>
      <c r="U438" s="2077"/>
      <c r="V438" s="2077"/>
      <c r="W438" s="2077"/>
      <c r="X438" s="2077"/>
      <c r="Y438" s="2077"/>
      <c r="Z438" s="2077"/>
      <c r="AA438" s="2077"/>
      <c r="AB438" s="2077"/>
      <c r="AC438" s="2077"/>
      <c r="AD438" s="2077"/>
      <c r="AE438" s="2077"/>
      <c r="AF438" s="2078"/>
      <c r="AG438" s="2017">
        <v>163</v>
      </c>
      <c r="AH438" s="2017"/>
      <c r="AI438" s="2017"/>
      <c r="AJ438" s="2017"/>
    </row>
    <row r="439" spans="1:110" ht="12.75" customHeight="1">
      <c r="D439" s="2067" t="s">
        <v>1149</v>
      </c>
      <c r="E439" s="2077"/>
      <c r="F439" s="2077"/>
      <c r="G439" s="2077"/>
      <c r="H439" s="2077"/>
      <c r="I439" s="2077"/>
      <c r="J439" s="2077"/>
      <c r="K439" s="2077"/>
      <c r="L439" s="2077"/>
      <c r="M439" s="2077"/>
      <c r="N439" s="2077"/>
      <c r="O439" s="2077"/>
      <c r="P439" s="2077"/>
      <c r="Q439" s="2077"/>
      <c r="R439" s="2077"/>
      <c r="S439" s="2077"/>
      <c r="T439" s="2077"/>
      <c r="U439" s="2077"/>
      <c r="V439" s="2077"/>
      <c r="W439" s="2077"/>
      <c r="X439" s="2077"/>
      <c r="Y439" s="2077"/>
      <c r="Z439" s="2077"/>
      <c r="AA439" s="2077"/>
      <c r="AB439" s="2077"/>
      <c r="AC439" s="2077"/>
      <c r="AD439" s="2077"/>
      <c r="AE439" s="2077"/>
      <c r="AF439" s="2078"/>
      <c r="AG439" s="2017">
        <v>163</v>
      </c>
      <c r="AH439" s="2017"/>
      <c r="AI439" s="2017"/>
      <c r="AJ439" s="2017"/>
    </row>
    <row r="440" spans="1:110" ht="12.75" customHeight="1">
      <c r="D440" s="2067" t="s">
        <v>1151</v>
      </c>
      <c r="E440" s="2077"/>
      <c r="F440" s="2077"/>
      <c r="G440" s="2077"/>
      <c r="H440" s="2077"/>
      <c r="I440" s="2077"/>
      <c r="J440" s="2077"/>
      <c r="K440" s="2077"/>
      <c r="L440" s="2077"/>
      <c r="M440" s="2077"/>
      <c r="N440" s="2077"/>
      <c r="O440" s="2077"/>
      <c r="P440" s="2077"/>
      <c r="Q440" s="2077"/>
      <c r="R440" s="2077"/>
      <c r="S440" s="2077"/>
      <c r="T440" s="2077"/>
      <c r="U440" s="2077"/>
      <c r="V440" s="2077"/>
      <c r="W440" s="2077"/>
      <c r="X440" s="2077"/>
      <c r="Y440" s="2077"/>
      <c r="Z440" s="2077"/>
      <c r="AA440" s="2077"/>
      <c r="AB440" s="2077"/>
      <c r="AC440" s="2077"/>
      <c r="AD440" s="2077"/>
      <c r="AE440" s="2077"/>
      <c r="AF440" s="2078"/>
      <c r="AG440" s="2072">
        <f>IF(ISERROR(AG439/AG438),"",AG439/AG438)</f>
        <v>1</v>
      </c>
      <c r="AH440" s="2072"/>
      <c r="AI440" s="2072"/>
      <c r="AJ440" s="2072"/>
    </row>
    <row r="441" spans="1:110" ht="12.75" customHeight="1">
      <c r="D441" s="2067" t="s">
        <v>1150</v>
      </c>
      <c r="E441" s="2077"/>
      <c r="F441" s="2077"/>
      <c r="G441" s="2077"/>
      <c r="H441" s="2077"/>
      <c r="I441" s="2077"/>
      <c r="J441" s="2077"/>
      <c r="K441" s="2077"/>
      <c r="L441" s="2077"/>
      <c r="M441" s="2077"/>
      <c r="N441" s="2077"/>
      <c r="O441" s="2077"/>
      <c r="P441" s="2077"/>
      <c r="Q441" s="2077"/>
      <c r="R441" s="2077"/>
      <c r="S441" s="2077"/>
      <c r="T441" s="2077"/>
      <c r="U441" s="2077"/>
      <c r="V441" s="2077"/>
      <c r="W441" s="2077"/>
      <c r="X441" s="2077"/>
      <c r="Y441" s="2077"/>
      <c r="Z441" s="2077"/>
      <c r="AA441" s="2077"/>
      <c r="AB441" s="2077"/>
      <c r="AC441" s="2077"/>
      <c r="AD441" s="2077"/>
      <c r="AE441" s="2077"/>
      <c r="AF441" s="2078"/>
      <c r="AG441" s="2071">
        <v>132193</v>
      </c>
      <c r="AH441" s="2071"/>
      <c r="AI441" s="2071"/>
      <c r="AJ441" s="2071"/>
    </row>
    <row r="442" spans="1:110" ht="12.75" customHeight="1">
      <c r="D442" s="2067" t="s">
        <v>1152</v>
      </c>
      <c r="E442" s="2077"/>
      <c r="F442" s="2077"/>
      <c r="G442" s="2077"/>
      <c r="H442" s="2077"/>
      <c r="I442" s="2077"/>
      <c r="J442" s="2077"/>
      <c r="K442" s="2077"/>
      <c r="L442" s="2077"/>
      <c r="M442" s="2077"/>
      <c r="N442" s="2077"/>
      <c r="O442" s="2077"/>
      <c r="P442" s="2077"/>
      <c r="Q442" s="2077"/>
      <c r="R442" s="2077"/>
      <c r="S442" s="2077"/>
      <c r="T442" s="2077"/>
      <c r="U442" s="2077"/>
      <c r="V442" s="2077"/>
      <c r="W442" s="2077"/>
      <c r="X442" s="2077"/>
      <c r="Y442" s="2077"/>
      <c r="Z442" s="2077"/>
      <c r="AA442" s="2077"/>
      <c r="AB442" s="2077"/>
      <c r="AC442" s="2077"/>
      <c r="AD442" s="2077"/>
      <c r="AE442" s="2077"/>
      <c r="AF442" s="2078"/>
      <c r="AG442" s="2071">
        <v>132193</v>
      </c>
      <c r="AH442" s="2071"/>
      <c r="AI442" s="2071"/>
      <c r="AJ442" s="2071"/>
    </row>
    <row r="443" spans="1:110" ht="12.75" customHeight="1">
      <c r="D443" s="2067" t="s">
        <v>1153</v>
      </c>
      <c r="E443" s="2077"/>
      <c r="F443" s="2077"/>
      <c r="G443" s="2077"/>
      <c r="H443" s="2077"/>
      <c r="I443" s="2077"/>
      <c r="J443" s="2077"/>
      <c r="K443" s="2077"/>
      <c r="L443" s="2077"/>
      <c r="M443" s="2077"/>
      <c r="N443" s="2077"/>
      <c r="O443" s="2077"/>
      <c r="P443" s="2077"/>
      <c r="Q443" s="2077"/>
      <c r="R443" s="2077"/>
      <c r="S443" s="2077"/>
      <c r="T443" s="2077"/>
      <c r="U443" s="2077"/>
      <c r="V443" s="2077"/>
      <c r="W443" s="2077"/>
      <c r="X443" s="2077"/>
      <c r="Y443" s="2077"/>
      <c r="Z443" s="2077"/>
      <c r="AA443" s="2077"/>
      <c r="AB443" s="2077"/>
      <c r="AC443" s="2077"/>
      <c r="AD443" s="2077"/>
      <c r="AE443" s="2077"/>
      <c r="AF443" s="2078"/>
      <c r="AG443" s="2072">
        <f>IF(ISERROR(AG442/AG441),"",AG442/AG441)</f>
        <v>1</v>
      </c>
      <c r="AH443" s="2072"/>
      <c r="AI443" s="2072"/>
      <c r="AJ443" s="2072"/>
    </row>
    <row r="444" spans="1:110" ht="12.75" customHeight="1">
      <c r="D444" s="2067" t="s">
        <v>1154</v>
      </c>
      <c r="E444" s="2077"/>
      <c r="F444" s="2077"/>
      <c r="G444" s="2077"/>
      <c r="H444" s="2077"/>
      <c r="I444" s="2077"/>
      <c r="J444" s="2077"/>
      <c r="K444" s="2077"/>
      <c r="L444" s="2077"/>
      <c r="M444" s="2077"/>
      <c r="N444" s="2077"/>
      <c r="O444" s="2077"/>
      <c r="P444" s="2077"/>
      <c r="Q444" s="2077"/>
      <c r="R444" s="2077"/>
      <c r="S444" s="2077"/>
      <c r="T444" s="2077"/>
      <c r="U444" s="2077"/>
      <c r="V444" s="2077"/>
      <c r="W444" s="2077"/>
      <c r="X444" s="2077"/>
      <c r="Y444" s="2077"/>
      <c r="Z444" s="2077"/>
      <c r="AA444" s="2077"/>
      <c r="AB444" s="2077"/>
      <c r="AC444" s="2077"/>
      <c r="AD444" s="2077"/>
      <c r="AE444" s="2077"/>
      <c r="AF444" s="2078"/>
      <c r="AG444" s="2072">
        <f>MIN(IF(AG440&gt;AG443,AG443,AG440),1)</f>
        <v>1</v>
      </c>
      <c r="AH444" s="2072"/>
      <c r="AI444" s="2072"/>
      <c r="AJ444" s="2072"/>
    </row>
    <row r="445" spans="1:110" ht="12.75" customHeight="1">
      <c r="D445" s="2067" t="s">
        <v>1419</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3884</v>
      </c>
      <c r="AH445" s="2071"/>
      <c r="AI445" s="2071"/>
      <c r="AJ445" s="2071"/>
    </row>
    <row r="446" spans="1:110" ht="12.75" customHeight="1">
      <c r="D446" s="2070" t="s">
        <v>603</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067" t="s">
        <v>1420</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39149</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67" t="s">
        <v>1155</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73" t="s">
        <v>1156</v>
      </c>
      <c r="E449" s="2174"/>
      <c r="F449" s="2174"/>
      <c r="G449" s="2174"/>
      <c r="H449" s="2174"/>
      <c r="I449" s="2174"/>
      <c r="J449" s="2174"/>
      <c r="K449" s="2174"/>
      <c r="L449" s="2174"/>
      <c r="M449" s="2174"/>
      <c r="N449" s="2174"/>
      <c r="O449" s="2174"/>
      <c r="P449" s="2174"/>
      <c r="Q449" s="2174"/>
      <c r="R449" s="2174"/>
      <c r="S449" s="2174"/>
      <c r="T449" s="2174"/>
      <c r="U449" s="2174"/>
      <c r="V449" s="2174"/>
      <c r="W449" s="2174"/>
      <c r="X449" s="2174"/>
      <c r="Y449" s="2174"/>
      <c r="Z449" s="2174"/>
      <c r="AA449" s="2174"/>
      <c r="AB449" s="2174"/>
      <c r="AC449" s="2174"/>
      <c r="AD449" s="2174"/>
      <c r="AE449" s="2174"/>
      <c r="AF449" s="2175"/>
      <c r="AG449" s="2092">
        <f>AG441+AG445+AG447+AG448</f>
        <v>175226</v>
      </c>
      <c r="AH449" s="2092"/>
      <c r="AI449" s="2092"/>
      <c r="AJ449" s="20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76" t="s">
        <v>1421</v>
      </c>
      <c r="E450" s="2176"/>
      <c r="F450" s="2176"/>
      <c r="G450" s="2176"/>
      <c r="H450" s="2176"/>
      <c r="I450" s="2176"/>
      <c r="J450" s="2176"/>
      <c r="K450" s="2176"/>
      <c r="L450" s="2176"/>
      <c r="M450" s="2176"/>
      <c r="N450" s="2176"/>
      <c r="O450" s="2176"/>
      <c r="P450" s="2176"/>
      <c r="Q450" s="2176"/>
      <c r="R450" s="2176"/>
      <c r="S450" s="2176"/>
      <c r="T450" s="2176"/>
      <c r="U450" s="2176"/>
      <c r="V450" s="2176"/>
      <c r="W450" s="2176"/>
      <c r="X450" s="2176"/>
      <c r="Y450" s="2176"/>
      <c r="Z450" s="2176"/>
      <c r="AA450" s="2176"/>
      <c r="AB450" s="2176"/>
      <c r="AC450" s="2176"/>
      <c r="AD450" s="2176"/>
      <c r="AE450" s="2176"/>
      <c r="AF450" s="2176"/>
      <c r="AG450" s="2176"/>
      <c r="AH450" s="2176"/>
      <c r="AI450" s="2176"/>
      <c r="AJ450" s="217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77"/>
      <c r="E451" s="2177"/>
      <c r="F451" s="2177"/>
      <c r="G451" s="2177"/>
      <c r="H451" s="2177"/>
      <c r="I451" s="2177"/>
      <c r="J451" s="2177"/>
      <c r="K451" s="2177"/>
      <c r="L451" s="2177"/>
      <c r="M451" s="2177"/>
      <c r="N451" s="2177"/>
      <c r="O451" s="2177"/>
      <c r="P451" s="2177"/>
      <c r="Q451" s="2177"/>
      <c r="R451" s="2177"/>
      <c r="S451" s="2177"/>
      <c r="T451" s="2177"/>
      <c r="U451" s="2177"/>
      <c r="V451" s="2177"/>
      <c r="W451" s="2177"/>
      <c r="X451" s="2177"/>
      <c r="Y451" s="2177"/>
      <c r="Z451" s="2177"/>
      <c r="AA451" s="2177"/>
      <c r="AB451" s="2177"/>
      <c r="AC451" s="2177"/>
      <c r="AD451" s="2177"/>
      <c r="AE451" s="2177"/>
      <c r="AF451" s="2177"/>
      <c r="AG451" s="2177"/>
      <c r="AH451" s="2177"/>
      <c r="AI451" s="2177"/>
      <c r="AJ451" s="217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3">
        <f>'Sources and Uses Budget'!B105/Application!AG436</f>
        <v>397597.9207317073</v>
      </c>
      <c r="AD453" s="2093"/>
      <c r="AE453" s="2093"/>
      <c r="AF453" s="20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3">
        <f>'Sources and Uses Budget'!C105/Application!AG436</f>
        <v>397597.9207317073</v>
      </c>
      <c r="AD454" s="2093"/>
      <c r="AE454" s="2093"/>
      <c r="AF454" s="20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3">
        <f>('Sources and Uses Budget'!$S$107+'Sources and Uses Budget'!$T$107)/Application!AG436</f>
        <v>347886.68902439025</v>
      </c>
      <c r="AD455" s="2093"/>
      <c r="AE455" s="2093"/>
      <c r="AF455" s="20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81" t="s">
        <v>734</v>
      </c>
      <c r="E464" s="2082"/>
      <c r="F464" s="2082"/>
      <c r="G464" s="2082"/>
      <c r="H464" s="2082"/>
      <c r="I464" s="2082"/>
      <c r="J464" s="2082"/>
      <c r="K464" s="2082"/>
      <c r="L464" s="2082"/>
      <c r="M464" s="2082"/>
      <c r="N464" s="2082"/>
      <c r="O464" s="2082"/>
      <c r="P464" s="2082"/>
      <c r="Q464" s="2082"/>
      <c r="R464" s="2082"/>
      <c r="S464" s="2082"/>
      <c r="T464" s="2082"/>
      <c r="U464" s="2082"/>
      <c r="V464" s="2083"/>
      <c r="W464" s="2044">
        <v>0</v>
      </c>
      <c r="X464" s="2045"/>
      <c r="Y464" s="204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81" t="s">
        <v>735</v>
      </c>
      <c r="E465" s="2082"/>
      <c r="F465" s="2082"/>
      <c r="G465" s="2082"/>
      <c r="H465" s="2082"/>
      <c r="I465" s="2082"/>
      <c r="J465" s="2082"/>
      <c r="K465" s="2082"/>
      <c r="L465" s="2082"/>
      <c r="M465" s="2082"/>
      <c r="N465" s="2082"/>
      <c r="O465" s="2082"/>
      <c r="P465" s="2082"/>
      <c r="Q465" s="2082"/>
      <c r="R465" s="2082"/>
      <c r="S465" s="2082"/>
      <c r="T465" s="2082"/>
      <c r="U465" s="2082"/>
      <c r="V465" s="2083"/>
      <c r="W465" s="2044">
        <v>0</v>
      </c>
      <c r="X465" s="2045"/>
      <c r="Y465" s="204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81" t="s">
        <v>736</v>
      </c>
      <c r="E466" s="2082"/>
      <c r="F466" s="2082"/>
      <c r="G466" s="2082"/>
      <c r="H466" s="2082"/>
      <c r="I466" s="2082"/>
      <c r="J466" s="2082"/>
      <c r="K466" s="2082"/>
      <c r="L466" s="2082"/>
      <c r="M466" s="2082"/>
      <c r="N466" s="2082"/>
      <c r="O466" s="2082"/>
      <c r="P466" s="2082"/>
      <c r="Q466" s="2082"/>
      <c r="R466" s="2082"/>
      <c r="S466" s="2082"/>
      <c r="T466" s="2082"/>
      <c r="U466" s="2082"/>
      <c r="V466" s="2083"/>
      <c r="W466" s="2044">
        <v>0</v>
      </c>
      <c r="X466" s="2045"/>
      <c r="Y466" s="204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1" t="s">
        <v>737</v>
      </c>
      <c r="E467" s="2082"/>
      <c r="F467" s="2082"/>
      <c r="G467" s="2082"/>
      <c r="H467" s="2082"/>
      <c r="I467" s="2082"/>
      <c r="J467" s="2082"/>
      <c r="K467" s="2082"/>
      <c r="L467" s="2082"/>
      <c r="M467" s="2082"/>
      <c r="N467" s="2082"/>
      <c r="O467" s="2082"/>
      <c r="P467" s="2082"/>
      <c r="Q467" s="2082"/>
      <c r="R467" s="2082"/>
      <c r="S467" s="2082"/>
      <c r="T467" s="2082"/>
      <c r="U467" s="2082"/>
      <c r="V467" s="2083"/>
      <c r="W467" s="2044">
        <v>0</v>
      </c>
      <c r="X467" s="2045"/>
      <c r="Y467" s="204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1" t="s">
        <v>949</v>
      </c>
      <c r="E468" s="2082"/>
      <c r="F468" s="2082"/>
      <c r="G468" s="2082"/>
      <c r="H468" s="2082"/>
      <c r="I468" s="2082"/>
      <c r="J468" s="2082"/>
      <c r="K468" s="2082"/>
      <c r="L468" s="2082"/>
      <c r="M468" s="2082"/>
      <c r="N468" s="2082"/>
      <c r="O468" s="2082"/>
      <c r="P468" s="2082"/>
      <c r="Q468" s="2082"/>
      <c r="R468" s="2082"/>
      <c r="S468" s="2082"/>
      <c r="T468" s="2082"/>
      <c r="U468" s="2082"/>
      <c r="V468" s="2083"/>
      <c r="W468" s="2044">
        <v>0</v>
      </c>
      <c r="X468" s="2045"/>
      <c r="Y468" s="204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81" t="s">
        <v>738</v>
      </c>
      <c r="E469" s="2082"/>
      <c r="F469" s="2082"/>
      <c r="G469" s="2082"/>
      <c r="H469" s="2082"/>
      <c r="I469" s="2082"/>
      <c r="J469" s="2082"/>
      <c r="K469" s="2082"/>
      <c r="L469" s="2082"/>
      <c r="M469" s="2082"/>
      <c r="N469" s="2082"/>
      <c r="O469" s="2082"/>
      <c r="P469" s="2082"/>
      <c r="Q469" s="2082"/>
      <c r="R469" s="2082"/>
      <c r="S469" s="2082"/>
      <c r="T469" s="2082"/>
      <c r="U469" s="2082"/>
      <c r="V469" s="2083"/>
      <c r="W469" s="2044">
        <v>0</v>
      </c>
      <c r="X469" s="2045"/>
      <c r="Y469" s="204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81" t="s">
        <v>1122</v>
      </c>
      <c r="E470" s="2082"/>
      <c r="F470" s="2082"/>
      <c r="G470" s="2082"/>
      <c r="H470" s="2082"/>
      <c r="I470" s="2082"/>
      <c r="J470" s="2082"/>
      <c r="K470" s="2082"/>
      <c r="L470" s="2082"/>
      <c r="M470" s="2082"/>
      <c r="N470" s="2082"/>
      <c r="O470" s="2082"/>
      <c r="P470" s="2082"/>
      <c r="Q470" s="2082"/>
      <c r="R470" s="2082"/>
      <c r="S470" s="2082"/>
      <c r="T470" s="2082"/>
      <c r="U470" s="2082"/>
      <c r="V470" s="2083"/>
      <c r="W470" s="2044">
        <v>0</v>
      </c>
      <c r="X470" s="2045"/>
      <c r="Y470" s="204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1" t="s">
        <v>2022</v>
      </c>
      <c r="E471" s="2082"/>
      <c r="F471" s="2082"/>
      <c r="G471" s="2082"/>
      <c r="H471" s="2082"/>
      <c r="I471" s="2082"/>
      <c r="J471" s="2082"/>
      <c r="K471" s="2082"/>
      <c r="L471" s="2082"/>
      <c r="M471" s="2082"/>
      <c r="N471" s="2082"/>
      <c r="O471" s="2082"/>
      <c r="P471" s="2082"/>
      <c r="Q471" s="2082"/>
      <c r="R471" s="2082"/>
      <c r="S471" s="2082"/>
      <c r="T471" s="2082"/>
      <c r="U471" s="2082"/>
      <c r="V471" s="2083"/>
      <c r="W471" s="2044">
        <v>0</v>
      </c>
      <c r="X471" s="2045"/>
      <c r="Y471" s="204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088"/>
      <c r="H472" s="2089"/>
      <c r="I472" s="2089"/>
      <c r="J472" s="2089"/>
      <c r="K472" s="2089"/>
      <c r="L472" s="2089"/>
      <c r="M472" s="2089"/>
      <c r="N472" s="2089"/>
      <c r="O472" s="2089"/>
      <c r="P472" s="2089"/>
      <c r="Q472" s="2089"/>
      <c r="R472" s="2089"/>
      <c r="S472" s="2089"/>
      <c r="T472" s="2089"/>
      <c r="U472" s="2089"/>
      <c r="V472" s="2090"/>
      <c r="W472" s="2044">
        <v>0</v>
      </c>
      <c r="X472" s="2045"/>
      <c r="Y472" s="204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47" t="s">
        <v>872</v>
      </c>
      <c r="B478" s="2047"/>
      <c r="C478" s="2047"/>
      <c r="D478" s="2047"/>
      <c r="E478" s="2047"/>
      <c r="F478" s="2047"/>
      <c r="G478" s="2047"/>
      <c r="H478" s="2047"/>
      <c r="I478" s="2047"/>
      <c r="J478" s="2047"/>
      <c r="K478" s="2047"/>
      <c r="L478" s="2047"/>
      <c r="M478" s="2047"/>
      <c r="N478" s="2047"/>
      <c r="O478" s="2047"/>
      <c r="P478" s="2047"/>
      <c r="Q478" s="2047"/>
      <c r="R478" s="2047"/>
      <c r="S478" s="2047"/>
      <c r="T478" s="2047"/>
      <c r="U478" s="2047"/>
      <c r="V478" s="2047"/>
      <c r="W478" s="2047"/>
      <c r="X478" s="2047"/>
      <c r="Y478" s="2047"/>
      <c r="Z478" s="2047"/>
      <c r="AA478" s="2047"/>
      <c r="AB478" s="2047"/>
      <c r="AC478" s="2047"/>
      <c r="AD478" s="2047"/>
      <c r="AE478" s="2047"/>
      <c r="AF478" s="2047"/>
      <c r="AG478" s="2047"/>
      <c r="AH478" s="2047"/>
      <c r="AI478" s="2047"/>
      <c r="AJ478" s="2047"/>
      <c r="AK478" s="2047"/>
      <c r="AL478" s="204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48"/>
      <c r="B479" s="2048"/>
      <c r="C479" s="2048"/>
      <c r="D479" s="2048"/>
      <c r="E479" s="2048"/>
      <c r="F479" s="2048"/>
      <c r="G479" s="2048"/>
      <c r="H479" s="2048"/>
      <c r="I479" s="2048"/>
      <c r="J479" s="2048"/>
      <c r="K479" s="2048"/>
      <c r="L479" s="2048"/>
      <c r="M479" s="2048"/>
      <c r="N479" s="2048"/>
      <c r="O479" s="2048"/>
      <c r="P479" s="2048"/>
      <c r="Q479" s="2048"/>
      <c r="R479" s="2048"/>
      <c r="S479" s="2048"/>
      <c r="T479" s="2048"/>
      <c r="U479" s="2048"/>
      <c r="V479" s="2048"/>
      <c r="W479" s="2048"/>
      <c r="X479" s="2048"/>
      <c r="Y479" s="2048"/>
      <c r="Z479" s="2048"/>
      <c r="AA479" s="2048"/>
      <c r="AB479" s="2048"/>
      <c r="AC479" s="2048"/>
      <c r="AD479" s="2048"/>
      <c r="AE479" s="2048"/>
      <c r="AF479" s="2048"/>
      <c r="AG479" s="2048"/>
      <c r="AH479" s="2048"/>
      <c r="AI479" s="2048"/>
      <c r="AJ479" s="2048"/>
      <c r="AK479" s="2048"/>
      <c r="AL479" s="204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085" t="s">
        <v>873</v>
      </c>
      <c r="U483" s="2065"/>
      <c r="V483" s="2065"/>
      <c r="W483" s="2065"/>
      <c r="X483" s="2065"/>
      <c r="Y483" s="2065"/>
      <c r="Z483" s="2065"/>
      <c r="AA483" s="2065"/>
      <c r="AB483" s="2065"/>
      <c r="AC483" s="2065"/>
      <c r="AD483" s="2065"/>
      <c r="AE483" s="2065"/>
      <c r="AF483" s="2065"/>
      <c r="AG483" s="2065"/>
      <c r="AH483" s="206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172" t="s">
        <v>36</v>
      </c>
      <c r="U484" s="2172"/>
      <c r="V484" s="2172"/>
      <c r="W484" s="2172"/>
      <c r="X484" s="2172"/>
      <c r="Y484" s="2172" t="s">
        <v>37</v>
      </c>
      <c r="Z484" s="2172"/>
      <c r="AA484" s="2172"/>
      <c r="AB484" s="2172"/>
      <c r="AC484" s="2172"/>
      <c r="AD484" s="2172" t="s">
        <v>350</v>
      </c>
      <c r="AE484" s="2172"/>
      <c r="AF484" s="2172"/>
      <c r="AG484" s="2172"/>
      <c r="AH484" s="21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172"/>
      <c r="U485" s="2172"/>
      <c r="V485" s="2172"/>
      <c r="W485" s="2172"/>
      <c r="X485" s="2172"/>
      <c r="Y485" s="2172"/>
      <c r="Z485" s="2172"/>
      <c r="AA485" s="2172"/>
      <c r="AB485" s="2172"/>
      <c r="AC485" s="2172"/>
      <c r="AD485" s="2172"/>
      <c r="AE485" s="2172"/>
      <c r="AF485" s="2172"/>
      <c r="AG485" s="2172"/>
      <c r="AH485" s="21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024">
        <v>0</v>
      </c>
      <c r="U486" s="2024"/>
      <c r="V486" s="2024"/>
      <c r="W486" s="2024"/>
      <c r="X486" s="2024"/>
      <c r="Y486" s="2024">
        <v>0</v>
      </c>
      <c r="Z486" s="2024"/>
      <c r="AA486" s="2024"/>
      <c r="AB486" s="2024"/>
      <c r="AC486" s="2024"/>
      <c r="AD486" s="2024">
        <v>44154</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024">
        <v>0</v>
      </c>
      <c r="U487" s="2024"/>
      <c r="V487" s="2024"/>
      <c r="W487" s="2024"/>
      <c r="X487" s="2024"/>
      <c r="Y487" s="2024">
        <v>0</v>
      </c>
      <c r="Z487" s="2024"/>
      <c r="AA487" s="2024"/>
      <c r="AB487" s="2024"/>
      <c r="AC487" s="2024"/>
      <c r="AD487" s="2024">
        <v>0</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024">
        <v>0</v>
      </c>
      <c r="U488" s="2024"/>
      <c r="V488" s="2024"/>
      <c r="W488" s="2024"/>
      <c r="X488" s="2024"/>
      <c r="Y488" s="2024">
        <v>0</v>
      </c>
      <c r="Z488" s="2024"/>
      <c r="AA488" s="2024"/>
      <c r="AB488" s="2024"/>
      <c r="AC488" s="2024"/>
      <c r="AD488" s="2024">
        <v>0</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024">
        <v>0</v>
      </c>
      <c r="U489" s="2024"/>
      <c r="V489" s="2024"/>
      <c r="W489" s="2024"/>
      <c r="X489" s="2024"/>
      <c r="Y489" s="2024">
        <v>0</v>
      </c>
      <c r="Z489" s="2024"/>
      <c r="AA489" s="2024"/>
      <c r="AB489" s="2024"/>
      <c r="AC489" s="2024"/>
      <c r="AD489" s="2024">
        <v>0</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024">
        <v>0</v>
      </c>
      <c r="U490" s="2024"/>
      <c r="V490" s="2024"/>
      <c r="W490" s="2024"/>
      <c r="X490" s="2024"/>
      <c r="Y490" s="2024">
        <v>0</v>
      </c>
      <c r="Z490" s="2024"/>
      <c r="AA490" s="2024"/>
      <c r="AB490" s="2024"/>
      <c r="AC490" s="2024"/>
      <c r="AD490" s="2024">
        <v>0</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024">
        <v>0</v>
      </c>
      <c r="U491" s="2024"/>
      <c r="V491" s="2024"/>
      <c r="W491" s="2024"/>
      <c r="X491" s="2024"/>
      <c r="Y491" s="2024">
        <v>0</v>
      </c>
      <c r="Z491" s="2024"/>
      <c r="AA491" s="2024"/>
      <c r="AB491" s="2024"/>
      <c r="AC491" s="2024"/>
      <c r="AD491" s="2024">
        <v>0</v>
      </c>
      <c r="AE491" s="2024"/>
      <c r="AF491" s="2024"/>
      <c r="AG491" s="2024"/>
      <c r="AH491" s="20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024">
        <v>0</v>
      </c>
      <c r="U492" s="2024"/>
      <c r="V492" s="2024"/>
      <c r="W492" s="2024"/>
      <c r="X492" s="2024"/>
      <c r="Y492" s="2024">
        <v>0</v>
      </c>
      <c r="Z492" s="2024"/>
      <c r="AA492" s="2024"/>
      <c r="AB492" s="2024"/>
      <c r="AC492" s="2024"/>
      <c r="AD492" s="2024">
        <v>44154</v>
      </c>
      <c r="AE492" s="2024"/>
      <c r="AF492" s="2024"/>
      <c r="AG492" s="2024"/>
      <c r="AH492" s="202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024">
        <v>0</v>
      </c>
      <c r="U493" s="2024"/>
      <c r="V493" s="2024"/>
      <c r="W493" s="2024"/>
      <c r="X493" s="2024"/>
      <c r="Y493" s="2024">
        <v>0</v>
      </c>
      <c r="Z493" s="2024"/>
      <c r="AA493" s="2024"/>
      <c r="AB493" s="2024"/>
      <c r="AC493" s="2024"/>
      <c r="AD493" s="2024">
        <v>0</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024">
        <v>0</v>
      </c>
      <c r="U494" s="2024"/>
      <c r="V494" s="2024"/>
      <c r="W494" s="2024"/>
      <c r="X494" s="2024"/>
      <c r="Y494" s="2024">
        <v>0</v>
      </c>
      <c r="Z494" s="2024"/>
      <c r="AA494" s="2024"/>
      <c r="AB494" s="2024"/>
      <c r="AC494" s="2024"/>
      <c r="AD494" s="2024">
        <v>0</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1096</v>
      </c>
      <c r="F495" s="80"/>
      <c r="G495" s="80"/>
      <c r="H495" s="80"/>
      <c r="I495" s="80"/>
      <c r="J495" s="80"/>
      <c r="K495" s="80"/>
      <c r="L495" s="80"/>
      <c r="M495" s="80"/>
      <c r="N495" s="80"/>
      <c r="O495" s="80"/>
      <c r="P495" s="80"/>
      <c r="Q495" s="80"/>
      <c r="R495" s="80"/>
      <c r="S495" s="80"/>
      <c r="T495" s="2024">
        <v>0</v>
      </c>
      <c r="U495" s="2024"/>
      <c r="V495" s="2024"/>
      <c r="W495" s="2024"/>
      <c r="X495" s="2024"/>
      <c r="Y495" s="2024">
        <v>0</v>
      </c>
      <c r="Z495" s="2024"/>
      <c r="AA495" s="2024"/>
      <c r="AB495" s="2024"/>
      <c r="AC495" s="2024"/>
      <c r="AD495" s="2024">
        <v>44154</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66" t="s">
        <v>416</v>
      </c>
      <c r="R497" s="2167"/>
      <c r="S497" s="2167"/>
      <c r="T497" s="2167"/>
      <c r="U497" s="2167"/>
      <c r="V497" s="2167"/>
      <c r="W497" s="2167"/>
      <c r="X497" s="2167"/>
      <c r="Y497" s="2167"/>
      <c r="Z497" s="2167"/>
      <c r="AA497" s="2167"/>
      <c r="AB497" s="2167"/>
      <c r="AC497" s="2167"/>
      <c r="AD497" s="2167"/>
      <c r="AE497" s="2167"/>
      <c r="AF497" s="2167"/>
      <c r="AG497" s="2167"/>
      <c r="AH497" s="2167"/>
      <c r="AI497" s="2167"/>
      <c r="AJ497" s="2167"/>
      <c r="AK497" s="216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109" t="s">
        <v>2577</v>
      </c>
      <c r="R498" s="2059"/>
      <c r="S498" s="2059"/>
      <c r="T498" s="2059"/>
      <c r="U498" s="2059"/>
      <c r="V498" s="2059"/>
      <c r="W498" s="2059"/>
      <c r="X498" s="2059"/>
      <c r="Y498" s="2059"/>
      <c r="Z498" s="2059"/>
      <c r="AA498" s="2059"/>
      <c r="AB498" s="2059"/>
      <c r="AC498" s="2059"/>
      <c r="AD498" s="2059"/>
      <c r="AE498" s="2059"/>
      <c r="AF498" s="2059"/>
      <c r="AG498" s="2059"/>
      <c r="AH498" s="2059"/>
      <c r="AI498" s="2059"/>
      <c r="AJ498" s="2059"/>
      <c r="AK498" s="211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109" t="s">
        <v>2578</v>
      </c>
      <c r="R499" s="2059"/>
      <c r="S499" s="2059"/>
      <c r="T499" s="2059"/>
      <c r="U499" s="2059"/>
      <c r="V499" s="2059"/>
      <c r="W499" s="2059"/>
      <c r="X499" s="2059"/>
      <c r="Y499" s="2059"/>
      <c r="Z499" s="2059"/>
      <c r="AA499" s="2059"/>
      <c r="AB499" s="2059"/>
      <c r="AC499" s="2059"/>
      <c r="AD499" s="2059"/>
      <c r="AE499" s="2059"/>
      <c r="AF499" s="2059"/>
      <c r="AG499" s="2059"/>
      <c r="AH499" s="2059"/>
      <c r="AI499" s="2059"/>
      <c r="AJ499" s="2059"/>
      <c r="AK499" s="211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109">
        <v>0</v>
      </c>
      <c r="R500" s="2059"/>
      <c r="S500" s="2059"/>
      <c r="T500" s="2059"/>
      <c r="U500" s="2059"/>
      <c r="V500" s="2059"/>
      <c r="W500" s="2059"/>
      <c r="X500" s="2059"/>
      <c r="Y500" s="2059"/>
      <c r="Z500" s="2059"/>
      <c r="AA500" s="2059"/>
      <c r="AB500" s="2059"/>
      <c r="AC500" s="2059"/>
      <c r="AD500" s="2059"/>
      <c r="AE500" s="2059"/>
      <c r="AF500" s="2059"/>
      <c r="AG500" s="2059"/>
      <c r="AH500" s="2059"/>
      <c r="AI500" s="2059"/>
      <c r="AJ500" s="2059"/>
      <c r="AK500" s="211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86" t="s">
        <v>420</v>
      </c>
      <c r="C501" s="2187"/>
      <c r="D501" s="2187"/>
      <c r="E501" s="2187"/>
      <c r="F501" s="2187"/>
      <c r="G501" s="2187"/>
      <c r="H501" s="2187"/>
      <c r="I501" s="2187"/>
      <c r="J501" s="2187"/>
      <c r="K501" s="2187"/>
      <c r="L501" s="2187"/>
      <c r="M501" s="2187"/>
      <c r="N501" s="2187"/>
      <c r="O501" s="2187"/>
      <c r="P501" s="2188"/>
      <c r="Q501" s="2037" t="s">
        <v>707</v>
      </c>
      <c r="R501" s="2038"/>
      <c r="S501" s="2397" t="s">
        <v>171</v>
      </c>
      <c r="T501" s="2398"/>
      <c r="U501" s="2398"/>
      <c r="V501" s="2398"/>
      <c r="W501" s="2398"/>
      <c r="X501" s="2398"/>
      <c r="Y501" s="2398"/>
      <c r="Z501" s="2398"/>
      <c r="AA501" s="2398"/>
      <c r="AB501" s="2398"/>
      <c r="AC501" s="2398"/>
      <c r="AD501" s="2398"/>
      <c r="AE501" s="2398"/>
      <c r="AF501" s="2398"/>
      <c r="AG501" s="2398"/>
      <c r="AH501" s="2398"/>
      <c r="AI501" s="2398"/>
      <c r="AJ501" s="2398"/>
      <c r="AK501" s="23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9"/>
      <c r="C502" s="2190"/>
      <c r="D502" s="2190"/>
      <c r="E502" s="2190"/>
      <c r="F502" s="2190"/>
      <c r="G502" s="2190"/>
      <c r="H502" s="2190"/>
      <c r="I502" s="2190"/>
      <c r="J502" s="2190"/>
      <c r="K502" s="2190"/>
      <c r="L502" s="2190"/>
      <c r="M502" s="2190"/>
      <c r="N502" s="2190"/>
      <c r="O502" s="2190"/>
      <c r="P502" s="2191"/>
      <c r="Q502" s="2039"/>
      <c r="R502" s="2040"/>
      <c r="S502" s="2400"/>
      <c r="T502" s="2401"/>
      <c r="U502" s="2401"/>
      <c r="V502" s="2401"/>
      <c r="W502" s="2401"/>
      <c r="X502" s="2401"/>
      <c r="Y502" s="2401"/>
      <c r="Z502" s="2401"/>
      <c r="AA502" s="2401"/>
      <c r="AB502" s="2401"/>
      <c r="AC502" s="2401"/>
      <c r="AD502" s="2401"/>
      <c r="AE502" s="2401"/>
      <c r="AF502" s="2401"/>
      <c r="AG502" s="2401"/>
      <c r="AH502" s="2401"/>
      <c r="AI502" s="2401"/>
      <c r="AJ502" s="2401"/>
      <c r="AK502" s="24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2042</v>
      </c>
      <c r="C503" s="1493"/>
      <c r="D503" s="1493"/>
      <c r="E503" s="1493"/>
      <c r="F503" s="1493"/>
      <c r="G503" s="1493"/>
      <c r="H503" s="1493"/>
      <c r="I503" s="1493"/>
      <c r="J503" s="1493"/>
      <c r="K503" s="1493"/>
      <c r="L503" s="1493"/>
      <c r="M503" s="1493"/>
      <c r="N503" s="1493"/>
      <c r="O503" s="1493"/>
      <c r="P503" s="1493"/>
      <c r="Q503" s="2074" t="s">
        <v>707</v>
      </c>
      <c r="R503" s="2075"/>
      <c r="S503" s="2075"/>
      <c r="T503" s="2075"/>
      <c r="U503" s="2075"/>
      <c r="V503" s="2075"/>
      <c r="W503" s="2075"/>
      <c r="X503" s="2075"/>
      <c r="Y503" s="2075"/>
      <c r="Z503" s="2075"/>
      <c r="AA503" s="2075"/>
      <c r="AB503" s="2075"/>
      <c r="AC503" s="2075"/>
      <c r="AD503" s="2075"/>
      <c r="AE503" s="2075"/>
      <c r="AF503" s="2075"/>
      <c r="AG503" s="2075"/>
      <c r="AH503" s="2075"/>
      <c r="AI503" s="2075"/>
      <c r="AJ503" s="2075"/>
      <c r="AK503" s="207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109" t="s">
        <v>2579</v>
      </c>
      <c r="R504" s="2059"/>
      <c r="S504" s="2059"/>
      <c r="T504" s="2059"/>
      <c r="U504" s="2059"/>
      <c r="V504" s="2059"/>
      <c r="W504" s="2059"/>
      <c r="X504" s="2059"/>
      <c r="Y504" s="2059"/>
      <c r="Z504" s="2059"/>
      <c r="AA504" s="2059"/>
      <c r="AB504" s="2059"/>
      <c r="AC504" s="2059"/>
      <c r="AD504" s="2059"/>
      <c r="AE504" s="2059"/>
      <c r="AF504" s="2059"/>
      <c r="AG504" s="2059"/>
      <c r="AH504" s="2059"/>
      <c r="AI504" s="2059"/>
      <c r="AJ504" s="2059"/>
      <c r="AK504" s="211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109" t="s">
        <v>2580</v>
      </c>
      <c r="R505" s="2059"/>
      <c r="S505" s="2059"/>
      <c r="T505" s="2059"/>
      <c r="U505" s="2059"/>
      <c r="V505" s="2059"/>
      <c r="W505" s="2059"/>
      <c r="X505" s="2059"/>
      <c r="Y505" s="2059"/>
      <c r="Z505" s="2059"/>
      <c r="AA505" s="2059"/>
      <c r="AB505" s="2059"/>
      <c r="AC505" s="2059"/>
      <c r="AD505" s="2059"/>
      <c r="AE505" s="2059"/>
      <c r="AF505" s="2059"/>
      <c r="AG505" s="2059"/>
      <c r="AH505" s="2059"/>
      <c r="AI505" s="2059"/>
      <c r="AJ505" s="2059"/>
      <c r="AK505" s="211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2039</v>
      </c>
      <c r="C506" s="77"/>
      <c r="D506" s="77"/>
      <c r="E506" s="77"/>
      <c r="F506" s="77"/>
      <c r="G506" s="77"/>
      <c r="H506" s="77"/>
      <c r="I506" s="77"/>
      <c r="J506" s="77"/>
      <c r="K506" s="77"/>
      <c r="L506" s="77"/>
      <c r="M506" s="77"/>
      <c r="N506" s="77"/>
      <c r="O506" s="77"/>
      <c r="P506" s="77"/>
      <c r="Q506" s="2109">
        <v>272</v>
      </c>
      <c r="R506" s="2059"/>
      <c r="S506" s="2059"/>
      <c r="T506" s="2059"/>
      <c r="U506" s="2059"/>
      <c r="V506" s="2059"/>
      <c r="W506" s="2059"/>
      <c r="X506" s="2059"/>
      <c r="Y506" s="2059"/>
      <c r="Z506" s="2059"/>
      <c r="AA506" s="2059"/>
      <c r="AB506" s="2059"/>
      <c r="AC506" s="2059"/>
      <c r="AD506" s="2059"/>
      <c r="AE506" s="2059"/>
      <c r="AF506" s="2059"/>
      <c r="AG506" s="2059"/>
      <c r="AH506" s="2059"/>
      <c r="AI506" s="2059"/>
      <c r="AJ506" s="2059"/>
      <c r="AK506" s="211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2040</v>
      </c>
      <c r="C507" s="77"/>
      <c r="D507" s="77"/>
      <c r="E507" s="77"/>
      <c r="F507" s="77"/>
      <c r="G507" s="77"/>
      <c r="H507" s="77"/>
      <c r="I507" s="77"/>
      <c r="J507" s="77"/>
      <c r="K507" s="77"/>
      <c r="L507" s="77"/>
      <c r="M507" s="2125"/>
      <c r="N507" s="2126"/>
      <c r="O507" s="2126"/>
      <c r="P507" s="2127"/>
      <c r="Q507" s="1523" t="s">
        <v>2041</v>
      </c>
      <c r="R507" s="1524"/>
      <c r="S507" s="1524"/>
      <c r="T507" s="1524"/>
      <c r="U507" s="1524"/>
      <c r="V507" s="1524"/>
      <c r="W507" s="1524"/>
      <c r="X507" s="1524"/>
      <c r="Y507" s="1524"/>
      <c r="Z507" s="1524"/>
      <c r="AA507" s="1524"/>
      <c r="AB507" s="1524"/>
      <c r="AC507" s="1524"/>
      <c r="AD507" s="1524"/>
      <c r="AE507" s="1524"/>
      <c r="AF507" s="1524"/>
      <c r="AG507" s="1524"/>
      <c r="AH507" s="2125">
        <v>272</v>
      </c>
      <c r="AI507" s="2126"/>
      <c r="AJ507" s="2126"/>
      <c r="AK507" s="212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6" t="s">
        <v>424</v>
      </c>
      <c r="AD511" s="2167"/>
      <c r="AE511" s="2167"/>
      <c r="AF511" s="2167"/>
      <c r="AG511" s="2167"/>
      <c r="AH511" s="2167"/>
      <c r="AI511" s="2167"/>
      <c r="AJ511" s="2167"/>
      <c r="AK511" s="216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5" t="s">
        <v>425</v>
      </c>
      <c r="AD512" s="2065"/>
      <c r="AE512" s="2065"/>
      <c r="AF512" s="2065"/>
      <c r="AG512" s="82" t="s">
        <v>426</v>
      </c>
      <c r="AH512" s="2065" t="s">
        <v>427</v>
      </c>
      <c r="AI512" s="2065"/>
      <c r="AJ512" s="2065"/>
      <c r="AK512" s="206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31" t="s">
        <v>428</v>
      </c>
      <c r="C513" s="2032"/>
      <c r="D513" s="2032"/>
      <c r="E513" s="2032"/>
      <c r="F513" s="2032"/>
      <c r="G513" s="2032"/>
      <c r="H513" s="2033"/>
      <c r="I513" s="72" t="s">
        <v>429</v>
      </c>
      <c r="J513" s="72"/>
      <c r="K513" s="72"/>
      <c r="L513" s="72"/>
      <c r="M513" s="72"/>
      <c r="N513" s="72"/>
      <c r="O513" s="72"/>
      <c r="P513" s="72"/>
      <c r="Q513" s="72"/>
      <c r="R513" s="72"/>
      <c r="S513" s="72"/>
      <c r="T513" s="72"/>
      <c r="U513" s="72"/>
      <c r="V513" s="72"/>
      <c r="W513" s="72"/>
      <c r="X513" s="25"/>
      <c r="Y513" s="25"/>
      <c r="AC513" s="2025">
        <v>11</v>
      </c>
      <c r="AD513" s="2026"/>
      <c r="AE513" s="2026"/>
      <c r="AF513" s="2026"/>
      <c r="AG513" s="75" t="s">
        <v>426</v>
      </c>
      <c r="AH513" s="2027">
        <v>2020</v>
      </c>
      <c r="AI513" s="2027"/>
      <c r="AJ513" s="2027"/>
      <c r="AK513" s="202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34"/>
      <c r="C514" s="2035"/>
      <c r="D514" s="2035"/>
      <c r="E514" s="2035"/>
      <c r="F514" s="2035"/>
      <c r="G514" s="2035"/>
      <c r="H514" s="2036"/>
      <c r="I514" s="80" t="s">
        <v>430</v>
      </c>
      <c r="J514" s="80"/>
      <c r="K514" s="80"/>
      <c r="L514" s="80"/>
      <c r="M514" s="80"/>
      <c r="N514" s="80"/>
      <c r="O514" s="80"/>
      <c r="P514" s="80"/>
      <c r="Q514" s="80"/>
      <c r="R514" s="80"/>
      <c r="S514" s="80"/>
      <c r="T514" s="80"/>
      <c r="U514" s="80"/>
      <c r="V514" s="80"/>
      <c r="W514" s="80"/>
      <c r="X514" s="80"/>
      <c r="Y514" s="80"/>
      <c r="Z514" s="80"/>
      <c r="AA514" s="80"/>
      <c r="AB514" s="80"/>
      <c r="AC514" s="2025">
        <v>1</v>
      </c>
      <c r="AD514" s="2026"/>
      <c r="AE514" s="2026"/>
      <c r="AF514" s="2026"/>
      <c r="AG514" s="65" t="s">
        <v>426</v>
      </c>
      <c r="AH514" s="2027">
        <v>2021</v>
      </c>
      <c r="AI514" s="2027"/>
      <c r="AJ514" s="2027"/>
      <c r="AK514" s="202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31" t="s">
        <v>431</v>
      </c>
      <c r="C515" s="2032"/>
      <c r="D515" s="2032"/>
      <c r="E515" s="2032"/>
      <c r="F515" s="2032"/>
      <c r="G515" s="2032"/>
      <c r="H515" s="2033"/>
      <c r="I515" s="72" t="s">
        <v>432</v>
      </c>
      <c r="J515" s="72"/>
      <c r="K515" s="72"/>
      <c r="L515" s="72"/>
      <c r="M515" s="72"/>
      <c r="N515" s="72"/>
      <c r="O515" s="72"/>
      <c r="P515" s="72"/>
      <c r="Q515" s="72"/>
      <c r="R515" s="72"/>
      <c r="S515" s="72"/>
      <c r="T515" s="72"/>
      <c r="U515" s="72"/>
      <c r="V515" s="72"/>
      <c r="W515" s="72"/>
      <c r="X515" s="25"/>
      <c r="Y515" s="25"/>
      <c r="AC515" s="2025" t="s">
        <v>627</v>
      </c>
      <c r="AD515" s="2026"/>
      <c r="AE515" s="2026"/>
      <c r="AF515" s="2026"/>
      <c r="AG515" s="75" t="s">
        <v>426</v>
      </c>
      <c r="AH515" s="2027"/>
      <c r="AI515" s="2027"/>
      <c r="AJ515" s="2027"/>
      <c r="AK515" s="202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34"/>
      <c r="C516" s="2035"/>
      <c r="D516" s="2035"/>
      <c r="E516" s="2035"/>
      <c r="F516" s="2035"/>
      <c r="G516" s="2035"/>
      <c r="H516" s="2036"/>
      <c r="I516" s="25" t="s">
        <v>433</v>
      </c>
      <c r="J516" s="25"/>
      <c r="K516" s="25"/>
      <c r="L516" s="25"/>
      <c r="M516" s="25"/>
      <c r="N516" s="25"/>
      <c r="O516" s="25"/>
      <c r="P516" s="25"/>
      <c r="Q516" s="25"/>
      <c r="R516" s="25"/>
      <c r="S516" s="25"/>
      <c r="T516" s="25"/>
      <c r="U516" s="25"/>
      <c r="V516" s="25"/>
      <c r="W516" s="25"/>
      <c r="X516" s="25"/>
      <c r="Y516" s="25"/>
      <c r="AC516" s="2025" t="s">
        <v>627</v>
      </c>
      <c r="AD516" s="2026"/>
      <c r="AE516" s="2026"/>
      <c r="AF516" s="2026"/>
      <c r="AG516" s="75" t="s">
        <v>426</v>
      </c>
      <c r="AH516" s="2027"/>
      <c r="AI516" s="2027"/>
      <c r="AJ516" s="2027"/>
      <c r="AK516" s="202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4"/>
      <c r="C517" s="2035"/>
      <c r="D517" s="2035"/>
      <c r="E517" s="2035"/>
      <c r="F517" s="2035"/>
      <c r="G517" s="2035"/>
      <c r="H517" s="2036"/>
      <c r="I517" s="25" t="s">
        <v>434</v>
      </c>
      <c r="J517" s="25"/>
      <c r="K517" s="25"/>
      <c r="L517" s="25"/>
      <c r="M517" s="25"/>
      <c r="N517" s="25"/>
      <c r="O517" s="25"/>
      <c r="P517" s="25"/>
      <c r="Q517" s="25"/>
      <c r="R517" s="25"/>
      <c r="S517" s="25"/>
      <c r="T517" s="25"/>
      <c r="U517" s="25"/>
      <c r="V517" s="25"/>
      <c r="W517" s="25"/>
      <c r="X517" s="25"/>
      <c r="Y517" s="25"/>
      <c r="AC517" s="2025">
        <v>11</v>
      </c>
      <c r="AD517" s="2026"/>
      <c r="AE517" s="2026"/>
      <c r="AF517" s="2026"/>
      <c r="AG517" s="75" t="s">
        <v>426</v>
      </c>
      <c r="AH517" s="2027">
        <v>2020</v>
      </c>
      <c r="AI517" s="2027"/>
      <c r="AJ517" s="2027"/>
      <c r="AK517" s="202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34"/>
      <c r="C518" s="2035"/>
      <c r="D518" s="2035"/>
      <c r="E518" s="2035"/>
      <c r="F518" s="2035"/>
      <c r="G518" s="2035"/>
      <c r="H518" s="2036"/>
      <c r="I518" s="25" t="s">
        <v>435</v>
      </c>
      <c r="J518" s="25"/>
      <c r="K518" s="25"/>
      <c r="L518" s="25"/>
      <c r="M518" s="25"/>
      <c r="N518" s="25"/>
      <c r="O518" s="25"/>
      <c r="P518" s="25"/>
      <c r="Q518" s="25"/>
      <c r="R518" s="25"/>
      <c r="S518" s="25"/>
      <c r="T518" s="25"/>
      <c r="U518" s="25"/>
      <c r="V518" s="25"/>
      <c r="W518" s="25"/>
      <c r="X518" s="25"/>
      <c r="Y518" s="25"/>
      <c r="AC518" s="2025">
        <v>10</v>
      </c>
      <c r="AD518" s="2026"/>
      <c r="AE518" s="2026"/>
      <c r="AF518" s="2026"/>
      <c r="AG518" s="75" t="s">
        <v>426</v>
      </c>
      <c r="AH518" s="2027">
        <v>2021</v>
      </c>
      <c r="AI518" s="2027"/>
      <c r="AJ518" s="2027"/>
      <c r="AK518" s="202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34"/>
      <c r="C519" s="2035"/>
      <c r="D519" s="2035"/>
      <c r="E519" s="2035"/>
      <c r="F519" s="2035"/>
      <c r="G519" s="2035"/>
      <c r="H519" s="2036"/>
      <c r="I519" s="177" t="s">
        <v>436</v>
      </c>
      <c r="J519" s="25"/>
      <c r="K519" s="25"/>
      <c r="L519" s="25"/>
      <c r="M519" s="25"/>
      <c r="N519" s="25"/>
      <c r="O519" s="25"/>
      <c r="P519" s="25"/>
      <c r="Q519" s="25"/>
      <c r="R519" s="25"/>
      <c r="S519" s="25"/>
      <c r="T519" s="25"/>
      <c r="U519" s="25"/>
      <c r="V519" s="25"/>
      <c r="W519" s="25"/>
      <c r="X519" s="25"/>
      <c r="Y519" s="25"/>
      <c r="AC519" s="2111">
        <v>10</v>
      </c>
      <c r="AD519" s="2112"/>
      <c r="AE519" s="2112"/>
      <c r="AF519" s="2112"/>
      <c r="AG519" s="75" t="s">
        <v>426</v>
      </c>
      <c r="AH519" s="2027">
        <v>2021</v>
      </c>
      <c r="AI519" s="2027"/>
      <c r="AJ519" s="2027"/>
      <c r="AK519" s="202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34"/>
      <c r="C520" s="2035"/>
      <c r="D520" s="2035"/>
      <c r="E520" s="2035"/>
      <c r="F520" s="2035"/>
      <c r="G520" s="2035"/>
      <c r="H520" s="2036"/>
      <c r="I520" s="1526" t="s">
        <v>175</v>
      </c>
      <c r="J520" s="80"/>
      <c r="K520" s="80"/>
      <c r="L520" s="2179" t="s">
        <v>345</v>
      </c>
      <c r="M520" s="2023"/>
      <c r="N520" s="2023"/>
      <c r="O520" s="2023"/>
      <c r="P520" s="2023"/>
      <c r="Q520" s="2023"/>
      <c r="R520" s="2023"/>
      <c r="S520" s="2023"/>
      <c r="T520" s="2023"/>
      <c r="U520" s="2023"/>
      <c r="V520" s="2023"/>
      <c r="W520" s="2023"/>
      <c r="X520" s="2023"/>
      <c r="Y520" s="2023"/>
      <c r="Z520" s="2023"/>
      <c r="AA520" s="2023"/>
      <c r="AB520" s="2180"/>
      <c r="AC520" s="2025" t="s">
        <v>627</v>
      </c>
      <c r="AD520" s="2026"/>
      <c r="AE520" s="2026"/>
      <c r="AF520" s="2026"/>
      <c r="AG520" s="1497" t="s">
        <v>426</v>
      </c>
      <c r="AH520" s="2027"/>
      <c r="AI520" s="2027"/>
      <c r="AJ520" s="2027"/>
      <c r="AK520" s="202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17" t="s">
        <v>1387</v>
      </c>
      <c r="AD521" s="2017"/>
      <c r="AE521" s="2017"/>
      <c r="AF521" s="2017"/>
      <c r="AG521" s="1805"/>
      <c r="AH521" s="2160"/>
      <c r="AI521" s="2160"/>
      <c r="AJ521" s="2160"/>
      <c r="AK521" s="21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111"/>
      <c r="AD522" s="2112"/>
      <c r="AE522" s="2112"/>
      <c r="AF522" s="2162"/>
      <c r="AG522" s="1805"/>
      <c r="AH522" s="2160"/>
      <c r="AI522" s="2160"/>
      <c r="AJ522" s="2160"/>
      <c r="AK522" s="21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181"/>
      <c r="AD524" s="2182"/>
      <c r="AE524" s="2182"/>
      <c r="AF524" s="2183"/>
      <c r="AG524" s="1806"/>
      <c r="AH524" s="2014"/>
      <c r="AI524" s="2014"/>
      <c r="AJ524" s="2014"/>
      <c r="AK524" s="201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63" t="s">
        <v>425</v>
      </c>
      <c r="AD525" s="2164"/>
      <c r="AE525" s="2164"/>
      <c r="AF525" s="2164"/>
      <c r="AG525" s="1806" t="s">
        <v>426</v>
      </c>
      <c r="AH525" s="2164" t="s">
        <v>427</v>
      </c>
      <c r="AI525" s="2164"/>
      <c r="AJ525" s="2164"/>
      <c r="AK525" s="216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1" t="s">
        <v>437</v>
      </c>
      <c r="C526" s="2032"/>
      <c r="D526" s="2032"/>
      <c r="E526" s="2032"/>
      <c r="F526" s="2032"/>
      <c r="G526" s="2032"/>
      <c r="H526" s="2033"/>
      <c r="I526" s="72" t="s">
        <v>438</v>
      </c>
      <c r="J526" s="72"/>
      <c r="K526" s="72"/>
      <c r="L526" s="72"/>
      <c r="M526" s="72"/>
      <c r="N526" s="72"/>
      <c r="O526" s="72"/>
      <c r="P526" s="72"/>
      <c r="Q526" s="72"/>
      <c r="R526" s="72"/>
      <c r="S526" s="72"/>
      <c r="T526" s="72"/>
      <c r="U526" s="72"/>
      <c r="V526" s="72"/>
      <c r="W526" s="72"/>
      <c r="X526" s="25"/>
      <c r="Y526" s="25"/>
      <c r="AC526" s="2025">
        <v>1</v>
      </c>
      <c r="AD526" s="2026"/>
      <c r="AE526" s="2026"/>
      <c r="AF526" s="2026"/>
      <c r="AG526" s="75" t="s">
        <v>426</v>
      </c>
      <c r="AH526" s="2027">
        <v>2021</v>
      </c>
      <c r="AI526" s="2027"/>
      <c r="AJ526" s="2027"/>
      <c r="AK526" s="202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5" customHeight="1">
      <c r="B527" s="2034"/>
      <c r="C527" s="2035"/>
      <c r="D527" s="2035"/>
      <c r="E527" s="2035"/>
      <c r="F527" s="2035"/>
      <c r="G527" s="2035"/>
      <c r="H527" s="2036"/>
      <c r="I527" s="25" t="s">
        <v>439</v>
      </c>
      <c r="J527" s="25"/>
      <c r="K527" s="25"/>
      <c r="L527" s="25"/>
      <c r="M527" s="25"/>
      <c r="N527" s="25"/>
      <c r="O527" s="25"/>
      <c r="P527" s="25"/>
      <c r="Q527" s="25"/>
      <c r="R527" s="25"/>
      <c r="S527" s="25"/>
      <c r="T527" s="25"/>
      <c r="U527" s="25"/>
      <c r="V527" s="25"/>
      <c r="W527" s="25"/>
      <c r="X527" s="25"/>
      <c r="Y527" s="25"/>
      <c r="AC527" s="2025">
        <v>1</v>
      </c>
      <c r="AD527" s="2026"/>
      <c r="AE527" s="2026"/>
      <c r="AF527" s="2026"/>
      <c r="AG527" s="75" t="s">
        <v>426</v>
      </c>
      <c r="AH527" s="2027">
        <v>2021</v>
      </c>
      <c r="AI527" s="2027"/>
      <c r="AJ527" s="2027"/>
      <c r="AK527" s="202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34"/>
      <c r="C528" s="2035"/>
      <c r="D528" s="2035"/>
      <c r="E528" s="2035"/>
      <c r="F528" s="2035"/>
      <c r="G528" s="2035"/>
      <c r="H528" s="2036"/>
      <c r="I528" s="80" t="s">
        <v>440</v>
      </c>
      <c r="J528" s="80"/>
      <c r="K528" s="80"/>
      <c r="L528" s="80"/>
      <c r="M528" s="80"/>
      <c r="N528" s="80"/>
      <c r="O528" s="80"/>
      <c r="P528" s="80"/>
      <c r="Q528" s="80"/>
      <c r="R528" s="80"/>
      <c r="S528" s="80"/>
      <c r="T528" s="80"/>
      <c r="U528" s="80"/>
      <c r="V528" s="80"/>
      <c r="W528" s="80"/>
      <c r="X528" s="80"/>
      <c r="Y528" s="80"/>
      <c r="Z528" s="80"/>
      <c r="AA528" s="80"/>
      <c r="AB528" s="80"/>
      <c r="AC528" s="2025">
        <v>10</v>
      </c>
      <c r="AD528" s="2026"/>
      <c r="AE528" s="2026"/>
      <c r="AF528" s="2026"/>
      <c r="AG528" s="65" t="s">
        <v>426</v>
      </c>
      <c r="AH528" s="2027">
        <v>2021</v>
      </c>
      <c r="AI528" s="2027"/>
      <c r="AJ528" s="2027"/>
      <c r="AK528" s="202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31" t="s">
        <v>441</v>
      </c>
      <c r="C529" s="2032"/>
      <c r="D529" s="2032"/>
      <c r="E529" s="2032"/>
      <c r="F529" s="2032"/>
      <c r="G529" s="2032"/>
      <c r="H529" s="2033"/>
      <c r="I529" s="72" t="s">
        <v>438</v>
      </c>
      <c r="J529" s="72"/>
      <c r="K529" s="72"/>
      <c r="L529" s="72"/>
      <c r="M529" s="72"/>
      <c r="N529" s="72"/>
      <c r="O529" s="72"/>
      <c r="P529" s="72"/>
      <c r="Q529" s="72"/>
      <c r="R529" s="72"/>
      <c r="S529" s="72"/>
      <c r="T529" s="72"/>
      <c r="U529" s="72"/>
      <c r="V529" s="72"/>
      <c r="W529" s="72"/>
      <c r="X529" s="72"/>
      <c r="Y529" s="72"/>
      <c r="Z529" s="72"/>
      <c r="AA529" s="72"/>
      <c r="AB529" s="72"/>
      <c r="AC529" s="2111">
        <v>1</v>
      </c>
      <c r="AD529" s="2112"/>
      <c r="AE529" s="2112"/>
      <c r="AF529" s="2112"/>
      <c r="AG529" s="196" t="s">
        <v>426</v>
      </c>
      <c r="AH529" s="2027">
        <v>2021</v>
      </c>
      <c r="AI529" s="2027"/>
      <c r="AJ529" s="2027"/>
      <c r="AK529" s="202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34"/>
      <c r="C530" s="2035"/>
      <c r="D530" s="2035"/>
      <c r="E530" s="2035"/>
      <c r="F530" s="2035"/>
      <c r="G530" s="2035"/>
      <c r="H530" s="2036"/>
      <c r="I530" s="25" t="s">
        <v>439</v>
      </c>
      <c r="J530" s="25"/>
      <c r="K530" s="25"/>
      <c r="L530" s="25"/>
      <c r="M530" s="25"/>
      <c r="N530" s="25"/>
      <c r="O530" s="25"/>
      <c r="P530" s="25"/>
      <c r="Q530" s="25"/>
      <c r="R530" s="25"/>
      <c r="S530" s="25"/>
      <c r="T530" s="25"/>
      <c r="U530" s="25"/>
      <c r="V530" s="25"/>
      <c r="W530" s="25"/>
      <c r="X530" s="25"/>
      <c r="Y530" s="25"/>
      <c r="Z530" s="25"/>
      <c r="AA530" s="25"/>
      <c r="AB530" s="25"/>
      <c r="AC530" s="2025">
        <v>1</v>
      </c>
      <c r="AD530" s="2026"/>
      <c r="AE530" s="2026"/>
      <c r="AF530" s="2026"/>
      <c r="AG530" s="75" t="s">
        <v>426</v>
      </c>
      <c r="AH530" s="2027">
        <v>2021</v>
      </c>
      <c r="AI530" s="2027"/>
      <c r="AJ530" s="2027"/>
      <c r="AK530" s="202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57"/>
      <c r="C531" s="2158"/>
      <c r="D531" s="2158"/>
      <c r="E531" s="2158"/>
      <c r="F531" s="2158"/>
      <c r="G531" s="2158"/>
      <c r="H531" s="2159"/>
      <c r="I531" s="80" t="s">
        <v>440</v>
      </c>
      <c r="J531" s="80"/>
      <c r="K531" s="80"/>
      <c r="L531" s="80"/>
      <c r="M531" s="80"/>
      <c r="N531" s="80"/>
      <c r="O531" s="80"/>
      <c r="P531" s="80"/>
      <c r="Q531" s="80"/>
      <c r="R531" s="80"/>
      <c r="S531" s="80"/>
      <c r="T531" s="80"/>
      <c r="U531" s="80"/>
      <c r="V531" s="80"/>
      <c r="W531" s="80"/>
      <c r="X531" s="80"/>
      <c r="Y531" s="80"/>
      <c r="Z531" s="80"/>
      <c r="AA531" s="80"/>
      <c r="AB531" s="80"/>
      <c r="AC531" s="2025">
        <v>10</v>
      </c>
      <c r="AD531" s="2026"/>
      <c r="AE531" s="2026"/>
      <c r="AF531" s="2026"/>
      <c r="AG531" s="65" t="s">
        <v>426</v>
      </c>
      <c r="AH531" s="2027">
        <v>2021</v>
      </c>
      <c r="AI531" s="2027"/>
      <c r="AJ531" s="2027"/>
      <c r="AK531" s="202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31" t="s">
        <v>442</v>
      </c>
      <c r="C532" s="2032"/>
      <c r="D532" s="2032"/>
      <c r="E532" s="2032"/>
      <c r="F532" s="2032"/>
      <c r="G532" s="2032"/>
      <c r="H532" s="2033"/>
      <c r="I532" s="71" t="s">
        <v>443</v>
      </c>
      <c r="J532" s="72"/>
      <c r="K532" s="72"/>
      <c r="L532" s="72"/>
      <c r="M532" s="72"/>
      <c r="N532" s="72"/>
      <c r="O532" s="2056" t="s">
        <v>2512</v>
      </c>
      <c r="P532" s="2059"/>
      <c r="Q532" s="2059"/>
      <c r="R532" s="2059"/>
      <c r="S532" s="2059"/>
      <c r="T532" s="2059"/>
      <c r="U532" s="2059"/>
      <c r="V532" s="2059"/>
      <c r="W532" s="2059"/>
      <c r="X532" s="2059"/>
      <c r="Y532" s="2059"/>
      <c r="Z532" s="2059"/>
      <c r="AA532" s="2059"/>
      <c r="AB532" s="94"/>
      <c r="AC532" s="2111">
        <v>1</v>
      </c>
      <c r="AD532" s="2112"/>
      <c r="AE532" s="2112"/>
      <c r="AF532" s="2112"/>
      <c r="AG532" s="196" t="s">
        <v>426</v>
      </c>
      <c r="AH532" s="2027">
        <v>2021</v>
      </c>
      <c r="AI532" s="2027"/>
      <c r="AJ532" s="2027"/>
      <c r="AK532" s="202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34"/>
      <c r="C533" s="2035"/>
      <c r="D533" s="2035"/>
      <c r="E533" s="2035"/>
      <c r="F533" s="2035"/>
      <c r="G533" s="2035"/>
      <c r="H533" s="2036"/>
      <c r="I533" s="171" t="s">
        <v>444</v>
      </c>
      <c r="J533" s="25"/>
      <c r="K533" s="25"/>
      <c r="L533" s="25"/>
      <c r="M533" s="25"/>
      <c r="N533" s="25"/>
      <c r="O533" s="25"/>
      <c r="P533" s="25"/>
      <c r="Q533" s="25"/>
      <c r="R533" s="25"/>
      <c r="S533" s="25"/>
      <c r="T533" s="25"/>
      <c r="U533" s="25"/>
      <c r="V533" s="25"/>
      <c r="W533" s="25"/>
      <c r="X533" s="25"/>
      <c r="Y533" s="25"/>
      <c r="Z533" s="25"/>
      <c r="AA533" s="25"/>
      <c r="AB533" s="101"/>
      <c r="AC533" s="2025" t="s">
        <v>627</v>
      </c>
      <c r="AD533" s="2026"/>
      <c r="AE533" s="2026"/>
      <c r="AF533" s="2026"/>
      <c r="AG533" s="75" t="s">
        <v>426</v>
      </c>
      <c r="AH533" s="2027"/>
      <c r="AI533" s="2027"/>
      <c r="AJ533" s="2027"/>
      <c r="AK533" s="202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34"/>
      <c r="C534" s="2035"/>
      <c r="D534" s="2035"/>
      <c r="E534" s="2035"/>
      <c r="F534" s="2035"/>
      <c r="G534" s="2035"/>
      <c r="H534" s="2036"/>
      <c r="I534" s="79" t="s">
        <v>445</v>
      </c>
      <c r="J534" s="80"/>
      <c r="K534" s="80"/>
      <c r="L534" s="80"/>
      <c r="M534" s="80"/>
      <c r="N534" s="80"/>
      <c r="O534" s="80"/>
      <c r="P534" s="80"/>
      <c r="Q534" s="80"/>
      <c r="R534" s="80"/>
      <c r="S534" s="80"/>
      <c r="T534" s="80"/>
      <c r="U534" s="80"/>
      <c r="V534" s="80"/>
      <c r="W534" s="80"/>
      <c r="X534" s="80"/>
      <c r="Y534" s="80"/>
      <c r="Z534" s="80"/>
      <c r="AA534" s="80"/>
      <c r="AB534" s="81"/>
      <c r="AC534" s="2025">
        <v>1</v>
      </c>
      <c r="AD534" s="2026"/>
      <c r="AE534" s="2026"/>
      <c r="AF534" s="2026"/>
      <c r="AG534" s="65" t="s">
        <v>426</v>
      </c>
      <c r="AH534" s="2027">
        <v>2021</v>
      </c>
      <c r="AI534" s="2027"/>
      <c r="AJ534" s="2027"/>
      <c r="AK534" s="202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34"/>
      <c r="C535" s="2035"/>
      <c r="D535" s="2035"/>
      <c r="E535" s="2035"/>
      <c r="F535" s="2035"/>
      <c r="G535" s="2035"/>
      <c r="H535" s="2036"/>
      <c r="I535" s="72" t="s">
        <v>446</v>
      </c>
      <c r="J535" s="72"/>
      <c r="K535" s="72"/>
      <c r="L535" s="72"/>
      <c r="M535" s="72"/>
      <c r="N535" s="72"/>
      <c r="O535" s="2021" t="s">
        <v>345</v>
      </c>
      <c r="P535" s="2021"/>
      <c r="Q535" s="2021"/>
      <c r="R535" s="2021"/>
      <c r="S535" s="2021"/>
      <c r="T535" s="2021"/>
      <c r="U535" s="2021"/>
      <c r="V535" s="2021"/>
      <c r="W535" s="2021"/>
      <c r="X535" s="2021"/>
      <c r="Y535" s="2021"/>
      <c r="Z535" s="2021"/>
      <c r="AA535" s="2021"/>
      <c r="AC535" s="2025" t="s">
        <v>627</v>
      </c>
      <c r="AD535" s="2026"/>
      <c r="AE535" s="2026"/>
      <c r="AF535" s="2026"/>
      <c r="AG535" s="75" t="s">
        <v>426</v>
      </c>
      <c r="AH535" s="2027"/>
      <c r="AI535" s="2027"/>
      <c r="AJ535" s="2027"/>
      <c r="AK535" s="202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34"/>
      <c r="C536" s="2035"/>
      <c r="D536" s="2035"/>
      <c r="E536" s="2035"/>
      <c r="F536" s="2035"/>
      <c r="G536" s="2035"/>
      <c r="H536" s="2036"/>
      <c r="I536" s="25" t="s">
        <v>444</v>
      </c>
      <c r="J536" s="25"/>
      <c r="K536" s="25"/>
      <c r="L536" s="25"/>
      <c r="M536" s="25"/>
      <c r="N536" s="25"/>
      <c r="O536" s="25"/>
      <c r="P536" s="25"/>
      <c r="Q536" s="25"/>
      <c r="R536" s="25"/>
      <c r="S536" s="25"/>
      <c r="T536" s="25"/>
      <c r="U536" s="25"/>
      <c r="V536" s="25"/>
      <c r="W536" s="25"/>
      <c r="X536" s="25"/>
      <c r="Y536" s="25"/>
      <c r="AC536" s="2025" t="s">
        <v>627</v>
      </c>
      <c r="AD536" s="2026"/>
      <c r="AE536" s="2026"/>
      <c r="AF536" s="2026"/>
      <c r="AG536" s="75" t="s">
        <v>426</v>
      </c>
      <c r="AH536" s="2027"/>
      <c r="AI536" s="2027"/>
      <c r="AJ536" s="2027"/>
      <c r="AK536" s="202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34"/>
      <c r="C537" s="2035"/>
      <c r="D537" s="2035"/>
      <c r="E537" s="2035"/>
      <c r="F537" s="2035"/>
      <c r="G537" s="2035"/>
      <c r="H537" s="2036"/>
      <c r="I537" s="80" t="s">
        <v>445</v>
      </c>
      <c r="J537" s="80"/>
      <c r="K537" s="80"/>
      <c r="L537" s="80"/>
      <c r="M537" s="80"/>
      <c r="N537" s="80"/>
      <c r="O537" s="80"/>
      <c r="P537" s="80"/>
      <c r="Q537" s="80"/>
      <c r="R537" s="80"/>
      <c r="S537" s="80"/>
      <c r="T537" s="80"/>
      <c r="U537" s="80"/>
      <c r="V537" s="80"/>
      <c r="W537" s="80"/>
      <c r="X537" s="80"/>
      <c r="Y537" s="80"/>
      <c r="Z537" s="80"/>
      <c r="AA537" s="80"/>
      <c r="AB537" s="80"/>
      <c r="AC537" s="2025" t="s">
        <v>627</v>
      </c>
      <c r="AD537" s="2026"/>
      <c r="AE537" s="2026"/>
      <c r="AF537" s="2026"/>
      <c r="AG537" s="65" t="s">
        <v>426</v>
      </c>
      <c r="AH537" s="2027"/>
      <c r="AI537" s="2027"/>
      <c r="AJ537" s="2027"/>
      <c r="AK537" s="202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34"/>
      <c r="C538" s="2035"/>
      <c r="D538" s="2035"/>
      <c r="E538" s="2035"/>
      <c r="F538" s="2035"/>
      <c r="G538" s="2035"/>
      <c r="H538" s="2036"/>
      <c r="I538" s="72" t="s">
        <v>446</v>
      </c>
      <c r="J538" s="72"/>
      <c r="K538" s="72"/>
      <c r="L538" s="72"/>
      <c r="M538" s="72"/>
      <c r="N538" s="72"/>
      <c r="O538" s="2021" t="s">
        <v>345</v>
      </c>
      <c r="P538" s="2021"/>
      <c r="Q538" s="2021"/>
      <c r="R538" s="2021"/>
      <c r="S538" s="2021"/>
      <c r="T538" s="2021"/>
      <c r="U538" s="2021"/>
      <c r="V538" s="2021"/>
      <c r="W538" s="2021"/>
      <c r="X538" s="2021"/>
      <c r="Y538" s="2021"/>
      <c r="Z538" s="2021"/>
      <c r="AA538" s="2021"/>
      <c r="AC538" s="2025" t="s">
        <v>627</v>
      </c>
      <c r="AD538" s="2026"/>
      <c r="AE538" s="2026"/>
      <c r="AF538" s="2026"/>
      <c r="AG538" s="75" t="s">
        <v>426</v>
      </c>
      <c r="AH538" s="2027"/>
      <c r="AI538" s="2027"/>
      <c r="AJ538" s="2027"/>
      <c r="AK538" s="202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34"/>
      <c r="C539" s="2035"/>
      <c r="D539" s="2035"/>
      <c r="E539" s="2035"/>
      <c r="F539" s="2035"/>
      <c r="G539" s="2035"/>
      <c r="H539" s="2036"/>
      <c r="I539" s="25" t="s">
        <v>444</v>
      </c>
      <c r="J539" s="25"/>
      <c r="K539" s="25"/>
      <c r="L539" s="25"/>
      <c r="M539" s="25"/>
      <c r="N539" s="25"/>
      <c r="O539" s="25"/>
      <c r="P539" s="25"/>
      <c r="Q539" s="25"/>
      <c r="R539" s="25"/>
      <c r="S539" s="25"/>
      <c r="T539" s="25"/>
      <c r="U539" s="25"/>
      <c r="V539" s="25"/>
      <c r="W539" s="25"/>
      <c r="X539" s="25"/>
      <c r="Y539" s="25"/>
      <c r="AC539" s="2025" t="s">
        <v>627</v>
      </c>
      <c r="AD539" s="2026"/>
      <c r="AE539" s="2026"/>
      <c r="AF539" s="2026"/>
      <c r="AG539" s="75" t="s">
        <v>426</v>
      </c>
      <c r="AH539" s="2027"/>
      <c r="AI539" s="2027"/>
      <c r="AJ539" s="2027"/>
      <c r="AK539" s="202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34"/>
      <c r="C540" s="2035"/>
      <c r="D540" s="2035"/>
      <c r="E540" s="2035"/>
      <c r="F540" s="2035"/>
      <c r="G540" s="2035"/>
      <c r="H540" s="2036"/>
      <c r="I540" s="80" t="s">
        <v>445</v>
      </c>
      <c r="J540" s="80"/>
      <c r="K540" s="80"/>
      <c r="L540" s="80"/>
      <c r="M540" s="80"/>
      <c r="N540" s="80"/>
      <c r="O540" s="80"/>
      <c r="P540" s="80"/>
      <c r="Q540" s="80"/>
      <c r="R540" s="80"/>
      <c r="S540" s="80"/>
      <c r="T540" s="80"/>
      <c r="U540" s="80"/>
      <c r="V540" s="80"/>
      <c r="W540" s="80"/>
      <c r="X540" s="80"/>
      <c r="Y540" s="80"/>
      <c r="Z540" s="80"/>
      <c r="AA540" s="80"/>
      <c r="AB540" s="80"/>
      <c r="AC540" s="2025" t="s">
        <v>627</v>
      </c>
      <c r="AD540" s="2026"/>
      <c r="AE540" s="2026"/>
      <c r="AF540" s="2026"/>
      <c r="AG540" s="65" t="s">
        <v>426</v>
      </c>
      <c r="AH540" s="2027"/>
      <c r="AI540" s="2027"/>
      <c r="AJ540" s="2027"/>
      <c r="AK540" s="202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34"/>
      <c r="C541" s="2035"/>
      <c r="D541" s="2035"/>
      <c r="E541" s="2035"/>
      <c r="F541" s="2035"/>
      <c r="G541" s="2035"/>
      <c r="H541" s="2036"/>
      <c r="I541" s="72" t="s">
        <v>446</v>
      </c>
      <c r="J541" s="72"/>
      <c r="K541" s="72"/>
      <c r="L541" s="72"/>
      <c r="M541" s="72"/>
      <c r="N541" s="72"/>
      <c r="O541" s="2021" t="s">
        <v>345</v>
      </c>
      <c r="P541" s="2021"/>
      <c r="Q541" s="2021"/>
      <c r="R541" s="2021"/>
      <c r="S541" s="2021"/>
      <c r="T541" s="2021"/>
      <c r="U541" s="2021"/>
      <c r="V541" s="2021"/>
      <c r="W541" s="2021"/>
      <c r="X541" s="2021"/>
      <c r="Y541" s="2021"/>
      <c r="Z541" s="2021"/>
      <c r="AA541" s="2021"/>
      <c r="AC541" s="2025" t="s">
        <v>627</v>
      </c>
      <c r="AD541" s="2026"/>
      <c r="AE541" s="2026"/>
      <c r="AF541" s="2026"/>
      <c r="AG541" s="75" t="s">
        <v>426</v>
      </c>
      <c r="AH541" s="2027"/>
      <c r="AI541" s="2027"/>
      <c r="AJ541" s="2027"/>
      <c r="AK541" s="202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34"/>
      <c r="C542" s="2035"/>
      <c r="D542" s="2035"/>
      <c r="E542" s="2035"/>
      <c r="F542" s="2035"/>
      <c r="G542" s="2035"/>
      <c r="H542" s="2036"/>
      <c r="I542" s="25" t="s">
        <v>444</v>
      </c>
      <c r="J542" s="25"/>
      <c r="K542" s="25"/>
      <c r="L542" s="25"/>
      <c r="M542" s="25"/>
      <c r="N542" s="25"/>
      <c r="O542" s="25"/>
      <c r="P542" s="25"/>
      <c r="Q542" s="25"/>
      <c r="R542" s="25"/>
      <c r="S542" s="25"/>
      <c r="T542" s="25"/>
      <c r="U542" s="25"/>
      <c r="V542" s="25"/>
      <c r="W542" s="25"/>
      <c r="X542" s="25"/>
      <c r="Y542" s="25"/>
      <c r="AC542" s="2025" t="s">
        <v>627</v>
      </c>
      <c r="AD542" s="2026"/>
      <c r="AE542" s="2026"/>
      <c r="AF542" s="2026"/>
      <c r="AG542" s="75" t="s">
        <v>426</v>
      </c>
      <c r="AH542" s="2027"/>
      <c r="AI542" s="2027"/>
      <c r="AJ542" s="2027"/>
      <c r="AK542" s="202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34"/>
      <c r="C543" s="2035"/>
      <c r="D543" s="2035"/>
      <c r="E543" s="2035"/>
      <c r="F543" s="2035"/>
      <c r="G543" s="2035"/>
      <c r="H543" s="2036"/>
      <c r="I543" s="80" t="s">
        <v>445</v>
      </c>
      <c r="J543" s="80"/>
      <c r="K543" s="80"/>
      <c r="L543" s="80"/>
      <c r="M543" s="80"/>
      <c r="N543" s="80"/>
      <c r="O543" s="80"/>
      <c r="P543" s="80"/>
      <c r="Q543" s="80"/>
      <c r="R543" s="80"/>
      <c r="S543" s="80"/>
      <c r="T543" s="80"/>
      <c r="U543" s="80"/>
      <c r="V543" s="80"/>
      <c r="W543" s="80"/>
      <c r="X543" s="80"/>
      <c r="Y543" s="80"/>
      <c r="Z543" s="80"/>
      <c r="AA543" s="80"/>
      <c r="AB543" s="80"/>
      <c r="AC543" s="2025" t="s">
        <v>627</v>
      </c>
      <c r="AD543" s="2026"/>
      <c r="AE543" s="2026"/>
      <c r="AF543" s="2026"/>
      <c r="AG543" s="65" t="s">
        <v>426</v>
      </c>
      <c r="AH543" s="2027"/>
      <c r="AI543" s="2027"/>
      <c r="AJ543" s="2027"/>
      <c r="AK543" s="202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34"/>
      <c r="C544" s="2035"/>
      <c r="D544" s="2035"/>
      <c r="E544" s="2035"/>
      <c r="F544" s="2035"/>
      <c r="G544" s="2035"/>
      <c r="H544" s="2036"/>
      <c r="I544" s="72" t="s">
        <v>446</v>
      </c>
      <c r="J544" s="72"/>
      <c r="K544" s="72"/>
      <c r="L544" s="72"/>
      <c r="M544" s="72"/>
      <c r="N544" s="72"/>
      <c r="O544" s="2021" t="s">
        <v>345</v>
      </c>
      <c r="P544" s="2021"/>
      <c r="Q544" s="2021"/>
      <c r="R544" s="2021"/>
      <c r="S544" s="2021"/>
      <c r="T544" s="2021"/>
      <c r="U544" s="2021"/>
      <c r="V544" s="2021"/>
      <c r="W544" s="2021"/>
      <c r="X544" s="2021"/>
      <c r="Y544" s="2021"/>
      <c r="Z544" s="2021"/>
      <c r="AA544" s="2021"/>
      <c r="AC544" s="2025" t="s">
        <v>627</v>
      </c>
      <c r="AD544" s="2026"/>
      <c r="AE544" s="2026"/>
      <c r="AF544" s="2026"/>
      <c r="AG544" s="75" t="s">
        <v>426</v>
      </c>
      <c r="AH544" s="2027"/>
      <c r="AI544" s="2027"/>
      <c r="AJ544" s="2027"/>
      <c r="AK544" s="202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34"/>
      <c r="C545" s="2035"/>
      <c r="D545" s="2035"/>
      <c r="E545" s="2035"/>
      <c r="F545" s="2035"/>
      <c r="G545" s="2035"/>
      <c r="H545" s="2036"/>
      <c r="I545" s="25" t="s">
        <v>444</v>
      </c>
      <c r="J545" s="25"/>
      <c r="K545" s="25"/>
      <c r="L545" s="25"/>
      <c r="M545" s="25"/>
      <c r="N545" s="25"/>
      <c r="O545" s="25"/>
      <c r="P545" s="25"/>
      <c r="Q545" s="25"/>
      <c r="R545" s="25"/>
      <c r="S545" s="25"/>
      <c r="T545" s="25"/>
      <c r="U545" s="25"/>
      <c r="V545" s="25"/>
      <c r="W545" s="25"/>
      <c r="X545" s="25"/>
      <c r="Y545" s="25"/>
      <c r="AC545" s="2025" t="s">
        <v>627</v>
      </c>
      <c r="AD545" s="2026"/>
      <c r="AE545" s="2026"/>
      <c r="AF545" s="2026"/>
      <c r="AG545" s="65" t="s">
        <v>426</v>
      </c>
      <c r="AH545" s="2027"/>
      <c r="AI545" s="2027"/>
      <c r="AJ545" s="2027"/>
      <c r="AK545" s="202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34"/>
      <c r="C546" s="2035"/>
      <c r="D546" s="2035"/>
      <c r="E546" s="2035"/>
      <c r="F546" s="2035"/>
      <c r="G546" s="2035"/>
      <c r="H546" s="2036"/>
      <c r="I546" s="80" t="s">
        <v>445</v>
      </c>
      <c r="J546" s="80"/>
      <c r="K546" s="80"/>
      <c r="L546" s="80"/>
      <c r="M546" s="80"/>
      <c r="N546" s="80"/>
      <c r="O546" s="80"/>
      <c r="P546" s="80"/>
      <c r="Q546" s="80"/>
      <c r="R546" s="80"/>
      <c r="S546" s="80"/>
      <c r="T546" s="80"/>
      <c r="U546" s="80"/>
      <c r="V546" s="80"/>
      <c r="W546" s="80"/>
      <c r="X546" s="80"/>
      <c r="Y546" s="80"/>
      <c r="Z546" s="80"/>
      <c r="AA546" s="80"/>
      <c r="AB546" s="80"/>
      <c r="AC546" s="2025" t="s">
        <v>627</v>
      </c>
      <c r="AD546" s="2026"/>
      <c r="AE546" s="2026"/>
      <c r="AF546" s="2026"/>
      <c r="AG546" s="75" t="s">
        <v>426</v>
      </c>
      <c r="AH546" s="2027"/>
      <c r="AI546" s="2027"/>
      <c r="AJ546" s="2027"/>
      <c r="AK546" s="202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34"/>
      <c r="C547" s="2035"/>
      <c r="D547" s="2035"/>
      <c r="E547" s="2035"/>
      <c r="F547" s="2035"/>
      <c r="G547" s="2035"/>
      <c r="H547" s="2036"/>
      <c r="I547" s="72" t="s">
        <v>446</v>
      </c>
      <c r="J547" s="72"/>
      <c r="K547" s="72"/>
      <c r="L547" s="72"/>
      <c r="M547" s="72"/>
      <c r="N547" s="72"/>
      <c r="O547" s="2021" t="s">
        <v>345</v>
      </c>
      <c r="P547" s="2021"/>
      <c r="Q547" s="2021"/>
      <c r="R547" s="2021"/>
      <c r="S547" s="2021"/>
      <c r="T547" s="2021"/>
      <c r="U547" s="2021"/>
      <c r="V547" s="2021"/>
      <c r="W547" s="2021"/>
      <c r="X547" s="2021"/>
      <c r="Y547" s="2021"/>
      <c r="Z547" s="2021"/>
      <c r="AA547" s="2021"/>
      <c r="AC547" s="2025" t="s">
        <v>627</v>
      </c>
      <c r="AD547" s="2026"/>
      <c r="AE547" s="2026"/>
      <c r="AF547" s="2026"/>
      <c r="AG547" s="65" t="s">
        <v>426</v>
      </c>
      <c r="AH547" s="2027"/>
      <c r="AI547" s="2027"/>
      <c r="AJ547" s="2027"/>
      <c r="AK547" s="202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34"/>
      <c r="C548" s="2035"/>
      <c r="D548" s="2035"/>
      <c r="E548" s="2035"/>
      <c r="F548" s="2035"/>
      <c r="G548" s="2035"/>
      <c r="H548" s="2036"/>
      <c r="I548" s="25" t="s">
        <v>444</v>
      </c>
      <c r="J548" s="25"/>
      <c r="K548" s="25"/>
      <c r="L548" s="25"/>
      <c r="M548" s="25"/>
      <c r="N548" s="25"/>
      <c r="O548" s="25"/>
      <c r="P548" s="25"/>
      <c r="Q548" s="25"/>
      <c r="R548" s="25"/>
      <c r="S548" s="25"/>
      <c r="T548" s="25"/>
      <c r="U548" s="25"/>
      <c r="V548" s="25"/>
      <c r="W548" s="25"/>
      <c r="X548" s="25"/>
      <c r="Y548" s="25"/>
      <c r="AC548" s="2025" t="s">
        <v>627</v>
      </c>
      <c r="AD548" s="2026"/>
      <c r="AE548" s="2026"/>
      <c r="AF548" s="2026"/>
      <c r="AG548" s="75" t="s">
        <v>426</v>
      </c>
      <c r="AH548" s="2027"/>
      <c r="AI548" s="2027"/>
      <c r="AJ548" s="2027"/>
      <c r="AK548" s="202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34"/>
      <c r="C549" s="2035"/>
      <c r="D549" s="2035"/>
      <c r="E549" s="2035"/>
      <c r="F549" s="2035"/>
      <c r="G549" s="2035"/>
      <c r="H549" s="2036"/>
      <c r="I549" s="80" t="s">
        <v>445</v>
      </c>
      <c r="J549" s="80"/>
      <c r="K549" s="80"/>
      <c r="L549" s="80"/>
      <c r="M549" s="80"/>
      <c r="N549" s="80"/>
      <c r="O549" s="80"/>
      <c r="P549" s="80"/>
      <c r="Q549" s="80"/>
      <c r="R549" s="80"/>
      <c r="S549" s="80"/>
      <c r="T549" s="80"/>
      <c r="U549" s="80"/>
      <c r="V549" s="80"/>
      <c r="W549" s="80"/>
      <c r="X549" s="80"/>
      <c r="Y549" s="80"/>
      <c r="Z549" s="80"/>
      <c r="AA549" s="80"/>
      <c r="AB549" s="80"/>
      <c r="AC549" s="2025" t="s">
        <v>627</v>
      </c>
      <c r="AD549" s="2026"/>
      <c r="AE549" s="2026"/>
      <c r="AF549" s="2026"/>
      <c r="AG549" s="65" t="s">
        <v>426</v>
      </c>
      <c r="AH549" s="2027"/>
      <c r="AI549" s="2027"/>
      <c r="AJ549" s="2027"/>
      <c r="AK549" s="202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34"/>
      <c r="C550" s="2035"/>
      <c r="D550" s="2035"/>
      <c r="E550" s="2035"/>
      <c r="F550" s="2035"/>
      <c r="G550" s="2035"/>
      <c r="H550" s="2036"/>
      <c r="I550" s="72" t="s">
        <v>596</v>
      </c>
      <c r="J550" s="72"/>
      <c r="K550" s="72"/>
      <c r="L550" s="72"/>
      <c r="M550" s="72"/>
      <c r="N550" s="72"/>
      <c r="O550" s="72"/>
      <c r="P550" s="72"/>
      <c r="Q550" s="72"/>
      <c r="R550" s="72"/>
      <c r="S550" s="72"/>
      <c r="T550" s="72"/>
      <c r="U550" s="72"/>
      <c r="V550" s="72"/>
      <c r="W550" s="72"/>
      <c r="X550" s="25"/>
      <c r="Y550" s="25"/>
      <c r="AC550" s="2025">
        <v>12</v>
      </c>
      <c r="AD550" s="2026"/>
      <c r="AE550" s="2026"/>
      <c r="AF550" s="2026"/>
      <c r="AG550" s="65" t="s">
        <v>426</v>
      </c>
      <c r="AH550" s="2027">
        <v>2021</v>
      </c>
      <c r="AI550" s="2027"/>
      <c r="AJ550" s="2027"/>
      <c r="AK550" s="202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34"/>
      <c r="C551" s="2035"/>
      <c r="D551" s="2035"/>
      <c r="E551" s="2035"/>
      <c r="F551" s="2035"/>
      <c r="G551" s="2035"/>
      <c r="H551" s="2036"/>
      <c r="I551" s="25" t="s">
        <v>597</v>
      </c>
      <c r="J551" s="25"/>
      <c r="K551" s="25"/>
      <c r="L551" s="25"/>
      <c r="M551" s="25"/>
      <c r="N551" s="25"/>
      <c r="O551" s="25"/>
      <c r="P551" s="25"/>
      <c r="Q551" s="25"/>
      <c r="R551" s="25"/>
      <c r="S551" s="25"/>
      <c r="T551" s="25"/>
      <c r="U551" s="25"/>
      <c r="V551" s="25"/>
      <c r="W551" s="25"/>
      <c r="X551" s="25"/>
      <c r="Y551" s="25"/>
      <c r="AC551" s="2025">
        <v>10</v>
      </c>
      <c r="AD551" s="2026"/>
      <c r="AE551" s="2026"/>
      <c r="AF551" s="2026"/>
      <c r="AG551" s="75" t="s">
        <v>426</v>
      </c>
      <c r="AH551" s="2027">
        <v>2021</v>
      </c>
      <c r="AI551" s="2027"/>
      <c r="AJ551" s="2027"/>
      <c r="AK551" s="202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34"/>
      <c r="C552" s="2035"/>
      <c r="D552" s="2035"/>
      <c r="E552" s="2035"/>
      <c r="F552" s="2035"/>
      <c r="G552" s="2035"/>
      <c r="H552" s="2036"/>
      <c r="I552" s="25" t="s">
        <v>598</v>
      </c>
      <c r="J552" s="25"/>
      <c r="K552" s="25"/>
      <c r="L552" s="25"/>
      <c r="M552" s="25"/>
      <c r="N552" s="25"/>
      <c r="O552" s="25"/>
      <c r="P552" s="25"/>
      <c r="Q552" s="25"/>
      <c r="R552" s="25"/>
      <c r="S552" s="25"/>
      <c r="T552" s="25"/>
      <c r="U552" s="25"/>
      <c r="V552" s="25"/>
      <c r="W552" s="25"/>
      <c r="X552" s="25"/>
      <c r="Y552" s="25"/>
      <c r="AC552" s="2025">
        <v>6</v>
      </c>
      <c r="AD552" s="2026"/>
      <c r="AE552" s="2026"/>
      <c r="AF552" s="2026"/>
      <c r="AG552" s="65" t="s">
        <v>426</v>
      </c>
      <c r="AH552" s="2027">
        <v>2023</v>
      </c>
      <c r="AI552" s="2027"/>
      <c r="AJ552" s="2027"/>
      <c r="AK552" s="202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34"/>
      <c r="C553" s="2035"/>
      <c r="D553" s="2035"/>
      <c r="E553" s="2035"/>
      <c r="F553" s="2035"/>
      <c r="G553" s="2035"/>
      <c r="H553" s="2036"/>
      <c r="I553" s="25" t="s">
        <v>599</v>
      </c>
      <c r="J553" s="25"/>
      <c r="K553" s="25"/>
      <c r="L553" s="25"/>
      <c r="M553" s="25"/>
      <c r="N553" s="25"/>
      <c r="O553" s="25"/>
      <c r="P553" s="25"/>
      <c r="Q553" s="25"/>
      <c r="R553" s="25"/>
      <c r="S553" s="25"/>
      <c r="T553" s="25"/>
      <c r="U553" s="25"/>
      <c r="V553" s="25"/>
      <c r="W553" s="25"/>
      <c r="X553" s="25"/>
      <c r="Y553" s="25"/>
      <c r="AC553" s="2025">
        <v>6</v>
      </c>
      <c r="AD553" s="2026"/>
      <c r="AE553" s="2026"/>
      <c r="AF553" s="2026"/>
      <c r="AG553" s="65" t="s">
        <v>426</v>
      </c>
      <c r="AH553" s="2027">
        <v>2023</v>
      </c>
      <c r="AI553" s="2027"/>
      <c r="AJ553" s="2027"/>
      <c r="AK553" s="202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57"/>
      <c r="C554" s="2158"/>
      <c r="D554" s="2158"/>
      <c r="E554" s="2158"/>
      <c r="F554" s="2158"/>
      <c r="G554" s="2158"/>
      <c r="H554" s="2159"/>
      <c r="I554" s="80" t="s">
        <v>483</v>
      </c>
      <c r="J554" s="80"/>
      <c r="K554" s="80"/>
      <c r="L554" s="80"/>
      <c r="M554" s="80"/>
      <c r="N554" s="80"/>
      <c r="O554" s="80"/>
      <c r="P554" s="80"/>
      <c r="Q554" s="80"/>
      <c r="R554" s="80"/>
      <c r="S554" s="80"/>
      <c r="T554" s="80"/>
      <c r="U554" s="80"/>
      <c r="V554" s="80"/>
      <c r="W554" s="80"/>
      <c r="X554" s="80"/>
      <c r="Y554" s="80"/>
      <c r="Z554" s="80"/>
      <c r="AA554" s="80"/>
      <c r="AB554" s="80"/>
      <c r="AC554" s="2025">
        <v>12</v>
      </c>
      <c r="AD554" s="2026"/>
      <c r="AE554" s="2026"/>
      <c r="AF554" s="2026"/>
      <c r="AG554" s="65" t="s">
        <v>426</v>
      </c>
      <c r="AH554" s="2027">
        <v>2023</v>
      </c>
      <c r="AI554" s="2027"/>
      <c r="AJ554" s="2027"/>
      <c r="AK554" s="202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577</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1" t="s">
        <v>485</v>
      </c>
      <c r="C563" s="2151"/>
      <c r="D563" s="2151"/>
      <c r="E563" s="2151"/>
      <c r="F563" s="2151"/>
      <c r="G563" s="2151"/>
      <c r="H563" s="2151"/>
      <c r="I563" s="2151"/>
      <c r="J563" s="2151"/>
      <c r="K563" s="2151"/>
      <c r="L563" s="2151"/>
      <c r="M563" s="2151"/>
      <c r="N563" s="2151"/>
      <c r="O563" s="2151"/>
      <c r="P563" s="2152"/>
      <c r="Q563" s="2131" t="s">
        <v>2444</v>
      </c>
      <c r="R563" s="2132"/>
      <c r="S563" s="2133"/>
      <c r="T563" s="2131" t="s">
        <v>2442</v>
      </c>
      <c r="U563" s="2132"/>
      <c r="V563" s="2133"/>
      <c r="W563" s="2131" t="s">
        <v>486</v>
      </c>
      <c r="X563" s="2132"/>
      <c r="Y563" s="2133"/>
      <c r="Z563" s="2131" t="s">
        <v>2443</v>
      </c>
      <c r="AA563" s="2132"/>
      <c r="AB563" s="2132"/>
      <c r="AC563" s="2132"/>
      <c r="AD563" s="2132"/>
      <c r="AE563" s="2131" t="s">
        <v>2165</v>
      </c>
      <c r="AF563" s="2132"/>
      <c r="AG563" s="2132"/>
      <c r="AH563" s="2133"/>
      <c r="AI563" s="2131" t="s">
        <v>2166</v>
      </c>
      <c r="AJ563" s="2132"/>
      <c r="AK563" s="2132"/>
      <c r="AL563" s="2133"/>
      <c r="AM563" s="2131" t="s">
        <v>487</v>
      </c>
      <c r="AN563" s="2132"/>
      <c r="AO563" s="2132"/>
      <c r="AP563" s="2132"/>
      <c r="AQ563" s="2132"/>
      <c r="AR563" s="2132"/>
      <c r="AS563" s="213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6" t="s">
        <v>2589</v>
      </c>
      <c r="D564" s="2056"/>
      <c r="E564" s="2056"/>
      <c r="F564" s="2056"/>
      <c r="G564" s="2056"/>
      <c r="H564" s="2056"/>
      <c r="I564" s="2056"/>
      <c r="J564" s="2056"/>
      <c r="K564" s="2056"/>
      <c r="L564" s="2056"/>
      <c r="M564" s="2056"/>
      <c r="N564" s="2056"/>
      <c r="O564" s="2056"/>
      <c r="P564" s="2057"/>
      <c r="Q564" s="2129">
        <v>36</v>
      </c>
      <c r="R564" s="2129"/>
      <c r="S564" s="2130"/>
      <c r="T564" s="2128"/>
      <c r="U564" s="2129"/>
      <c r="V564" s="2130"/>
      <c r="W564" s="2053">
        <v>4.2999999999999997E-2</v>
      </c>
      <c r="X564" s="2054"/>
      <c r="Y564" s="2055"/>
      <c r="Z564" s="2016" t="s">
        <v>2533</v>
      </c>
      <c r="AA564" s="2016"/>
      <c r="AB564" s="2016"/>
      <c r="AC564" s="2016"/>
      <c r="AD564" s="2016"/>
      <c r="AE564" s="2041">
        <v>1</v>
      </c>
      <c r="AF564" s="2042"/>
      <c r="AG564" s="2042"/>
      <c r="AH564" s="2043"/>
      <c r="AI564" s="2113" t="s">
        <v>2532</v>
      </c>
      <c r="AJ564" s="2114"/>
      <c r="AK564" s="2114"/>
      <c r="AL564" s="2115"/>
      <c r="AM564" s="2018">
        <v>32850000</v>
      </c>
      <c r="AN564" s="2019"/>
      <c r="AO564" s="2019"/>
      <c r="AP564" s="2019"/>
      <c r="AQ564" s="2019"/>
      <c r="AR564" s="2019"/>
      <c r="AS564" s="2020"/>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6" t="s">
        <v>2590</v>
      </c>
      <c r="D565" s="2056"/>
      <c r="E565" s="2056"/>
      <c r="F565" s="2056"/>
      <c r="G565" s="2056"/>
      <c r="H565" s="2056"/>
      <c r="I565" s="2056"/>
      <c r="J565" s="2056"/>
      <c r="K565" s="2056"/>
      <c r="L565" s="2056"/>
      <c r="M565" s="2056"/>
      <c r="N565" s="2056"/>
      <c r="O565" s="2056"/>
      <c r="P565" s="2057"/>
      <c r="Q565" s="2128">
        <v>36</v>
      </c>
      <c r="R565" s="2129"/>
      <c r="S565" s="2130"/>
      <c r="T565" s="2128"/>
      <c r="U565" s="2129"/>
      <c r="V565" s="2130"/>
      <c r="W565" s="2053">
        <v>4.7500000000000001E-2</v>
      </c>
      <c r="X565" s="2054"/>
      <c r="Y565" s="2055"/>
      <c r="Z565" s="2016" t="s">
        <v>2533</v>
      </c>
      <c r="AA565" s="2016"/>
      <c r="AB565" s="2016"/>
      <c r="AC565" s="2016"/>
      <c r="AD565" s="2016"/>
      <c r="AE565" s="2041">
        <v>1</v>
      </c>
      <c r="AF565" s="2042"/>
      <c r="AG565" s="2042"/>
      <c r="AH565" s="2043"/>
      <c r="AI565" s="2113" t="s">
        <v>2532</v>
      </c>
      <c r="AJ565" s="2114"/>
      <c r="AK565" s="2114"/>
      <c r="AL565" s="2115"/>
      <c r="AM565" s="2018">
        <v>11790000</v>
      </c>
      <c r="AN565" s="2019"/>
      <c r="AO565" s="2019"/>
      <c r="AP565" s="2019"/>
      <c r="AQ565" s="2019"/>
      <c r="AR565" s="2019"/>
      <c r="AS565" s="202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6" t="s">
        <v>2591</v>
      </c>
      <c r="D566" s="2056"/>
      <c r="E566" s="2056"/>
      <c r="F566" s="2056"/>
      <c r="G566" s="2056"/>
      <c r="H566" s="2056"/>
      <c r="I566" s="2056"/>
      <c r="J566" s="2056"/>
      <c r="K566" s="2056"/>
      <c r="L566" s="2056"/>
      <c r="M566" s="2056"/>
      <c r="N566" s="2056"/>
      <c r="O566" s="2056"/>
      <c r="P566" s="2057"/>
      <c r="Q566" s="2128">
        <v>36</v>
      </c>
      <c r="R566" s="2129"/>
      <c r="S566" s="2130"/>
      <c r="T566" s="2128"/>
      <c r="U566" s="2129"/>
      <c r="V566" s="2130"/>
      <c r="W566" s="2053">
        <v>4.2999999999999997E-2</v>
      </c>
      <c r="X566" s="2054"/>
      <c r="Y566" s="2055"/>
      <c r="Z566" s="2016" t="s">
        <v>2533</v>
      </c>
      <c r="AA566" s="2016"/>
      <c r="AB566" s="2016"/>
      <c r="AC566" s="2016"/>
      <c r="AD566" s="2016"/>
      <c r="AE566" s="2041">
        <v>1</v>
      </c>
      <c r="AF566" s="2042"/>
      <c r="AG566" s="2042"/>
      <c r="AH566" s="2043"/>
      <c r="AI566" s="2113" t="s">
        <v>2532</v>
      </c>
      <c r="AJ566" s="2114"/>
      <c r="AK566" s="2114"/>
      <c r="AL566" s="2115"/>
      <c r="AM566" s="2018">
        <v>1000000</v>
      </c>
      <c r="AN566" s="2019"/>
      <c r="AO566" s="2019"/>
      <c r="AP566" s="2019"/>
      <c r="AQ566" s="2019"/>
      <c r="AR566" s="2019"/>
      <c r="AS566" s="202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2056" t="s">
        <v>2592</v>
      </c>
      <c r="D567" s="2056"/>
      <c r="E567" s="2056"/>
      <c r="F567" s="2056"/>
      <c r="G567" s="2056"/>
      <c r="H567" s="2056"/>
      <c r="I567" s="2056"/>
      <c r="J567" s="2056"/>
      <c r="K567" s="2056"/>
      <c r="L567" s="2056"/>
      <c r="M567" s="2056"/>
      <c r="N567" s="2056"/>
      <c r="O567" s="2056"/>
      <c r="P567" s="2057"/>
      <c r="Q567" s="2128">
        <v>660</v>
      </c>
      <c r="R567" s="2129"/>
      <c r="S567" s="2130"/>
      <c r="T567" s="2128"/>
      <c r="U567" s="2129"/>
      <c r="V567" s="2130"/>
      <c r="W567" s="2053">
        <v>0.03</v>
      </c>
      <c r="X567" s="2054"/>
      <c r="Y567" s="2055"/>
      <c r="Z567" s="2016" t="s">
        <v>2534</v>
      </c>
      <c r="AA567" s="2016"/>
      <c r="AB567" s="2016"/>
      <c r="AC567" s="2016"/>
      <c r="AD567" s="2016"/>
      <c r="AE567" s="2041">
        <v>2</v>
      </c>
      <c r="AF567" s="2042"/>
      <c r="AG567" s="2042"/>
      <c r="AH567" s="2043"/>
      <c r="AI567" s="2113" t="s">
        <v>707</v>
      </c>
      <c r="AJ567" s="2114"/>
      <c r="AK567" s="2114"/>
      <c r="AL567" s="2115"/>
      <c r="AM567" s="2018">
        <v>4428000</v>
      </c>
      <c r="AN567" s="2019"/>
      <c r="AO567" s="2019"/>
      <c r="AP567" s="2019"/>
      <c r="AQ567" s="2019"/>
      <c r="AR567" s="2019"/>
      <c r="AS567" s="202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2056" t="s">
        <v>2547</v>
      </c>
      <c r="D568" s="2056"/>
      <c r="E568" s="2056"/>
      <c r="F568" s="2056"/>
      <c r="G568" s="2056"/>
      <c r="H568" s="2056"/>
      <c r="I568" s="2056"/>
      <c r="J568" s="2056"/>
      <c r="K568" s="2056"/>
      <c r="L568" s="2056"/>
      <c r="M568" s="2056"/>
      <c r="N568" s="2056"/>
      <c r="O568" s="2056"/>
      <c r="P568" s="2057"/>
      <c r="Q568" s="2128"/>
      <c r="R568" s="2129"/>
      <c r="S568" s="2130"/>
      <c r="T568" s="2128"/>
      <c r="U568" s="2129"/>
      <c r="V568" s="2130"/>
      <c r="W568" s="2053"/>
      <c r="X568" s="2054"/>
      <c r="Y568" s="2055"/>
      <c r="Z568" s="2016" t="s">
        <v>627</v>
      </c>
      <c r="AA568" s="2016"/>
      <c r="AB568" s="2016"/>
      <c r="AC568" s="2016"/>
      <c r="AD568" s="2016"/>
      <c r="AE568" s="2041"/>
      <c r="AF568" s="2042"/>
      <c r="AG568" s="2042"/>
      <c r="AH568" s="2043"/>
      <c r="AI568" s="2113" t="s">
        <v>707</v>
      </c>
      <c r="AJ568" s="2114"/>
      <c r="AK568" s="2114"/>
      <c r="AL568" s="2115"/>
      <c r="AM568" s="2018">
        <v>5171891</v>
      </c>
      <c r="AN568" s="2019"/>
      <c r="AO568" s="2019"/>
      <c r="AP568" s="2019"/>
      <c r="AQ568" s="2019"/>
      <c r="AR568" s="2019"/>
      <c r="AS568" s="202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2056" t="s">
        <v>2514</v>
      </c>
      <c r="D569" s="2056"/>
      <c r="E569" s="2056"/>
      <c r="F569" s="2056"/>
      <c r="G569" s="2056"/>
      <c r="H569" s="2056"/>
      <c r="I569" s="2056"/>
      <c r="J569" s="2056"/>
      <c r="K569" s="2056"/>
      <c r="L569" s="2056"/>
      <c r="M569" s="2056"/>
      <c r="N569" s="2056"/>
      <c r="O569" s="2056"/>
      <c r="P569" s="2057"/>
      <c r="Q569" s="2128"/>
      <c r="R569" s="2129"/>
      <c r="S569" s="2130"/>
      <c r="T569" s="2128"/>
      <c r="U569" s="2129"/>
      <c r="V569" s="2130"/>
      <c r="W569" s="2053"/>
      <c r="X569" s="2054"/>
      <c r="Y569" s="2055"/>
      <c r="Z569" s="2016" t="s">
        <v>627</v>
      </c>
      <c r="AA569" s="2016"/>
      <c r="AB569" s="2016"/>
      <c r="AC569" s="2016"/>
      <c r="AD569" s="2016"/>
      <c r="AE569" s="2041"/>
      <c r="AF569" s="2042"/>
      <c r="AG569" s="2042"/>
      <c r="AH569" s="2043"/>
      <c r="AI569" s="2113" t="s">
        <v>707</v>
      </c>
      <c r="AJ569" s="2114"/>
      <c r="AK569" s="2114"/>
      <c r="AL569" s="2115"/>
      <c r="AM569" s="2018">
        <v>7441750</v>
      </c>
      <c r="AN569" s="2019"/>
      <c r="AO569" s="2019"/>
      <c r="AP569" s="2019"/>
      <c r="AQ569" s="2019"/>
      <c r="AR569" s="2019"/>
      <c r="AS569" s="202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2056"/>
      <c r="D570" s="2056"/>
      <c r="E570" s="2056"/>
      <c r="F570" s="2056"/>
      <c r="G570" s="2056"/>
      <c r="H570" s="2056"/>
      <c r="I570" s="2056"/>
      <c r="J570" s="2056"/>
      <c r="K570" s="2056"/>
      <c r="L570" s="2056"/>
      <c r="M570" s="2056"/>
      <c r="N570" s="2056"/>
      <c r="O570" s="2056"/>
      <c r="P570" s="2057"/>
      <c r="Q570" s="2128"/>
      <c r="R570" s="2129"/>
      <c r="S570" s="2130"/>
      <c r="T570" s="2128"/>
      <c r="U570" s="2129"/>
      <c r="V570" s="2130"/>
      <c r="W570" s="2053"/>
      <c r="X570" s="2054"/>
      <c r="Y570" s="2055"/>
      <c r="Z570" s="2016" t="s">
        <v>1387</v>
      </c>
      <c r="AA570" s="2016"/>
      <c r="AB570" s="2016"/>
      <c r="AC570" s="2016"/>
      <c r="AD570" s="2016"/>
      <c r="AE570" s="2041"/>
      <c r="AF570" s="2042"/>
      <c r="AG570" s="2042"/>
      <c r="AH570" s="2043"/>
      <c r="AI570" s="2113"/>
      <c r="AJ570" s="2114"/>
      <c r="AK570" s="2114"/>
      <c r="AL570" s="2115"/>
      <c r="AM570" s="2018"/>
      <c r="AN570" s="2019"/>
      <c r="AO570" s="2019"/>
      <c r="AP570" s="2019"/>
      <c r="AQ570" s="2019"/>
      <c r="AR570" s="2019"/>
      <c r="AS570" s="202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2056"/>
      <c r="D571" s="2056"/>
      <c r="E571" s="2056"/>
      <c r="F571" s="2056"/>
      <c r="G571" s="2056"/>
      <c r="H571" s="2056"/>
      <c r="I571" s="2056"/>
      <c r="J571" s="2056"/>
      <c r="K571" s="2056"/>
      <c r="L571" s="2056"/>
      <c r="M571" s="2056"/>
      <c r="N571" s="2056"/>
      <c r="O571" s="2056"/>
      <c r="P571" s="2057"/>
      <c r="Q571" s="2128"/>
      <c r="R571" s="2129"/>
      <c r="S571" s="2130"/>
      <c r="T571" s="2128"/>
      <c r="U571" s="2129"/>
      <c r="V571" s="2130"/>
      <c r="W571" s="2053"/>
      <c r="X571" s="2054"/>
      <c r="Y571" s="2055"/>
      <c r="Z571" s="2016" t="s">
        <v>1387</v>
      </c>
      <c r="AA571" s="2016"/>
      <c r="AB571" s="2016"/>
      <c r="AC571" s="2016"/>
      <c r="AD571" s="2016"/>
      <c r="AE571" s="2041"/>
      <c r="AF571" s="2042"/>
      <c r="AG571" s="2042"/>
      <c r="AH571" s="2043"/>
      <c r="AI571" s="2113"/>
      <c r="AJ571" s="2114"/>
      <c r="AK571" s="2114"/>
      <c r="AL571" s="2115"/>
      <c r="AM571" s="2018"/>
      <c r="AN571" s="2019"/>
      <c r="AO571" s="2019"/>
      <c r="AP571" s="2019"/>
      <c r="AQ571" s="2019"/>
      <c r="AR571" s="2019"/>
      <c r="AS571" s="202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2056"/>
      <c r="D572" s="2056"/>
      <c r="E572" s="2056"/>
      <c r="F572" s="2056"/>
      <c r="G572" s="2056"/>
      <c r="H572" s="2056"/>
      <c r="I572" s="2056"/>
      <c r="J572" s="2056"/>
      <c r="K572" s="2056"/>
      <c r="L572" s="2056"/>
      <c r="M572" s="2056"/>
      <c r="N572" s="2056"/>
      <c r="O572" s="2056"/>
      <c r="P572" s="2057"/>
      <c r="Q572" s="2128"/>
      <c r="R572" s="2129"/>
      <c r="S572" s="2130"/>
      <c r="T572" s="2128"/>
      <c r="U572" s="2129"/>
      <c r="V572" s="2130"/>
      <c r="W572" s="2053"/>
      <c r="X572" s="2054"/>
      <c r="Y572" s="2055"/>
      <c r="Z572" s="2016" t="s">
        <v>1387</v>
      </c>
      <c r="AA572" s="2016"/>
      <c r="AB572" s="2016"/>
      <c r="AC572" s="2016"/>
      <c r="AD572" s="2016"/>
      <c r="AE572" s="2041"/>
      <c r="AF572" s="2042"/>
      <c r="AG572" s="2042"/>
      <c r="AH572" s="2043"/>
      <c r="AI572" s="2113"/>
      <c r="AJ572" s="2114"/>
      <c r="AK572" s="2114"/>
      <c r="AL572" s="2115"/>
      <c r="AM572" s="2018"/>
      <c r="AN572" s="2019"/>
      <c r="AO572" s="2019"/>
      <c r="AP572" s="2019"/>
      <c r="AQ572" s="2019"/>
      <c r="AR572" s="2019"/>
      <c r="AS572" s="202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56"/>
      <c r="D573" s="2056"/>
      <c r="E573" s="2056"/>
      <c r="F573" s="2056"/>
      <c r="G573" s="2056"/>
      <c r="H573" s="2056"/>
      <c r="I573" s="2056"/>
      <c r="J573" s="2056"/>
      <c r="K573" s="2056"/>
      <c r="L573" s="2056"/>
      <c r="M573" s="2056"/>
      <c r="N573" s="2056"/>
      <c r="O573" s="2056"/>
      <c r="P573" s="2057"/>
      <c r="Q573" s="2128"/>
      <c r="R573" s="2129"/>
      <c r="S573" s="2130"/>
      <c r="T573" s="2128"/>
      <c r="U573" s="2129"/>
      <c r="V573" s="2130"/>
      <c r="W573" s="2053"/>
      <c r="X573" s="2054"/>
      <c r="Y573" s="2055"/>
      <c r="Z573" s="2016" t="s">
        <v>1387</v>
      </c>
      <c r="AA573" s="2016"/>
      <c r="AB573" s="2016"/>
      <c r="AC573" s="2016"/>
      <c r="AD573" s="2016"/>
      <c r="AE573" s="2041"/>
      <c r="AF573" s="2042"/>
      <c r="AG573" s="2042"/>
      <c r="AH573" s="2043"/>
      <c r="AI573" s="2113"/>
      <c r="AJ573" s="2114"/>
      <c r="AK573" s="2114"/>
      <c r="AL573" s="2115"/>
      <c r="AM573" s="2018"/>
      <c r="AN573" s="2019"/>
      <c r="AO573" s="2019"/>
      <c r="AP573" s="2019"/>
      <c r="AQ573" s="2019"/>
      <c r="AR573" s="2019"/>
      <c r="AS573" s="202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56"/>
      <c r="D574" s="2056"/>
      <c r="E574" s="2056"/>
      <c r="F574" s="2056"/>
      <c r="G574" s="2056"/>
      <c r="H574" s="2056"/>
      <c r="I574" s="2056"/>
      <c r="J574" s="2056"/>
      <c r="K574" s="2056"/>
      <c r="L574" s="2056"/>
      <c r="M574" s="2056"/>
      <c r="N574" s="2056"/>
      <c r="O574" s="2056"/>
      <c r="P574" s="2057"/>
      <c r="Q574" s="2128"/>
      <c r="R574" s="2129"/>
      <c r="S574" s="2130"/>
      <c r="T574" s="2128"/>
      <c r="U574" s="2129"/>
      <c r="V574" s="2130"/>
      <c r="W574" s="2053"/>
      <c r="X574" s="2054"/>
      <c r="Y574" s="2055"/>
      <c r="Z574" s="2016" t="s">
        <v>1387</v>
      </c>
      <c r="AA574" s="2016"/>
      <c r="AB574" s="2016"/>
      <c r="AC574" s="2016"/>
      <c r="AD574" s="2016"/>
      <c r="AE574" s="2041"/>
      <c r="AF574" s="2042"/>
      <c r="AG574" s="2042"/>
      <c r="AH574" s="2043"/>
      <c r="AI574" s="2113"/>
      <c r="AJ574" s="2114"/>
      <c r="AK574" s="2114"/>
      <c r="AL574" s="2115"/>
      <c r="AM574" s="2018"/>
      <c r="AN574" s="2019"/>
      <c r="AO574" s="2019"/>
      <c r="AP574" s="2019"/>
      <c r="AQ574" s="2019"/>
      <c r="AR574" s="2019"/>
      <c r="AS574" s="202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56"/>
      <c r="D575" s="2056"/>
      <c r="E575" s="2056"/>
      <c r="F575" s="2056"/>
      <c r="G575" s="2056"/>
      <c r="H575" s="2056"/>
      <c r="I575" s="2056"/>
      <c r="J575" s="2056"/>
      <c r="K575" s="2056"/>
      <c r="L575" s="2056"/>
      <c r="M575" s="2056"/>
      <c r="N575" s="2056"/>
      <c r="O575" s="2056"/>
      <c r="P575" s="2057"/>
      <c r="Q575" s="2128"/>
      <c r="R575" s="2129"/>
      <c r="S575" s="2130"/>
      <c r="T575" s="2128"/>
      <c r="U575" s="2129"/>
      <c r="V575" s="2130"/>
      <c r="W575" s="2053"/>
      <c r="X575" s="2054"/>
      <c r="Y575" s="2055"/>
      <c r="Z575" s="2016" t="s">
        <v>1387</v>
      </c>
      <c r="AA575" s="2016"/>
      <c r="AB575" s="2016"/>
      <c r="AC575" s="2016"/>
      <c r="AD575" s="2016"/>
      <c r="AE575" s="2041"/>
      <c r="AF575" s="2042"/>
      <c r="AG575" s="2042"/>
      <c r="AH575" s="2043"/>
      <c r="AI575" s="2113"/>
      <c r="AJ575" s="2114"/>
      <c r="AK575" s="2114"/>
      <c r="AL575" s="2115"/>
      <c r="AM575" s="2018"/>
      <c r="AN575" s="2019"/>
      <c r="AO575" s="2019"/>
      <c r="AP575" s="2019"/>
      <c r="AQ575" s="2019"/>
      <c r="AR575" s="2019"/>
      <c r="AS575" s="202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53" t="s">
        <v>132</v>
      </c>
      <c r="C576" s="2154"/>
      <c r="D576" s="2154"/>
      <c r="E576" s="2154"/>
      <c r="F576" s="2154"/>
      <c r="G576" s="2154"/>
      <c r="H576" s="2154"/>
      <c r="I576" s="2154"/>
      <c r="J576" s="2154"/>
      <c r="K576" s="2154"/>
      <c r="L576" s="2154"/>
      <c r="M576" s="2154"/>
      <c r="N576" s="2154"/>
      <c r="O576" s="2154"/>
      <c r="P576" s="2154"/>
      <c r="Q576" s="2154"/>
      <c r="R576" s="2154"/>
      <c r="S576" s="2154"/>
      <c r="T576" s="2154"/>
      <c r="U576" s="2155"/>
      <c r="V576" s="2154"/>
      <c r="W576" s="2154"/>
      <c r="X576" s="2154"/>
      <c r="Y576" s="2154"/>
      <c r="Z576" s="2154"/>
      <c r="AA576" s="2154"/>
      <c r="AB576" s="2154"/>
      <c r="AC576" s="2154"/>
      <c r="AD576" s="2154"/>
      <c r="AE576" s="2154"/>
      <c r="AF576" s="2154"/>
      <c r="AG576" s="2154"/>
      <c r="AH576" s="2154"/>
      <c r="AI576" s="2154"/>
      <c r="AJ576" s="2154"/>
      <c r="AK576" s="2154"/>
      <c r="AL576" s="2156"/>
      <c r="AM576" s="2060">
        <f>SUM(AM564:AS575)</f>
        <v>62681641</v>
      </c>
      <c r="AN576" s="2061"/>
      <c r="AO576" s="2061"/>
      <c r="AP576" s="2061"/>
      <c r="AQ576" s="2061"/>
      <c r="AR576" s="2061"/>
      <c r="AS576" s="206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030" t="str">
        <f>C564</f>
        <v>Citibank, N.A. -  Tax Exempt Bonds</v>
      </c>
      <c r="H578" s="2030"/>
      <c r="I578" s="2030"/>
      <c r="J578" s="2030"/>
      <c r="K578" s="2030"/>
      <c r="L578" s="2030"/>
      <c r="M578" s="2030"/>
      <c r="N578" s="2030"/>
      <c r="O578" s="2030"/>
      <c r="P578" s="2030"/>
      <c r="Q578" s="2030"/>
      <c r="R578" s="2030"/>
      <c r="S578" s="14"/>
      <c r="T578" s="87" t="s">
        <v>118</v>
      </c>
      <c r="U578" s="12" t="s">
        <v>497</v>
      </c>
      <c r="Z578" s="2030" t="str">
        <f>C565</f>
        <v>Citibank, N.A. -  Taxable Loan</v>
      </c>
      <c r="AA578" s="2030"/>
      <c r="AB578" s="2030"/>
      <c r="AC578" s="2030"/>
      <c r="AD578" s="2030"/>
      <c r="AE578" s="2030"/>
      <c r="AF578" s="2030"/>
      <c r="AG578" s="2030"/>
      <c r="AH578" s="2030"/>
      <c r="AI578" s="2030"/>
      <c r="AJ578" s="2030"/>
      <c r="AK578" s="203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21" t="s">
        <v>2561</v>
      </c>
      <c r="H579" s="2021"/>
      <c r="I579" s="2021"/>
      <c r="J579" s="2021"/>
      <c r="K579" s="2021"/>
      <c r="L579" s="2021"/>
      <c r="M579" s="2021"/>
      <c r="N579" s="2021"/>
      <c r="O579" s="2021"/>
      <c r="P579" s="2021"/>
      <c r="Q579" s="2021"/>
      <c r="R579" s="2021"/>
      <c r="S579" s="14"/>
      <c r="T579" s="35"/>
      <c r="U579" s="12" t="s">
        <v>90</v>
      </c>
      <c r="Z579" s="2021" t="s">
        <v>2561</v>
      </c>
      <c r="AA579" s="2021"/>
      <c r="AB579" s="2021"/>
      <c r="AC579" s="2021"/>
      <c r="AD579" s="2021"/>
      <c r="AE579" s="2021"/>
      <c r="AF579" s="2021"/>
      <c r="AG579" s="2021"/>
      <c r="AH579" s="2021"/>
      <c r="AI579" s="2021"/>
      <c r="AJ579" s="2021"/>
      <c r="AK579" s="202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2021" t="s">
        <v>2562</v>
      </c>
      <c r="H580" s="2021"/>
      <c r="I580" s="2021"/>
      <c r="J580" s="2021"/>
      <c r="K580" s="2021"/>
      <c r="L580" s="2021"/>
      <c r="M580" s="2021"/>
      <c r="N580" s="2021"/>
      <c r="O580" s="2021"/>
      <c r="P580" s="2021"/>
      <c r="Q580" s="2021"/>
      <c r="R580" s="2021"/>
      <c r="S580" s="88"/>
      <c r="T580" s="35"/>
      <c r="U580" s="12" t="s">
        <v>616</v>
      </c>
      <c r="Z580" s="2021" t="s">
        <v>2562</v>
      </c>
      <c r="AA580" s="2021"/>
      <c r="AB580" s="2021"/>
      <c r="AC580" s="2021"/>
      <c r="AD580" s="2021"/>
      <c r="AE580" s="2021"/>
      <c r="AF580" s="2021"/>
      <c r="AG580" s="2021"/>
      <c r="AH580" s="2021"/>
      <c r="AI580" s="2021"/>
      <c r="AJ580" s="2021"/>
      <c r="AK580" s="2021"/>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2508</v>
      </c>
      <c r="H581" s="2021"/>
      <c r="I581" s="2021"/>
      <c r="J581" s="2021"/>
      <c r="K581" s="2021"/>
      <c r="L581" s="2021"/>
      <c r="M581" s="2021"/>
      <c r="N581" s="2021"/>
      <c r="O581" s="2021"/>
      <c r="P581" s="2021"/>
      <c r="Q581" s="2021"/>
      <c r="R581" s="2021"/>
      <c r="S581" s="14"/>
      <c r="T581" s="35"/>
      <c r="U581" s="12" t="s">
        <v>17</v>
      </c>
      <c r="Z581" s="2029" t="s">
        <v>2508</v>
      </c>
      <c r="AA581" s="2021"/>
      <c r="AB581" s="2021"/>
      <c r="AC581" s="2021"/>
      <c r="AD581" s="2021"/>
      <c r="AE581" s="2021"/>
      <c r="AF581" s="2021"/>
      <c r="AG581" s="2021"/>
      <c r="AH581" s="2021"/>
      <c r="AI581" s="2021"/>
      <c r="AJ581" s="2021"/>
      <c r="AK581" s="202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95" t="s">
        <v>2563</v>
      </c>
      <c r="H582" s="2095"/>
      <c r="I582" s="2095"/>
      <c r="J582" s="2095"/>
      <c r="K582" s="2095"/>
      <c r="L582" s="2095"/>
      <c r="O582" s="137" t="s">
        <v>212</v>
      </c>
      <c r="P582" s="2134"/>
      <c r="Q582" s="2134"/>
      <c r="R582" s="2134"/>
      <c r="S582" s="16"/>
      <c r="T582" s="35"/>
      <c r="U582" s="12" t="s">
        <v>327</v>
      </c>
      <c r="Z582" s="2095" t="s">
        <v>2563</v>
      </c>
      <c r="AA582" s="2095"/>
      <c r="AB582" s="2095"/>
      <c r="AC582" s="2095"/>
      <c r="AD582" s="2095"/>
      <c r="AE582" s="2095"/>
      <c r="AH582" s="137" t="s">
        <v>212</v>
      </c>
      <c r="AI582" s="2134"/>
      <c r="AJ582" s="2134"/>
      <c r="AK582" s="21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1" t="s">
        <v>2564</v>
      </c>
      <c r="I583" s="2021"/>
      <c r="J583" s="2021"/>
      <c r="K583" s="2021"/>
      <c r="L583" s="2021"/>
      <c r="M583" s="2021"/>
      <c r="N583" s="2021"/>
      <c r="O583" s="2021"/>
      <c r="P583" s="2021"/>
      <c r="Q583" s="2021"/>
      <c r="R583" s="2021"/>
      <c r="S583" s="14"/>
      <c r="T583" s="35"/>
      <c r="U583" s="12" t="s">
        <v>18</v>
      </c>
      <c r="AA583" s="2021" t="s">
        <v>2565</v>
      </c>
      <c r="AB583" s="2021"/>
      <c r="AC583" s="2021"/>
      <c r="AD583" s="2021"/>
      <c r="AE583" s="2021"/>
      <c r="AF583" s="2021"/>
      <c r="AG583" s="2021"/>
      <c r="AH583" s="2021"/>
      <c r="AI583" s="2021"/>
      <c r="AJ583" s="2021"/>
      <c r="AK583" s="202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78"/>
      <c r="N584" s="2178"/>
      <c r="O584" s="2178"/>
      <c r="P584" s="2178"/>
      <c r="Q584" s="2178"/>
      <c r="R584" s="2178"/>
      <c r="S584" s="14"/>
      <c r="T584" s="35"/>
      <c r="U584" s="510" t="s">
        <v>1388</v>
      </c>
      <c r="V584" s="720"/>
      <c r="W584" s="720"/>
      <c r="X584" s="720"/>
      <c r="Y584" s="720"/>
      <c r="Z584" s="720"/>
      <c r="AA584" s="14"/>
      <c r="AB584" s="14"/>
      <c r="AC584" s="14"/>
      <c r="AD584" s="14"/>
      <c r="AE584" s="14"/>
      <c r="AF584" s="2178"/>
      <c r="AG584" s="2178"/>
      <c r="AH584" s="2178"/>
      <c r="AI584" s="2178"/>
      <c r="AJ584" s="2178"/>
      <c r="AK584" s="217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2" t="s">
        <v>579</v>
      </c>
      <c r="O585" s="2022"/>
      <c r="T585" s="35"/>
      <c r="U585" s="12" t="s">
        <v>20</v>
      </c>
      <c r="AG585" s="2022" t="s">
        <v>579</v>
      </c>
      <c r="AH585" s="202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30" t="str">
        <f>C566</f>
        <v>Citibank, N.A. -  Tax Exempt Recycled Bonds</v>
      </c>
      <c r="H587" s="2030"/>
      <c r="I587" s="2030"/>
      <c r="J587" s="2030"/>
      <c r="K587" s="2030"/>
      <c r="L587" s="2030"/>
      <c r="M587" s="2030"/>
      <c r="N587" s="2030"/>
      <c r="O587" s="2030"/>
      <c r="P587" s="2030"/>
      <c r="Q587" s="2030"/>
      <c r="R587" s="2030"/>
      <c r="T587" s="87" t="s">
        <v>617</v>
      </c>
      <c r="U587" s="12" t="s">
        <v>497</v>
      </c>
      <c r="Z587" s="2030" t="str">
        <f>C567</f>
        <v>Sonoma County Community Development Commission</v>
      </c>
      <c r="AA587" s="2030"/>
      <c r="AB587" s="2030"/>
      <c r="AC587" s="2030"/>
      <c r="AD587" s="2030"/>
      <c r="AE587" s="2030"/>
      <c r="AF587" s="2030"/>
      <c r="AG587" s="2030"/>
      <c r="AH587" s="2030"/>
      <c r="AI587" s="2030"/>
      <c r="AJ587" s="2030"/>
      <c r="AK587" s="203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1" t="s">
        <v>2561</v>
      </c>
      <c r="H588" s="2021"/>
      <c r="I588" s="2021"/>
      <c r="J588" s="2021"/>
      <c r="K588" s="2021"/>
      <c r="L588" s="2021"/>
      <c r="M588" s="2021"/>
      <c r="N588" s="2021"/>
      <c r="O588" s="2021"/>
      <c r="P588" s="2021"/>
      <c r="Q588" s="2021"/>
      <c r="R588" s="2021"/>
      <c r="T588" s="35"/>
      <c r="U588" s="12" t="s">
        <v>90</v>
      </c>
      <c r="Z588" s="2029" t="s">
        <v>2585</v>
      </c>
      <c r="AA588" s="2021"/>
      <c r="AB588" s="2021"/>
      <c r="AC588" s="2021"/>
      <c r="AD588" s="2021"/>
      <c r="AE588" s="2021"/>
      <c r="AF588" s="2021"/>
      <c r="AG588" s="2021"/>
      <c r="AH588" s="2021"/>
      <c r="AI588" s="2021"/>
      <c r="AJ588" s="2021"/>
      <c r="AK588" s="202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1" t="s">
        <v>2562</v>
      </c>
      <c r="H589" s="2021"/>
      <c r="I589" s="2021"/>
      <c r="J589" s="2021"/>
      <c r="K589" s="2021"/>
      <c r="L589" s="2021"/>
      <c r="M589" s="2021"/>
      <c r="N589" s="2021"/>
      <c r="O589" s="2021"/>
      <c r="P589" s="2021"/>
      <c r="Q589" s="2021"/>
      <c r="R589" s="2021"/>
      <c r="T589" s="35"/>
      <c r="U589" s="12" t="s">
        <v>616</v>
      </c>
      <c r="Z589" s="2056" t="s">
        <v>2586</v>
      </c>
      <c r="AA589" s="2059"/>
      <c r="AB589" s="2059"/>
      <c r="AC589" s="2059"/>
      <c r="AD589" s="2059"/>
      <c r="AE589" s="2059"/>
      <c r="AF589" s="2059"/>
      <c r="AG589" s="2059"/>
      <c r="AH589" s="2059"/>
      <c r="AI589" s="2059"/>
      <c r="AJ589" s="2059"/>
      <c r="AK589" s="205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2508</v>
      </c>
      <c r="H590" s="2021"/>
      <c r="I590" s="2021"/>
      <c r="J590" s="2021"/>
      <c r="K590" s="2021"/>
      <c r="L590" s="2021"/>
      <c r="M590" s="2021"/>
      <c r="N590" s="2021"/>
      <c r="O590" s="2021"/>
      <c r="P590" s="2021"/>
      <c r="Q590" s="2021"/>
      <c r="R590" s="2021"/>
      <c r="T590" s="35"/>
      <c r="U590" s="12" t="s">
        <v>17</v>
      </c>
      <c r="Z590" s="2059" t="s">
        <v>2581</v>
      </c>
      <c r="AA590" s="2059"/>
      <c r="AB590" s="2059"/>
      <c r="AC590" s="2059"/>
      <c r="AD590" s="2059"/>
      <c r="AE590" s="2059"/>
      <c r="AF590" s="2059"/>
      <c r="AG590" s="2059"/>
      <c r="AH590" s="2059"/>
      <c r="AI590" s="2059"/>
      <c r="AJ590" s="2059"/>
      <c r="AK590" s="205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95" t="s">
        <v>2563</v>
      </c>
      <c r="H591" s="2095"/>
      <c r="I591" s="2095"/>
      <c r="J591" s="2095"/>
      <c r="K591" s="2095"/>
      <c r="L591" s="2095"/>
      <c r="O591" s="137" t="s">
        <v>212</v>
      </c>
      <c r="P591" s="2134"/>
      <c r="Q591" s="2134"/>
      <c r="R591" s="2134"/>
      <c r="T591" s="35"/>
      <c r="U591" s="12" t="s">
        <v>327</v>
      </c>
      <c r="Z591" s="2094">
        <v>7075657500</v>
      </c>
      <c r="AA591" s="2094"/>
      <c r="AB591" s="2094"/>
      <c r="AC591" s="2094"/>
      <c r="AD591" s="2094"/>
      <c r="AE591" s="2094"/>
      <c r="AH591" s="137" t="s">
        <v>212</v>
      </c>
      <c r="AI591" s="2134"/>
      <c r="AJ591" s="2134"/>
      <c r="AK591" s="21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1" t="s">
        <v>2566</v>
      </c>
      <c r="I592" s="2021"/>
      <c r="J592" s="2021"/>
      <c r="K592" s="2021"/>
      <c r="L592" s="2021"/>
      <c r="M592" s="2021"/>
      <c r="N592" s="2021"/>
      <c r="O592" s="2021"/>
      <c r="P592" s="2021"/>
      <c r="Q592" s="2021"/>
      <c r="R592" s="2021"/>
      <c r="T592" s="35"/>
      <c r="U592" s="12" t="s">
        <v>18</v>
      </c>
      <c r="AA592" s="2021" t="s">
        <v>2598</v>
      </c>
      <c r="AB592" s="2021"/>
      <c r="AC592" s="2021"/>
      <c r="AD592" s="2021"/>
      <c r="AE592" s="2021"/>
      <c r="AF592" s="2021"/>
      <c r="AG592" s="2021"/>
      <c r="AH592" s="2021"/>
      <c r="AI592" s="2021"/>
      <c r="AJ592" s="2021"/>
      <c r="AK592" s="202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2" t="s">
        <v>579</v>
      </c>
      <c r="O593" s="2022"/>
      <c r="T593" s="35"/>
      <c r="U593" s="12" t="s">
        <v>20</v>
      </c>
      <c r="AG593" s="2022" t="s">
        <v>579</v>
      </c>
      <c r="AH593" s="202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30" t="str">
        <f>C568</f>
        <v>WNC</v>
      </c>
      <c r="H595" s="2030"/>
      <c r="I595" s="2030"/>
      <c r="J595" s="2030"/>
      <c r="K595" s="2030"/>
      <c r="L595" s="2030"/>
      <c r="M595" s="2030"/>
      <c r="N595" s="2030"/>
      <c r="O595" s="2030"/>
      <c r="P595" s="2030"/>
      <c r="Q595" s="2030"/>
      <c r="R595" s="2030"/>
      <c r="T595" s="87" t="s">
        <v>620</v>
      </c>
      <c r="U595" s="12" t="s">
        <v>497</v>
      </c>
      <c r="Z595" s="2030" t="str">
        <f>C569</f>
        <v>Deferred Fees</v>
      </c>
      <c r="AA595" s="2030"/>
      <c r="AB595" s="2030"/>
      <c r="AC595" s="2030"/>
      <c r="AD595" s="2030"/>
      <c r="AE595" s="2030"/>
      <c r="AF595" s="2030"/>
      <c r="AG595" s="2030"/>
      <c r="AH595" s="2030"/>
      <c r="AI595" s="2030"/>
      <c r="AJ595" s="2030"/>
      <c r="AK595" s="203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1" t="s">
        <v>2548</v>
      </c>
      <c r="H596" s="2021"/>
      <c r="I596" s="2021"/>
      <c r="J596" s="2021"/>
      <c r="K596" s="2021"/>
      <c r="L596" s="2021"/>
      <c r="M596" s="2021"/>
      <c r="N596" s="2021"/>
      <c r="O596" s="2021"/>
      <c r="P596" s="2021"/>
      <c r="Q596" s="2021"/>
      <c r="R596" s="2021"/>
      <c r="T596" s="35"/>
      <c r="U596" s="12" t="s">
        <v>90</v>
      </c>
      <c r="Z596" s="2021" t="s">
        <v>2569</v>
      </c>
      <c r="AA596" s="2021"/>
      <c r="AB596" s="2021"/>
      <c r="AC596" s="2021"/>
      <c r="AD596" s="2021"/>
      <c r="AE596" s="2021"/>
      <c r="AF596" s="2021"/>
      <c r="AG596" s="2021"/>
      <c r="AH596" s="2021"/>
      <c r="AI596" s="2021"/>
      <c r="AJ596" s="2021"/>
      <c r="AK596" s="202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59" t="s">
        <v>2567</v>
      </c>
      <c r="H597" s="2059"/>
      <c r="I597" s="2059"/>
      <c r="J597" s="2059"/>
      <c r="K597" s="2059"/>
      <c r="L597" s="2059"/>
      <c r="M597" s="2059"/>
      <c r="N597" s="2059"/>
      <c r="O597" s="2059"/>
      <c r="P597" s="2059"/>
      <c r="Q597" s="2059"/>
      <c r="R597" s="2059"/>
      <c r="T597" s="35"/>
      <c r="U597" s="12" t="s">
        <v>616</v>
      </c>
      <c r="Z597" s="2059" t="s">
        <v>2487</v>
      </c>
      <c r="AA597" s="2059"/>
      <c r="AB597" s="2059"/>
      <c r="AC597" s="2059"/>
      <c r="AD597" s="2059"/>
      <c r="AE597" s="2059"/>
      <c r="AF597" s="2059"/>
      <c r="AG597" s="2059"/>
      <c r="AH597" s="2059"/>
      <c r="AI597" s="2059"/>
      <c r="AJ597" s="2059"/>
      <c r="AK597" s="20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9" t="s">
        <v>2550</v>
      </c>
      <c r="H598" s="2059"/>
      <c r="I598" s="2059"/>
      <c r="J598" s="2059"/>
      <c r="K598" s="2059"/>
      <c r="L598" s="2059"/>
      <c r="M598" s="2059"/>
      <c r="N598" s="2059"/>
      <c r="O598" s="2059"/>
      <c r="P598" s="2059"/>
      <c r="Q598" s="2059"/>
      <c r="R598" s="2059"/>
      <c r="T598" s="35"/>
      <c r="U598" s="12" t="s">
        <v>17</v>
      </c>
      <c r="Z598" s="2059" t="s">
        <v>2471</v>
      </c>
      <c r="AA598" s="2059"/>
      <c r="AB598" s="2059"/>
      <c r="AC598" s="2059"/>
      <c r="AD598" s="2059"/>
      <c r="AE598" s="2059"/>
      <c r="AF598" s="2059"/>
      <c r="AG598" s="2059"/>
      <c r="AH598" s="2059"/>
      <c r="AI598" s="2059"/>
      <c r="AJ598" s="2059"/>
      <c r="AK598" s="20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95" t="s">
        <v>2568</v>
      </c>
      <c r="H599" s="2095"/>
      <c r="I599" s="2095"/>
      <c r="J599" s="2095"/>
      <c r="K599" s="2095"/>
      <c r="L599" s="2095"/>
      <c r="O599" s="137" t="s">
        <v>212</v>
      </c>
      <c r="P599" s="2134"/>
      <c r="Q599" s="2134"/>
      <c r="R599" s="2134"/>
      <c r="T599" s="35"/>
      <c r="U599" s="12" t="s">
        <v>327</v>
      </c>
      <c r="Z599" s="2095" t="s">
        <v>2570</v>
      </c>
      <c r="AA599" s="2095"/>
      <c r="AB599" s="2095"/>
      <c r="AC599" s="2095"/>
      <c r="AD599" s="2095"/>
      <c r="AE599" s="2095"/>
      <c r="AH599" s="137" t="s">
        <v>212</v>
      </c>
      <c r="AI599" s="2134"/>
      <c r="AJ599" s="2134"/>
      <c r="AK599" s="21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1" t="s">
        <v>2513</v>
      </c>
      <c r="I600" s="2021"/>
      <c r="J600" s="2021"/>
      <c r="K600" s="2021"/>
      <c r="L600" s="2021"/>
      <c r="M600" s="2021"/>
      <c r="N600" s="2021"/>
      <c r="O600" s="2021"/>
      <c r="P600" s="2021"/>
      <c r="Q600" s="2021"/>
      <c r="R600" s="2021"/>
      <c r="T600" s="35"/>
      <c r="U600" s="12" t="s">
        <v>18</v>
      </c>
      <c r="AA600" s="2021" t="s">
        <v>2514</v>
      </c>
      <c r="AB600" s="2021"/>
      <c r="AC600" s="2021"/>
      <c r="AD600" s="2021"/>
      <c r="AE600" s="2021"/>
      <c r="AF600" s="2021"/>
      <c r="AG600" s="2021"/>
      <c r="AH600" s="2021"/>
      <c r="AI600" s="2021"/>
      <c r="AJ600" s="2021"/>
      <c r="AK600" s="202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22" t="s">
        <v>579</v>
      </c>
      <c r="O601" s="2022"/>
      <c r="T601" s="35"/>
      <c r="U601" s="12" t="s">
        <v>20</v>
      </c>
      <c r="AG601" s="2022" t="s">
        <v>579</v>
      </c>
      <c r="AH601" s="2022"/>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030">
        <f>C570</f>
        <v>0</v>
      </c>
      <c r="H603" s="2030"/>
      <c r="I603" s="2030"/>
      <c r="J603" s="2030"/>
      <c r="K603" s="2030"/>
      <c r="L603" s="2030"/>
      <c r="M603" s="2030"/>
      <c r="N603" s="2030"/>
      <c r="O603" s="2030"/>
      <c r="P603" s="2030"/>
      <c r="Q603" s="2030"/>
      <c r="R603" s="2030"/>
      <c r="T603" s="87" t="s">
        <v>489</v>
      </c>
      <c r="U603" s="12" t="s">
        <v>497</v>
      </c>
      <c r="Z603" s="2030">
        <f>C571</f>
        <v>0</v>
      </c>
      <c r="AA603" s="2030"/>
      <c r="AB603" s="2030"/>
      <c r="AC603" s="2030"/>
      <c r="AD603" s="2030"/>
      <c r="AE603" s="2030"/>
      <c r="AF603" s="2030"/>
      <c r="AG603" s="2030"/>
      <c r="AH603" s="2030"/>
      <c r="AI603" s="2030"/>
      <c r="AJ603" s="2030"/>
      <c r="AK603" s="203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21"/>
      <c r="H604" s="2021"/>
      <c r="I604" s="2021"/>
      <c r="J604" s="2021"/>
      <c r="K604" s="2021"/>
      <c r="L604" s="2021"/>
      <c r="M604" s="2021"/>
      <c r="N604" s="2021"/>
      <c r="O604" s="2021"/>
      <c r="P604" s="2021"/>
      <c r="Q604" s="2021"/>
      <c r="R604" s="2021"/>
      <c r="T604" s="35"/>
      <c r="U604" s="12" t="s">
        <v>90</v>
      </c>
      <c r="Z604" s="2021"/>
      <c r="AA604" s="2021"/>
      <c r="AB604" s="2021"/>
      <c r="AC604" s="2021"/>
      <c r="AD604" s="2021"/>
      <c r="AE604" s="2021"/>
      <c r="AF604" s="2021"/>
      <c r="AG604" s="2021"/>
      <c r="AH604" s="2021"/>
      <c r="AI604" s="2021"/>
      <c r="AJ604" s="2021"/>
      <c r="AK604" s="202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1"/>
      <c r="H605" s="2021"/>
      <c r="I605" s="2021"/>
      <c r="J605" s="2021"/>
      <c r="K605" s="2021"/>
      <c r="L605" s="2021"/>
      <c r="M605" s="2021"/>
      <c r="N605" s="2021"/>
      <c r="O605" s="2021"/>
      <c r="P605" s="2021"/>
      <c r="Q605" s="2021"/>
      <c r="R605" s="2021"/>
      <c r="T605" s="35"/>
      <c r="U605" s="12" t="s">
        <v>616</v>
      </c>
      <c r="Z605" s="2059"/>
      <c r="AA605" s="2059"/>
      <c r="AB605" s="2059"/>
      <c r="AC605" s="2059"/>
      <c r="AD605" s="2059"/>
      <c r="AE605" s="2059"/>
      <c r="AF605" s="2059"/>
      <c r="AG605" s="2059"/>
      <c r="AH605" s="2059"/>
      <c r="AI605" s="2059"/>
      <c r="AJ605" s="2059"/>
      <c r="AK605" s="205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21"/>
      <c r="H606" s="2021"/>
      <c r="I606" s="2021"/>
      <c r="J606" s="2021"/>
      <c r="K606" s="2021"/>
      <c r="L606" s="2021"/>
      <c r="M606" s="2021"/>
      <c r="N606" s="2021"/>
      <c r="O606" s="2021"/>
      <c r="P606" s="2021"/>
      <c r="Q606" s="2021"/>
      <c r="R606" s="2021"/>
      <c r="T606" s="35"/>
      <c r="U606" s="12" t="s">
        <v>17</v>
      </c>
      <c r="Z606" s="2059"/>
      <c r="AA606" s="2059"/>
      <c r="AB606" s="2059"/>
      <c r="AC606" s="2059"/>
      <c r="AD606" s="2059"/>
      <c r="AE606" s="2059"/>
      <c r="AF606" s="2059"/>
      <c r="AG606" s="2059"/>
      <c r="AH606" s="2059"/>
      <c r="AI606" s="2059"/>
      <c r="AJ606" s="2059"/>
      <c r="AK606" s="205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94"/>
      <c r="H607" s="2094"/>
      <c r="I607" s="2094"/>
      <c r="J607" s="2094"/>
      <c r="K607" s="2094"/>
      <c r="L607" s="2094"/>
      <c r="M607" s="12"/>
      <c r="N607" s="12"/>
      <c r="O607" s="137" t="s">
        <v>212</v>
      </c>
      <c r="P607" s="2134"/>
      <c r="Q607" s="2134"/>
      <c r="R607" s="2134"/>
      <c r="S607" s="12"/>
      <c r="T607" s="35"/>
      <c r="U607" s="12" t="s">
        <v>327</v>
      </c>
      <c r="V607" s="12"/>
      <c r="W607" s="12"/>
      <c r="X607" s="12"/>
      <c r="Y607" s="12"/>
      <c r="Z607" s="2094"/>
      <c r="AA607" s="2094"/>
      <c r="AB607" s="2094"/>
      <c r="AC607" s="2094"/>
      <c r="AD607" s="2094"/>
      <c r="AE607" s="2094"/>
      <c r="AF607" s="12"/>
      <c r="AG607" s="12"/>
      <c r="AH607" s="137" t="s">
        <v>212</v>
      </c>
      <c r="AI607" s="2134"/>
      <c r="AJ607" s="2134"/>
      <c r="AK607" s="21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21"/>
      <c r="I608" s="2021"/>
      <c r="J608" s="2021"/>
      <c r="K608" s="2021"/>
      <c r="L608" s="2021"/>
      <c r="M608" s="2021"/>
      <c r="N608" s="2021"/>
      <c r="O608" s="2021"/>
      <c r="P608" s="2021"/>
      <c r="Q608" s="2021"/>
      <c r="R608" s="2021"/>
      <c r="S608" s="12"/>
      <c r="T608" s="35"/>
      <c r="U608" s="12" t="s">
        <v>18</v>
      </c>
      <c r="V608" s="12"/>
      <c r="W608" s="12"/>
      <c r="X608" s="12"/>
      <c r="Y608" s="12"/>
      <c r="Z608" s="12"/>
      <c r="AA608" s="2021"/>
      <c r="AB608" s="2021"/>
      <c r="AC608" s="2021"/>
      <c r="AD608" s="2021"/>
      <c r="AE608" s="2021"/>
      <c r="AF608" s="2021"/>
      <c r="AG608" s="2021"/>
      <c r="AH608" s="2021"/>
      <c r="AI608" s="2021"/>
      <c r="AJ608" s="2021"/>
      <c r="AK608" s="202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22" t="s">
        <v>707</v>
      </c>
      <c r="O609" s="2022"/>
      <c r="P609" s="12"/>
      <c r="Q609" s="12"/>
      <c r="R609" s="12"/>
      <c r="S609" s="12"/>
      <c r="T609" s="35"/>
      <c r="U609" s="12" t="s">
        <v>20</v>
      </c>
      <c r="V609" s="12"/>
      <c r="W609" s="12"/>
      <c r="X609" s="12"/>
      <c r="Y609" s="12"/>
      <c r="Z609" s="12"/>
      <c r="AA609" s="12"/>
      <c r="AB609" s="12"/>
      <c r="AC609" s="12"/>
      <c r="AD609" s="12"/>
      <c r="AE609" s="12"/>
      <c r="AF609" s="12"/>
      <c r="AG609" s="2022" t="s">
        <v>707</v>
      </c>
      <c r="AH609" s="202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8"/>
      <c r="BH609" s="2010"/>
      <c r="BI609" s="185" t="s">
        <v>509</v>
      </c>
      <c r="BJ609" s="186"/>
      <c r="BK609" s="2008"/>
      <c r="BL609" s="2010"/>
      <c r="BM609" s="58"/>
      <c r="BN609" s="2381" t="s">
        <v>669</v>
      </c>
      <c r="BO609" s="2382"/>
      <c r="BP609" s="2382"/>
      <c r="BQ609" s="2382"/>
      <c r="BR609" s="2383"/>
      <c r="BS609" s="2171" t="s">
        <v>336</v>
      </c>
      <c r="BT609" s="2171"/>
      <c r="BU609" s="2171"/>
      <c r="BV609" s="2171"/>
      <c r="BW609" s="2171"/>
      <c r="BX609" s="2171" t="s">
        <v>168</v>
      </c>
      <c r="BY609" s="2171"/>
      <c r="BZ609" s="2171"/>
      <c r="CA609" s="2171"/>
      <c r="CB609" s="2171"/>
      <c r="CC609" s="2171" t="s">
        <v>169</v>
      </c>
      <c r="CD609" s="2171"/>
      <c r="CE609" s="2171"/>
      <c r="CF609" s="2171"/>
      <c r="CG609" s="2171"/>
      <c r="CH609" s="2171" t="s">
        <v>494</v>
      </c>
      <c r="CI609" s="2171"/>
      <c r="CJ609" s="2171"/>
      <c r="CK609" s="2171"/>
      <c r="CL609" s="2171"/>
      <c r="CM609" s="2171" t="s">
        <v>31</v>
      </c>
      <c r="CN609" s="2171"/>
      <c r="CO609" s="2171"/>
      <c r="CP609" s="2171"/>
      <c r="CQ609" s="2171"/>
      <c r="CR609" s="1822"/>
      <c r="CS609" s="2171" t="s">
        <v>669</v>
      </c>
      <c r="CT609" s="2171"/>
      <c r="CU609" s="2171"/>
      <c r="CV609" s="2171"/>
      <c r="CW609" s="2171"/>
      <c r="CX609" s="2171" t="s">
        <v>336</v>
      </c>
      <c r="CY609" s="2171"/>
      <c r="CZ609" s="2171"/>
      <c r="DA609" s="2171"/>
      <c r="DB609" s="2171"/>
      <c r="DC609" s="2171" t="s">
        <v>168</v>
      </c>
      <c r="DD609" s="2171"/>
      <c r="DE609" s="2171"/>
      <c r="DF609" s="2171"/>
      <c r="DG609" s="2171"/>
      <c r="DH609" s="2171" t="s">
        <v>169</v>
      </c>
      <c r="DI609" s="2171"/>
      <c r="DJ609" s="2171"/>
      <c r="DK609" s="2171"/>
      <c r="DL609" s="2171"/>
      <c r="DM609" s="2171" t="s">
        <v>494</v>
      </c>
      <c r="DN609" s="2171"/>
      <c r="DO609" s="2171"/>
      <c r="DP609" s="2171"/>
      <c r="DQ609" s="2171"/>
      <c r="DR609" s="2171" t="s">
        <v>31</v>
      </c>
      <c r="DS609" s="2171"/>
      <c r="DT609" s="2171"/>
      <c r="DU609" s="2171"/>
      <c r="DV609" s="2171"/>
      <c r="DX609" s="2171" t="s">
        <v>669</v>
      </c>
      <c r="DY609" s="2171"/>
      <c r="DZ609" s="2171"/>
      <c r="EA609" s="2171"/>
      <c r="EB609" s="2171"/>
      <c r="EC609" s="2171" t="s">
        <v>336</v>
      </c>
      <c r="ED609" s="2171"/>
      <c r="EE609" s="2171"/>
      <c r="EF609" s="2171"/>
      <c r="EG609" s="2171"/>
      <c r="EH609" s="2171" t="s">
        <v>168</v>
      </c>
      <c r="EI609" s="2171"/>
      <c r="EJ609" s="2171"/>
      <c r="EK609" s="2171"/>
      <c r="EL609" s="2171"/>
      <c r="EM609" s="2171" t="s">
        <v>169</v>
      </c>
      <c r="EN609" s="2171"/>
      <c r="EO609" s="2171"/>
      <c r="EP609" s="2171"/>
      <c r="EQ609" s="2171"/>
      <c r="ER609" s="2171" t="s">
        <v>494</v>
      </c>
      <c r="ES609" s="2171"/>
      <c r="ET609" s="2171"/>
      <c r="EU609" s="2171"/>
      <c r="EV609" s="2171"/>
      <c r="EW609" s="2171" t="s">
        <v>31</v>
      </c>
      <c r="EX609" s="2171"/>
      <c r="EY609" s="2171"/>
      <c r="EZ609" s="2171"/>
      <c r="FA609" s="2171"/>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1">
        <f t="shared" ref="BE610:BE634" si="0">IF(AND(AH728&lt;=0.5,AH728&gt;=0.36),1,0)</f>
        <v>0</v>
      </c>
      <c r="BF610" s="2012"/>
      <c r="BG610" s="2008">
        <f t="shared" ref="BG610:BG634" si="1">IF(BE610=1,G728,0)</f>
        <v>0</v>
      </c>
      <c r="BH610" s="2010"/>
      <c r="BI610" s="2011">
        <f t="shared" ref="BI610:BI634" si="2">IF(AND(AH728&lt;=0.35,AH728&gt;0),1,0)</f>
        <v>1</v>
      </c>
      <c r="BJ610" s="2012"/>
      <c r="BK610" s="2008">
        <f t="shared" ref="BK610:BK634" si="3">IF(BI610=1,G728,0)</f>
        <v>6</v>
      </c>
      <c r="BL610" s="2010"/>
      <c r="BM610" s="58"/>
      <c r="BN610" s="2002">
        <f t="shared" ref="BN610:BN634" si="4">IF(B728="SRO/Studio",G728,0)</f>
        <v>0</v>
      </c>
      <c r="BO610" s="2003"/>
      <c r="BP610" s="2003"/>
      <c r="BQ610" s="2003"/>
      <c r="BR610" s="2004"/>
      <c r="BS610" s="2001">
        <f t="shared" ref="BS610:BS634" si="5">IF(B728="1 Bedroom",G728,0)</f>
        <v>6</v>
      </c>
      <c r="BT610" s="2001"/>
      <c r="BU610" s="2001"/>
      <c r="BV610" s="2001"/>
      <c r="BW610" s="2001"/>
      <c r="BX610" s="2001">
        <f t="shared" ref="BX610:BX634" si="6">IF(B728="2 Bedrooms",G728,0)</f>
        <v>0</v>
      </c>
      <c r="BY610" s="2001"/>
      <c r="BZ610" s="2001"/>
      <c r="CA610" s="2001"/>
      <c r="CB610" s="2001"/>
      <c r="CC610" s="2001">
        <f t="shared" ref="CC610:CC634" si="7">IF(B728="3 Bedrooms",G728,0)</f>
        <v>0</v>
      </c>
      <c r="CD610" s="2001"/>
      <c r="CE610" s="2001"/>
      <c r="CF610" s="2001"/>
      <c r="CG610" s="2001"/>
      <c r="CH610" s="2001">
        <f t="shared" ref="CH610:CH634" si="8">IF(B728="4 Bedrooms",G728,0)</f>
        <v>0</v>
      </c>
      <c r="CI610" s="2001"/>
      <c r="CJ610" s="2001"/>
      <c r="CK610" s="2001"/>
      <c r="CL610" s="2001"/>
      <c r="CM610" s="2001">
        <f t="shared" ref="CM610:CM634" si="9">IF(B728="5 Bedrooms",G728,0)</f>
        <v>0</v>
      </c>
      <c r="CN610" s="2001"/>
      <c r="CO610" s="2001"/>
      <c r="CP610" s="2001"/>
      <c r="CQ610" s="2001"/>
      <c r="CR610" s="265"/>
      <c r="CS610" s="2369">
        <f t="shared" ref="CS610:CS634" si="10">IF(AND(B728="SRO/Studio",AH728&lt;=0.3),G728,0)</f>
        <v>0</v>
      </c>
      <c r="CT610" s="2369"/>
      <c r="CU610" s="2369"/>
      <c r="CV610" s="2369"/>
      <c r="CW610" s="2369"/>
      <c r="CX610" s="2369">
        <f t="shared" ref="CX610:CX634" si="11">IF(AND(B728="1 Bedroom",AH728&lt;=0.3),G728,0)</f>
        <v>6</v>
      </c>
      <c r="CY610" s="2369"/>
      <c r="CZ610" s="2369"/>
      <c r="DA610" s="2369"/>
      <c r="DB610" s="2369"/>
      <c r="DC610" s="2369">
        <f t="shared" ref="DC610:DC634" si="12">IF(AND(B728="2 Bedrooms",AH728&lt;=0.3),G728,0)</f>
        <v>0</v>
      </c>
      <c r="DD610" s="2369"/>
      <c r="DE610" s="2369"/>
      <c r="DF610" s="2369"/>
      <c r="DG610" s="2369"/>
      <c r="DH610" s="2369">
        <f t="shared" ref="DH610:DH634" si="13">IF(AND(B728="3 Bedrooms",AH728&lt;=0.3),G728,0)</f>
        <v>0</v>
      </c>
      <c r="DI610" s="2369"/>
      <c r="DJ610" s="2369"/>
      <c r="DK610" s="2369"/>
      <c r="DL610" s="2369"/>
      <c r="DM610" s="2369">
        <f t="shared" ref="DM610:DM634" si="14">IF(AND(B728="4 Bedrooms",AH728&lt;=0.3),G728,0)</f>
        <v>0</v>
      </c>
      <c r="DN610" s="2369"/>
      <c r="DO610" s="2369"/>
      <c r="DP610" s="2369"/>
      <c r="DQ610" s="2369"/>
      <c r="DR610" s="2369">
        <f t="shared" ref="DR610:DR634" si="15">IF(AND(B728="5 Bedrooms",AH728&lt;=0.3),G728,0)</f>
        <v>0</v>
      </c>
      <c r="DS610" s="2369"/>
      <c r="DT610" s="2369"/>
      <c r="DU610" s="2369"/>
      <c r="DV610" s="2369"/>
      <c r="DX610" s="2011" t="str">
        <f t="shared" ref="DX610:DX634" si="16">IF(BN610&gt;0,O728," ")</f>
        <v xml:space="preserve"> </v>
      </c>
      <c r="DY610" s="2169"/>
      <c r="DZ610" s="2169"/>
      <c r="EA610" s="2169"/>
      <c r="EB610" s="2012"/>
      <c r="EC610" s="2011">
        <f t="shared" ref="EC610:EC634" si="17">IF(BS610&gt;0,O728," ")</f>
        <v>600</v>
      </c>
      <c r="ED610" s="2169"/>
      <c r="EE610" s="2169"/>
      <c r="EF610" s="2169"/>
      <c r="EG610" s="2012"/>
      <c r="EH610" s="2011" t="str">
        <f t="shared" ref="EH610:EH634" si="18">IF(BX610&gt;0,O728," ")</f>
        <v xml:space="preserve"> </v>
      </c>
      <c r="EI610" s="2169"/>
      <c r="EJ610" s="2169"/>
      <c r="EK610" s="2169"/>
      <c r="EL610" s="2012"/>
      <c r="EM610" s="2011" t="str">
        <f t="shared" ref="EM610:EM634" si="19">IF(CC610&gt;0,O728," ")</f>
        <v xml:space="preserve"> </v>
      </c>
      <c r="EN610" s="2169"/>
      <c r="EO610" s="2169"/>
      <c r="EP610" s="2169"/>
      <c r="EQ610" s="2012"/>
      <c r="ER610" s="2011" t="str">
        <f t="shared" ref="ER610:ER634" si="20">IF(CH610&gt;0,O728," ")</f>
        <v xml:space="preserve"> </v>
      </c>
      <c r="ES610" s="2169"/>
      <c r="ET610" s="2169"/>
      <c r="EU610" s="2169"/>
      <c r="EV610" s="2012"/>
      <c r="EW610" s="2011" t="str">
        <f t="shared" ref="EW610:EW634" si="21">IF(CM610&gt;0,O728," ")</f>
        <v xml:space="preserve"> </v>
      </c>
      <c r="EX610" s="2169"/>
      <c r="EY610" s="2169"/>
      <c r="EZ610" s="2169"/>
      <c r="FA610" s="2012"/>
    </row>
    <row r="611" spans="1:157" s="7" customFormat="1" ht="13.2">
      <c r="A611" s="87" t="s">
        <v>495</v>
      </c>
      <c r="B611" s="12" t="s">
        <v>497</v>
      </c>
      <c r="C611" s="12"/>
      <c r="D611" s="12"/>
      <c r="E611" s="12"/>
      <c r="F611" s="12"/>
      <c r="G611" s="2030">
        <f>C572</f>
        <v>0</v>
      </c>
      <c r="H611" s="2030"/>
      <c r="I611" s="2030"/>
      <c r="J611" s="2030"/>
      <c r="K611" s="2030"/>
      <c r="L611" s="2030"/>
      <c r="M611" s="2030"/>
      <c r="N611" s="2030"/>
      <c r="O611" s="2030"/>
      <c r="P611" s="2030"/>
      <c r="Q611" s="2030"/>
      <c r="R611" s="2030"/>
      <c r="S611" s="12"/>
      <c r="T611" s="87" t="s">
        <v>682</v>
      </c>
      <c r="U611" s="12" t="s">
        <v>497</v>
      </c>
      <c r="V611" s="12"/>
      <c r="W611" s="12"/>
      <c r="X611" s="12"/>
      <c r="Y611" s="12"/>
      <c r="Z611" s="2030">
        <f>C573</f>
        <v>0</v>
      </c>
      <c r="AA611" s="2030"/>
      <c r="AB611" s="2030"/>
      <c r="AC611" s="2030"/>
      <c r="AD611" s="2030"/>
      <c r="AE611" s="2030"/>
      <c r="AF611" s="2030"/>
      <c r="AG611" s="2030"/>
      <c r="AH611" s="2030"/>
      <c r="AI611" s="2030"/>
      <c r="AJ611" s="2030"/>
      <c r="AK611" s="2030"/>
      <c r="AL611" s="12"/>
      <c r="AM611" s="39"/>
      <c r="AN611" s="39"/>
      <c r="AO611" s="39"/>
      <c r="AP611" s="39"/>
      <c r="AQ611" s="39"/>
      <c r="AR611" s="39"/>
      <c r="AS611" s="39"/>
      <c r="AT611" s="39"/>
      <c r="AU611" s="39"/>
      <c r="AV611" s="39"/>
      <c r="AW611" s="39"/>
      <c r="AX611" s="39"/>
      <c r="AY611" s="39"/>
      <c r="BA611" s="7" t="s">
        <v>168</v>
      </c>
      <c r="BB611" s="58"/>
      <c r="BC611" s="58"/>
      <c r="BD611" s="58"/>
      <c r="BE611" s="2011">
        <f t="shared" si="0"/>
        <v>1</v>
      </c>
      <c r="BF611" s="2012"/>
      <c r="BG611" s="2008">
        <f t="shared" si="1"/>
        <v>16</v>
      </c>
      <c r="BH611" s="2010"/>
      <c r="BI611" s="2011">
        <f t="shared" si="2"/>
        <v>0</v>
      </c>
      <c r="BJ611" s="2012"/>
      <c r="BK611" s="2008">
        <f t="shared" si="3"/>
        <v>0</v>
      </c>
      <c r="BL611" s="2010"/>
      <c r="BM611" s="58"/>
      <c r="BN611" s="2002">
        <f t="shared" si="4"/>
        <v>0</v>
      </c>
      <c r="BO611" s="2003"/>
      <c r="BP611" s="2003"/>
      <c r="BQ611" s="2003"/>
      <c r="BR611" s="2004"/>
      <c r="BS611" s="2001">
        <f t="shared" si="5"/>
        <v>16</v>
      </c>
      <c r="BT611" s="2001"/>
      <c r="BU611" s="2001"/>
      <c r="BV611" s="2001"/>
      <c r="BW611" s="2001"/>
      <c r="BX611" s="2001">
        <f t="shared" si="6"/>
        <v>0</v>
      </c>
      <c r="BY611" s="2001"/>
      <c r="BZ611" s="2001"/>
      <c r="CA611" s="2001"/>
      <c r="CB611" s="2001"/>
      <c r="CC611" s="2001">
        <f t="shared" si="7"/>
        <v>0</v>
      </c>
      <c r="CD611" s="2001"/>
      <c r="CE611" s="2001"/>
      <c r="CF611" s="2001"/>
      <c r="CG611" s="2001"/>
      <c r="CH611" s="2001">
        <f t="shared" si="8"/>
        <v>0</v>
      </c>
      <c r="CI611" s="2001"/>
      <c r="CJ611" s="2001"/>
      <c r="CK611" s="2001"/>
      <c r="CL611" s="2001"/>
      <c r="CM611" s="2001">
        <f t="shared" si="9"/>
        <v>0</v>
      </c>
      <c r="CN611" s="2001"/>
      <c r="CO611" s="2001"/>
      <c r="CP611" s="2001"/>
      <c r="CQ611" s="2001"/>
      <c r="CR611" s="265"/>
      <c r="CS611" s="2369">
        <f t="shared" si="10"/>
        <v>0</v>
      </c>
      <c r="CT611" s="2369"/>
      <c r="CU611" s="2369"/>
      <c r="CV611" s="2369"/>
      <c r="CW611" s="2369"/>
      <c r="CX611" s="2369">
        <f t="shared" si="11"/>
        <v>0</v>
      </c>
      <c r="CY611" s="2369"/>
      <c r="CZ611" s="2369"/>
      <c r="DA611" s="2369"/>
      <c r="DB611" s="2369"/>
      <c r="DC611" s="2369">
        <f t="shared" si="12"/>
        <v>0</v>
      </c>
      <c r="DD611" s="2369"/>
      <c r="DE611" s="2369"/>
      <c r="DF611" s="2369"/>
      <c r="DG611" s="2369"/>
      <c r="DH611" s="2369">
        <f t="shared" si="13"/>
        <v>0</v>
      </c>
      <c r="DI611" s="2369"/>
      <c r="DJ611" s="2369"/>
      <c r="DK611" s="2369"/>
      <c r="DL611" s="2369"/>
      <c r="DM611" s="2369">
        <f t="shared" si="14"/>
        <v>0</v>
      </c>
      <c r="DN611" s="2369"/>
      <c r="DO611" s="2369"/>
      <c r="DP611" s="2369"/>
      <c r="DQ611" s="2369"/>
      <c r="DR611" s="2369">
        <f t="shared" si="15"/>
        <v>0</v>
      </c>
      <c r="DS611" s="2369"/>
      <c r="DT611" s="2369"/>
      <c r="DU611" s="2369"/>
      <c r="DV611" s="2369"/>
      <c r="DX611" s="2011" t="str">
        <f t="shared" si="16"/>
        <v xml:space="preserve"> </v>
      </c>
      <c r="DY611" s="2169"/>
      <c r="DZ611" s="2169"/>
      <c r="EA611" s="2169"/>
      <c r="EB611" s="2012"/>
      <c r="EC611" s="2011">
        <f t="shared" si="17"/>
        <v>1026</v>
      </c>
      <c r="ED611" s="2169"/>
      <c r="EE611" s="2169"/>
      <c r="EF611" s="2169"/>
      <c r="EG611" s="2012"/>
      <c r="EH611" s="2011" t="str">
        <f t="shared" si="18"/>
        <v xml:space="preserve"> </v>
      </c>
      <c r="EI611" s="2169"/>
      <c r="EJ611" s="2169"/>
      <c r="EK611" s="2169"/>
      <c r="EL611" s="2012"/>
      <c r="EM611" s="2011" t="str">
        <f t="shared" si="19"/>
        <v xml:space="preserve"> </v>
      </c>
      <c r="EN611" s="2169"/>
      <c r="EO611" s="2169"/>
      <c r="EP611" s="2169"/>
      <c r="EQ611" s="2012"/>
      <c r="ER611" s="2011" t="str">
        <f t="shared" si="20"/>
        <v xml:space="preserve"> </v>
      </c>
      <c r="ES611" s="2169"/>
      <c r="ET611" s="2169"/>
      <c r="EU611" s="2169"/>
      <c r="EV611" s="2012"/>
      <c r="EW611" s="2011" t="str">
        <f t="shared" si="21"/>
        <v xml:space="preserve"> </v>
      </c>
      <c r="EX611" s="2169"/>
      <c r="EY611" s="2169"/>
      <c r="EZ611" s="2169"/>
      <c r="FA611" s="2012"/>
    </row>
    <row r="612" spans="1:157" ht="13.2">
      <c r="A612" s="35"/>
      <c r="B612" s="12" t="s">
        <v>90</v>
      </c>
      <c r="G612" s="2021"/>
      <c r="H612" s="2021"/>
      <c r="I612" s="2021"/>
      <c r="J612" s="2021"/>
      <c r="K612" s="2021"/>
      <c r="L612" s="2021"/>
      <c r="M612" s="2021"/>
      <c r="N612" s="2021"/>
      <c r="O612" s="2021"/>
      <c r="P612" s="2021"/>
      <c r="Q612" s="2021"/>
      <c r="R612" s="2021"/>
      <c r="T612" s="35"/>
      <c r="U612" s="12" t="s">
        <v>90</v>
      </c>
      <c r="Z612" s="2021"/>
      <c r="AA612" s="2021"/>
      <c r="AB612" s="2021"/>
      <c r="AC612" s="2021"/>
      <c r="AD612" s="2021"/>
      <c r="AE612" s="2021"/>
      <c r="AF612" s="2021"/>
      <c r="AG612" s="2021"/>
      <c r="AH612" s="2021"/>
      <c r="AI612" s="2021"/>
      <c r="AJ612" s="2021"/>
      <c r="AK612" s="2021"/>
      <c r="BA612" s="7" t="s">
        <v>169</v>
      </c>
      <c r="BB612" s="58"/>
      <c r="BC612" s="58"/>
      <c r="BD612" s="58"/>
      <c r="BE612" s="2011">
        <f t="shared" si="0"/>
        <v>0</v>
      </c>
      <c r="BF612" s="2012"/>
      <c r="BG612" s="2008">
        <f t="shared" si="1"/>
        <v>0</v>
      </c>
      <c r="BH612" s="2010"/>
      <c r="BI612" s="2011">
        <f t="shared" si="2"/>
        <v>0</v>
      </c>
      <c r="BJ612" s="2012"/>
      <c r="BK612" s="2008">
        <f t="shared" si="3"/>
        <v>0</v>
      </c>
      <c r="BL612" s="2010"/>
      <c r="BM612" s="58"/>
      <c r="BN612" s="2002">
        <f t="shared" si="4"/>
        <v>0</v>
      </c>
      <c r="BO612" s="2003"/>
      <c r="BP612" s="2003"/>
      <c r="BQ612" s="2003"/>
      <c r="BR612" s="2004"/>
      <c r="BS612" s="2001">
        <f t="shared" si="5"/>
        <v>16</v>
      </c>
      <c r="BT612" s="2001"/>
      <c r="BU612" s="2001"/>
      <c r="BV612" s="2001"/>
      <c r="BW612" s="2001"/>
      <c r="BX612" s="2001">
        <f t="shared" si="6"/>
        <v>0</v>
      </c>
      <c r="BY612" s="2001"/>
      <c r="BZ612" s="2001"/>
      <c r="CA612" s="2001"/>
      <c r="CB612" s="2001"/>
      <c r="CC612" s="2001">
        <f t="shared" si="7"/>
        <v>0</v>
      </c>
      <c r="CD612" s="2001"/>
      <c r="CE612" s="2001"/>
      <c r="CF612" s="2001"/>
      <c r="CG612" s="2001"/>
      <c r="CH612" s="2001">
        <f t="shared" si="8"/>
        <v>0</v>
      </c>
      <c r="CI612" s="2001"/>
      <c r="CJ612" s="2001"/>
      <c r="CK612" s="2001"/>
      <c r="CL612" s="2001"/>
      <c r="CM612" s="2001">
        <f t="shared" si="9"/>
        <v>0</v>
      </c>
      <c r="CN612" s="2001"/>
      <c r="CO612" s="2001"/>
      <c r="CP612" s="2001"/>
      <c r="CQ612" s="2001"/>
      <c r="CR612" s="265"/>
      <c r="CS612" s="2369">
        <f t="shared" si="10"/>
        <v>0</v>
      </c>
      <c r="CT612" s="2369"/>
      <c r="CU612" s="2369"/>
      <c r="CV612" s="2369"/>
      <c r="CW612" s="2369"/>
      <c r="CX612" s="2369">
        <f t="shared" si="11"/>
        <v>0</v>
      </c>
      <c r="CY612" s="2369"/>
      <c r="CZ612" s="2369"/>
      <c r="DA612" s="2369"/>
      <c r="DB612" s="2369"/>
      <c r="DC612" s="2369">
        <f t="shared" si="12"/>
        <v>0</v>
      </c>
      <c r="DD612" s="2369"/>
      <c r="DE612" s="2369"/>
      <c r="DF612" s="2369"/>
      <c r="DG612" s="2369"/>
      <c r="DH612" s="2369">
        <f t="shared" si="13"/>
        <v>0</v>
      </c>
      <c r="DI612" s="2369"/>
      <c r="DJ612" s="2369"/>
      <c r="DK612" s="2369"/>
      <c r="DL612" s="2369"/>
      <c r="DM612" s="2369">
        <f t="shared" si="14"/>
        <v>0</v>
      </c>
      <c r="DN612" s="2369"/>
      <c r="DO612" s="2369"/>
      <c r="DP612" s="2369"/>
      <c r="DQ612" s="2369"/>
      <c r="DR612" s="2369">
        <f t="shared" si="15"/>
        <v>0</v>
      </c>
      <c r="DS612" s="2369"/>
      <c r="DT612" s="2369"/>
      <c r="DU612" s="2369"/>
      <c r="DV612" s="2369"/>
      <c r="DX612" s="2011" t="str">
        <f t="shared" si="16"/>
        <v xml:space="preserve"> </v>
      </c>
      <c r="DY612" s="2169"/>
      <c r="DZ612" s="2169"/>
      <c r="EA612" s="2169"/>
      <c r="EB612" s="2012"/>
      <c r="EC612" s="2011">
        <f t="shared" si="17"/>
        <v>1239</v>
      </c>
      <c r="ED612" s="2169"/>
      <c r="EE612" s="2169"/>
      <c r="EF612" s="2169"/>
      <c r="EG612" s="2012"/>
      <c r="EH612" s="2011" t="str">
        <f t="shared" si="18"/>
        <v xml:space="preserve"> </v>
      </c>
      <c r="EI612" s="2169"/>
      <c r="EJ612" s="2169"/>
      <c r="EK612" s="2169"/>
      <c r="EL612" s="2012"/>
      <c r="EM612" s="2011" t="str">
        <f t="shared" si="19"/>
        <v xml:space="preserve"> </v>
      </c>
      <c r="EN612" s="2169"/>
      <c r="EO612" s="2169"/>
      <c r="EP612" s="2169"/>
      <c r="EQ612" s="2012"/>
      <c r="ER612" s="2011" t="str">
        <f t="shared" si="20"/>
        <v xml:space="preserve"> </v>
      </c>
      <c r="ES612" s="2169"/>
      <c r="ET612" s="2169"/>
      <c r="EU612" s="2169"/>
      <c r="EV612" s="2012"/>
      <c r="EW612" s="2011" t="str">
        <f t="shared" si="21"/>
        <v xml:space="preserve"> </v>
      </c>
      <c r="EX612" s="2169"/>
      <c r="EY612" s="2169"/>
      <c r="EZ612" s="2169"/>
      <c r="FA612" s="2012"/>
    </row>
    <row r="613" spans="1:157" ht="13.2">
      <c r="A613" s="35"/>
      <c r="B613" s="12" t="s">
        <v>616</v>
      </c>
      <c r="G613" s="2021"/>
      <c r="H613" s="2021"/>
      <c r="I613" s="2021"/>
      <c r="J613" s="2021"/>
      <c r="K613" s="2021"/>
      <c r="L613" s="2021"/>
      <c r="M613" s="2021"/>
      <c r="N613" s="2021"/>
      <c r="O613" s="2021"/>
      <c r="P613" s="2021"/>
      <c r="Q613" s="2021"/>
      <c r="R613" s="2021"/>
      <c r="T613" s="35"/>
      <c r="U613" s="12" t="s">
        <v>616</v>
      </c>
      <c r="Z613" s="2059"/>
      <c r="AA613" s="2059"/>
      <c r="AB613" s="2059"/>
      <c r="AC613" s="2059"/>
      <c r="AD613" s="2059"/>
      <c r="AE613" s="2059"/>
      <c r="AF613" s="2059"/>
      <c r="AG613" s="2059"/>
      <c r="AH613" s="2059"/>
      <c r="AI613" s="2059"/>
      <c r="AJ613" s="2059"/>
      <c r="AK613" s="2059"/>
      <c r="BA613" s="7" t="s">
        <v>170</v>
      </c>
      <c r="BB613" s="58"/>
      <c r="BC613" s="58"/>
      <c r="BD613" s="58"/>
      <c r="BE613" s="2011">
        <f t="shared" si="0"/>
        <v>0</v>
      </c>
      <c r="BF613" s="2012"/>
      <c r="BG613" s="2008">
        <f t="shared" si="1"/>
        <v>0</v>
      </c>
      <c r="BH613" s="2010"/>
      <c r="BI613" s="2011">
        <f t="shared" si="2"/>
        <v>0</v>
      </c>
      <c r="BJ613" s="2012"/>
      <c r="BK613" s="2008">
        <f t="shared" si="3"/>
        <v>0</v>
      </c>
      <c r="BL613" s="2010"/>
      <c r="BM613" s="58"/>
      <c r="BN613" s="2002">
        <f t="shared" si="4"/>
        <v>0</v>
      </c>
      <c r="BO613" s="2003"/>
      <c r="BP613" s="2003"/>
      <c r="BQ613" s="2003"/>
      <c r="BR613" s="2004"/>
      <c r="BS613" s="2001">
        <f t="shared" si="5"/>
        <v>26</v>
      </c>
      <c r="BT613" s="2001"/>
      <c r="BU613" s="2001"/>
      <c r="BV613" s="2001"/>
      <c r="BW613" s="2001"/>
      <c r="BX613" s="2001">
        <f t="shared" si="6"/>
        <v>0</v>
      </c>
      <c r="BY613" s="2001"/>
      <c r="BZ613" s="2001"/>
      <c r="CA613" s="2001"/>
      <c r="CB613" s="2001"/>
      <c r="CC613" s="2001">
        <f t="shared" si="7"/>
        <v>0</v>
      </c>
      <c r="CD613" s="2001"/>
      <c r="CE613" s="2001"/>
      <c r="CF613" s="2001"/>
      <c r="CG613" s="2001"/>
      <c r="CH613" s="2001">
        <f t="shared" si="8"/>
        <v>0</v>
      </c>
      <c r="CI613" s="2001"/>
      <c r="CJ613" s="2001"/>
      <c r="CK613" s="2001"/>
      <c r="CL613" s="2001"/>
      <c r="CM613" s="2001">
        <f t="shared" si="9"/>
        <v>0</v>
      </c>
      <c r="CN613" s="2001"/>
      <c r="CO613" s="2001"/>
      <c r="CP613" s="2001"/>
      <c r="CQ613" s="2001"/>
      <c r="CR613" s="265"/>
      <c r="CS613" s="2369">
        <f t="shared" si="10"/>
        <v>0</v>
      </c>
      <c r="CT613" s="2369"/>
      <c r="CU613" s="2369"/>
      <c r="CV613" s="2369"/>
      <c r="CW613" s="2369"/>
      <c r="CX613" s="2369">
        <f t="shared" si="11"/>
        <v>0</v>
      </c>
      <c r="CY613" s="2369"/>
      <c r="CZ613" s="2369"/>
      <c r="DA613" s="2369"/>
      <c r="DB613" s="2369"/>
      <c r="DC613" s="2369">
        <f t="shared" si="12"/>
        <v>0</v>
      </c>
      <c r="DD613" s="2369"/>
      <c r="DE613" s="2369"/>
      <c r="DF613" s="2369"/>
      <c r="DG613" s="2369"/>
      <c r="DH613" s="2369">
        <f t="shared" si="13"/>
        <v>0</v>
      </c>
      <c r="DI613" s="2369"/>
      <c r="DJ613" s="2369"/>
      <c r="DK613" s="2369"/>
      <c r="DL613" s="2369"/>
      <c r="DM613" s="2369">
        <f t="shared" si="14"/>
        <v>0</v>
      </c>
      <c r="DN613" s="2369"/>
      <c r="DO613" s="2369"/>
      <c r="DP613" s="2369"/>
      <c r="DQ613" s="2369"/>
      <c r="DR613" s="2369">
        <f t="shared" si="15"/>
        <v>0</v>
      </c>
      <c r="DS613" s="2369"/>
      <c r="DT613" s="2369"/>
      <c r="DU613" s="2369"/>
      <c r="DV613" s="2369"/>
      <c r="DX613" s="2011" t="str">
        <f t="shared" si="16"/>
        <v xml:space="preserve"> </v>
      </c>
      <c r="DY613" s="2169"/>
      <c r="DZ613" s="2169"/>
      <c r="EA613" s="2169"/>
      <c r="EB613" s="2012"/>
      <c r="EC613" s="2011">
        <f t="shared" si="17"/>
        <v>1452</v>
      </c>
      <c r="ED613" s="2169"/>
      <c r="EE613" s="2169"/>
      <c r="EF613" s="2169"/>
      <c r="EG613" s="2012"/>
      <c r="EH613" s="2011" t="str">
        <f t="shared" si="18"/>
        <v xml:space="preserve"> </v>
      </c>
      <c r="EI613" s="2169"/>
      <c r="EJ613" s="2169"/>
      <c r="EK613" s="2169"/>
      <c r="EL613" s="2012"/>
      <c r="EM613" s="2011" t="str">
        <f t="shared" si="19"/>
        <v xml:space="preserve"> </v>
      </c>
      <c r="EN613" s="2169"/>
      <c r="EO613" s="2169"/>
      <c r="EP613" s="2169"/>
      <c r="EQ613" s="2012"/>
      <c r="ER613" s="2011" t="str">
        <f t="shared" si="20"/>
        <v xml:space="preserve"> </v>
      </c>
      <c r="ES613" s="2169"/>
      <c r="ET613" s="2169"/>
      <c r="EU613" s="2169"/>
      <c r="EV613" s="2012"/>
      <c r="EW613" s="2011" t="str">
        <f t="shared" si="21"/>
        <v xml:space="preserve"> </v>
      </c>
      <c r="EX613" s="2169"/>
      <c r="EY613" s="2169"/>
      <c r="EZ613" s="2169"/>
      <c r="FA613" s="2012"/>
    </row>
    <row r="614" spans="1:157" ht="13.2">
      <c r="A614" s="35"/>
      <c r="B614" s="12" t="s">
        <v>17</v>
      </c>
      <c r="G614" s="2021"/>
      <c r="H614" s="2021"/>
      <c r="I614" s="2021"/>
      <c r="J614" s="2021"/>
      <c r="K614" s="2021"/>
      <c r="L614" s="2021"/>
      <c r="M614" s="2021"/>
      <c r="N614" s="2021"/>
      <c r="O614" s="2021"/>
      <c r="P614" s="2021"/>
      <c r="Q614" s="2021"/>
      <c r="R614" s="2021"/>
      <c r="T614" s="35"/>
      <c r="U614" s="12" t="s">
        <v>17</v>
      </c>
      <c r="Z614" s="2059"/>
      <c r="AA614" s="2059"/>
      <c r="AB614" s="2059"/>
      <c r="AC614" s="2059"/>
      <c r="AD614" s="2059"/>
      <c r="AE614" s="2059"/>
      <c r="AF614" s="2059"/>
      <c r="AG614" s="2059"/>
      <c r="AH614" s="2059"/>
      <c r="AI614" s="2059"/>
      <c r="AJ614" s="2059"/>
      <c r="AK614" s="2059"/>
      <c r="BA614" s="7" t="s">
        <v>31</v>
      </c>
      <c r="BB614" s="58"/>
      <c r="BC614" s="58"/>
      <c r="BD614" s="58"/>
      <c r="BE614" s="2011">
        <f t="shared" si="0"/>
        <v>0</v>
      </c>
      <c r="BF614" s="2012"/>
      <c r="BG614" s="2008">
        <f t="shared" si="1"/>
        <v>0</v>
      </c>
      <c r="BH614" s="2010"/>
      <c r="BI614" s="2011">
        <f t="shared" si="2"/>
        <v>1</v>
      </c>
      <c r="BJ614" s="2012"/>
      <c r="BK614" s="2008">
        <f t="shared" si="3"/>
        <v>6</v>
      </c>
      <c r="BL614" s="2010"/>
      <c r="BM614" s="58"/>
      <c r="BN614" s="2002">
        <f t="shared" si="4"/>
        <v>0</v>
      </c>
      <c r="BO614" s="2003"/>
      <c r="BP614" s="2003"/>
      <c r="BQ614" s="2003"/>
      <c r="BR614" s="2004"/>
      <c r="BS614" s="2001">
        <f t="shared" si="5"/>
        <v>0</v>
      </c>
      <c r="BT614" s="2001"/>
      <c r="BU614" s="2001"/>
      <c r="BV614" s="2001"/>
      <c r="BW614" s="2001"/>
      <c r="BX614" s="2001">
        <f t="shared" si="6"/>
        <v>6</v>
      </c>
      <c r="BY614" s="2001"/>
      <c r="BZ614" s="2001"/>
      <c r="CA614" s="2001"/>
      <c r="CB614" s="2001"/>
      <c r="CC614" s="2001">
        <f t="shared" si="7"/>
        <v>0</v>
      </c>
      <c r="CD614" s="2001"/>
      <c r="CE614" s="2001"/>
      <c r="CF614" s="2001"/>
      <c r="CG614" s="2001"/>
      <c r="CH614" s="2001">
        <f t="shared" si="8"/>
        <v>0</v>
      </c>
      <c r="CI614" s="2001"/>
      <c r="CJ614" s="2001"/>
      <c r="CK614" s="2001"/>
      <c r="CL614" s="2001"/>
      <c r="CM614" s="2001">
        <f t="shared" si="9"/>
        <v>0</v>
      </c>
      <c r="CN614" s="2001"/>
      <c r="CO614" s="2001"/>
      <c r="CP614" s="2001"/>
      <c r="CQ614" s="2001"/>
      <c r="CR614" s="265"/>
      <c r="CS614" s="2369">
        <f t="shared" si="10"/>
        <v>0</v>
      </c>
      <c r="CT614" s="2369"/>
      <c r="CU614" s="2369"/>
      <c r="CV614" s="2369"/>
      <c r="CW614" s="2369"/>
      <c r="CX614" s="2369">
        <f t="shared" si="11"/>
        <v>0</v>
      </c>
      <c r="CY614" s="2369"/>
      <c r="CZ614" s="2369"/>
      <c r="DA614" s="2369"/>
      <c r="DB614" s="2369"/>
      <c r="DC614" s="2369">
        <f t="shared" si="12"/>
        <v>6</v>
      </c>
      <c r="DD614" s="2369"/>
      <c r="DE614" s="2369"/>
      <c r="DF614" s="2369"/>
      <c r="DG614" s="2369"/>
      <c r="DH614" s="2369">
        <f t="shared" si="13"/>
        <v>0</v>
      </c>
      <c r="DI614" s="2369"/>
      <c r="DJ614" s="2369"/>
      <c r="DK614" s="2369"/>
      <c r="DL614" s="2369"/>
      <c r="DM614" s="2369">
        <f t="shared" si="14"/>
        <v>0</v>
      </c>
      <c r="DN614" s="2369"/>
      <c r="DO614" s="2369"/>
      <c r="DP614" s="2369"/>
      <c r="DQ614" s="2369"/>
      <c r="DR614" s="2369">
        <f t="shared" si="15"/>
        <v>0</v>
      </c>
      <c r="DS614" s="2369"/>
      <c r="DT614" s="2369"/>
      <c r="DU614" s="2369"/>
      <c r="DV614" s="2369"/>
      <c r="DX614" s="2011" t="str">
        <f t="shared" si="16"/>
        <v xml:space="preserve"> </v>
      </c>
      <c r="DY614" s="2169"/>
      <c r="DZ614" s="2169"/>
      <c r="EA614" s="2169"/>
      <c r="EB614" s="2012"/>
      <c r="EC614" s="2011" t="str">
        <f t="shared" si="17"/>
        <v xml:space="preserve"> </v>
      </c>
      <c r="ED614" s="2169"/>
      <c r="EE614" s="2169"/>
      <c r="EF614" s="2169"/>
      <c r="EG614" s="2012"/>
      <c r="EH614" s="2011">
        <f t="shared" si="18"/>
        <v>712</v>
      </c>
      <c r="EI614" s="2169"/>
      <c r="EJ614" s="2169"/>
      <c r="EK614" s="2169"/>
      <c r="EL614" s="2012"/>
      <c r="EM614" s="2011" t="str">
        <f t="shared" si="19"/>
        <v xml:space="preserve"> </v>
      </c>
      <c r="EN614" s="2169"/>
      <c r="EO614" s="2169"/>
      <c r="EP614" s="2169"/>
      <c r="EQ614" s="2012"/>
      <c r="ER614" s="2011" t="str">
        <f t="shared" si="20"/>
        <v xml:space="preserve"> </v>
      </c>
      <c r="ES614" s="2169"/>
      <c r="ET614" s="2169"/>
      <c r="EU614" s="2169"/>
      <c r="EV614" s="2012"/>
      <c r="EW614" s="2011" t="str">
        <f t="shared" si="21"/>
        <v xml:space="preserve"> </v>
      </c>
      <c r="EX614" s="2169"/>
      <c r="EY614" s="2169"/>
      <c r="EZ614" s="2169"/>
      <c r="FA614" s="2012"/>
    </row>
    <row r="615" spans="1:157" ht="13.2">
      <c r="A615" s="35"/>
      <c r="B615" s="12" t="s">
        <v>327</v>
      </c>
      <c r="G615" s="2094"/>
      <c r="H615" s="2094"/>
      <c r="I615" s="2094"/>
      <c r="J615" s="2094"/>
      <c r="K615" s="2094"/>
      <c r="L615" s="2094"/>
      <c r="O615" s="137" t="s">
        <v>212</v>
      </c>
      <c r="P615" s="2134"/>
      <c r="Q615" s="2134"/>
      <c r="R615" s="2134"/>
      <c r="T615" s="35"/>
      <c r="U615" s="12" t="s">
        <v>327</v>
      </c>
      <c r="Z615" s="2094"/>
      <c r="AA615" s="2094"/>
      <c r="AB615" s="2094"/>
      <c r="AC615" s="2094"/>
      <c r="AD615" s="2094"/>
      <c r="AE615" s="2094"/>
      <c r="AH615" s="137" t="s">
        <v>212</v>
      </c>
      <c r="AI615" s="2134"/>
      <c r="AJ615" s="2134"/>
      <c r="AK615" s="2134"/>
      <c r="AZ615" s="58"/>
      <c r="BA615" s="58"/>
      <c r="BB615" s="58"/>
      <c r="BC615" s="58"/>
      <c r="BD615" s="58"/>
      <c r="BE615" s="2011">
        <f t="shared" si="0"/>
        <v>1</v>
      </c>
      <c r="BF615" s="2012"/>
      <c r="BG615" s="2008">
        <f t="shared" si="1"/>
        <v>16</v>
      </c>
      <c r="BH615" s="2010"/>
      <c r="BI615" s="2011">
        <f t="shared" si="2"/>
        <v>0</v>
      </c>
      <c r="BJ615" s="2012"/>
      <c r="BK615" s="2008">
        <f t="shared" si="3"/>
        <v>0</v>
      </c>
      <c r="BL615" s="2010"/>
      <c r="BM615" s="58"/>
      <c r="BN615" s="2002">
        <f t="shared" si="4"/>
        <v>0</v>
      </c>
      <c r="BO615" s="2003"/>
      <c r="BP615" s="2003"/>
      <c r="BQ615" s="2003"/>
      <c r="BR615" s="2004"/>
      <c r="BS615" s="2001">
        <f t="shared" si="5"/>
        <v>0</v>
      </c>
      <c r="BT615" s="2001"/>
      <c r="BU615" s="2001"/>
      <c r="BV615" s="2001"/>
      <c r="BW615" s="2001"/>
      <c r="BX615" s="2001">
        <f t="shared" si="6"/>
        <v>16</v>
      </c>
      <c r="BY615" s="2001"/>
      <c r="BZ615" s="2001"/>
      <c r="CA615" s="2001"/>
      <c r="CB615" s="2001"/>
      <c r="CC615" s="2001">
        <f t="shared" si="7"/>
        <v>0</v>
      </c>
      <c r="CD615" s="2001"/>
      <c r="CE615" s="2001"/>
      <c r="CF615" s="2001"/>
      <c r="CG615" s="2001"/>
      <c r="CH615" s="2001">
        <f t="shared" si="8"/>
        <v>0</v>
      </c>
      <c r="CI615" s="2001"/>
      <c r="CJ615" s="2001"/>
      <c r="CK615" s="2001"/>
      <c r="CL615" s="2001"/>
      <c r="CM615" s="2001">
        <f t="shared" si="9"/>
        <v>0</v>
      </c>
      <c r="CN615" s="2001"/>
      <c r="CO615" s="2001"/>
      <c r="CP615" s="2001"/>
      <c r="CQ615" s="2001"/>
      <c r="CR615" s="265"/>
      <c r="CS615" s="2369">
        <f t="shared" si="10"/>
        <v>0</v>
      </c>
      <c r="CT615" s="2369"/>
      <c r="CU615" s="2369"/>
      <c r="CV615" s="2369"/>
      <c r="CW615" s="2369"/>
      <c r="CX615" s="2369">
        <f t="shared" si="11"/>
        <v>0</v>
      </c>
      <c r="CY615" s="2369"/>
      <c r="CZ615" s="2369"/>
      <c r="DA615" s="2369"/>
      <c r="DB615" s="2369"/>
      <c r="DC615" s="2369">
        <f t="shared" si="12"/>
        <v>0</v>
      </c>
      <c r="DD615" s="2369"/>
      <c r="DE615" s="2369"/>
      <c r="DF615" s="2369"/>
      <c r="DG615" s="2369"/>
      <c r="DH615" s="2369">
        <f t="shared" si="13"/>
        <v>0</v>
      </c>
      <c r="DI615" s="2369"/>
      <c r="DJ615" s="2369"/>
      <c r="DK615" s="2369"/>
      <c r="DL615" s="2369"/>
      <c r="DM615" s="2369">
        <f t="shared" si="14"/>
        <v>0</v>
      </c>
      <c r="DN615" s="2369"/>
      <c r="DO615" s="2369"/>
      <c r="DP615" s="2369"/>
      <c r="DQ615" s="2369"/>
      <c r="DR615" s="2369">
        <f t="shared" si="15"/>
        <v>0</v>
      </c>
      <c r="DS615" s="2369"/>
      <c r="DT615" s="2369"/>
      <c r="DU615" s="2369"/>
      <c r="DV615" s="2369"/>
      <c r="DX615" s="2011" t="str">
        <f t="shared" si="16"/>
        <v xml:space="preserve"> </v>
      </c>
      <c r="DY615" s="2169"/>
      <c r="DZ615" s="2169"/>
      <c r="EA615" s="2169"/>
      <c r="EB615" s="2012"/>
      <c r="EC615" s="2011" t="str">
        <f t="shared" si="17"/>
        <v xml:space="preserve"> </v>
      </c>
      <c r="ED615" s="2169"/>
      <c r="EE615" s="2169"/>
      <c r="EF615" s="2169"/>
      <c r="EG615" s="2012"/>
      <c r="EH615" s="2011">
        <f t="shared" si="18"/>
        <v>1223</v>
      </c>
      <c r="EI615" s="2169"/>
      <c r="EJ615" s="2169"/>
      <c r="EK615" s="2169"/>
      <c r="EL615" s="2012"/>
      <c r="EM615" s="2011" t="str">
        <f t="shared" si="19"/>
        <v xml:space="preserve"> </v>
      </c>
      <c r="EN615" s="2169"/>
      <c r="EO615" s="2169"/>
      <c r="EP615" s="2169"/>
      <c r="EQ615" s="2012"/>
      <c r="ER615" s="2011" t="str">
        <f t="shared" si="20"/>
        <v xml:space="preserve"> </v>
      </c>
      <c r="ES615" s="2169"/>
      <c r="ET615" s="2169"/>
      <c r="EU615" s="2169"/>
      <c r="EV615" s="2012"/>
      <c r="EW615" s="2011" t="str">
        <f t="shared" si="21"/>
        <v xml:space="preserve"> </v>
      </c>
      <c r="EX615" s="2169"/>
      <c r="EY615" s="2169"/>
      <c r="EZ615" s="2169"/>
      <c r="FA615" s="2012"/>
    </row>
    <row r="616" spans="1:157" ht="13.2">
      <c r="A616" s="35"/>
      <c r="B616" s="12" t="s">
        <v>18</v>
      </c>
      <c r="H616" s="2021"/>
      <c r="I616" s="2021"/>
      <c r="J616" s="2021"/>
      <c r="K616" s="2021"/>
      <c r="L616" s="2021"/>
      <c r="M616" s="2021"/>
      <c r="N616" s="2021"/>
      <c r="O616" s="2021"/>
      <c r="P616" s="2021"/>
      <c r="Q616" s="2021"/>
      <c r="R616" s="2021"/>
      <c r="T616" s="35"/>
      <c r="U616" s="12" t="s">
        <v>18</v>
      </c>
      <c r="AA616" s="2021"/>
      <c r="AB616" s="2021"/>
      <c r="AC616" s="2021"/>
      <c r="AD616" s="2021"/>
      <c r="AE616" s="2021"/>
      <c r="AF616" s="2021"/>
      <c r="AG616" s="2021"/>
      <c r="AH616" s="2021"/>
      <c r="AI616" s="2021"/>
      <c r="AJ616" s="2021"/>
      <c r="AK616" s="2021"/>
      <c r="AZ616" s="58"/>
      <c r="BA616" s="58"/>
      <c r="BB616" s="58"/>
      <c r="BC616" s="58"/>
      <c r="BD616" s="58"/>
      <c r="BE616" s="2011">
        <f t="shared" si="0"/>
        <v>0</v>
      </c>
      <c r="BF616" s="2012"/>
      <c r="BG616" s="2008">
        <f t="shared" si="1"/>
        <v>0</v>
      </c>
      <c r="BH616" s="2010"/>
      <c r="BI616" s="2011">
        <f t="shared" si="2"/>
        <v>0</v>
      </c>
      <c r="BJ616" s="2012"/>
      <c r="BK616" s="2008">
        <f t="shared" si="3"/>
        <v>0</v>
      </c>
      <c r="BL616" s="2010"/>
      <c r="BM616" s="58"/>
      <c r="BN616" s="2002">
        <f t="shared" si="4"/>
        <v>0</v>
      </c>
      <c r="BO616" s="2003"/>
      <c r="BP616" s="2003"/>
      <c r="BQ616" s="2003"/>
      <c r="BR616" s="2004"/>
      <c r="BS616" s="2001">
        <f t="shared" si="5"/>
        <v>0</v>
      </c>
      <c r="BT616" s="2001"/>
      <c r="BU616" s="2001"/>
      <c r="BV616" s="2001"/>
      <c r="BW616" s="2001"/>
      <c r="BX616" s="2001">
        <f t="shared" si="6"/>
        <v>16</v>
      </c>
      <c r="BY616" s="2001"/>
      <c r="BZ616" s="2001"/>
      <c r="CA616" s="2001"/>
      <c r="CB616" s="2001"/>
      <c r="CC616" s="2001">
        <f t="shared" si="7"/>
        <v>0</v>
      </c>
      <c r="CD616" s="2001"/>
      <c r="CE616" s="2001"/>
      <c r="CF616" s="2001"/>
      <c r="CG616" s="2001"/>
      <c r="CH616" s="2001">
        <f t="shared" si="8"/>
        <v>0</v>
      </c>
      <c r="CI616" s="2001"/>
      <c r="CJ616" s="2001"/>
      <c r="CK616" s="2001"/>
      <c r="CL616" s="2001"/>
      <c r="CM616" s="2001">
        <f t="shared" si="9"/>
        <v>0</v>
      </c>
      <c r="CN616" s="2001"/>
      <c r="CO616" s="2001"/>
      <c r="CP616" s="2001"/>
      <c r="CQ616" s="2001"/>
      <c r="CR616" s="265"/>
      <c r="CS616" s="2369">
        <f t="shared" si="10"/>
        <v>0</v>
      </c>
      <c r="CT616" s="2369"/>
      <c r="CU616" s="2369"/>
      <c r="CV616" s="2369"/>
      <c r="CW616" s="2369"/>
      <c r="CX616" s="2369">
        <f t="shared" si="11"/>
        <v>0</v>
      </c>
      <c r="CY616" s="2369"/>
      <c r="CZ616" s="2369"/>
      <c r="DA616" s="2369"/>
      <c r="DB616" s="2369"/>
      <c r="DC616" s="2369">
        <f t="shared" si="12"/>
        <v>0</v>
      </c>
      <c r="DD616" s="2369"/>
      <c r="DE616" s="2369"/>
      <c r="DF616" s="2369"/>
      <c r="DG616" s="2369"/>
      <c r="DH616" s="2369">
        <f t="shared" si="13"/>
        <v>0</v>
      </c>
      <c r="DI616" s="2369"/>
      <c r="DJ616" s="2369"/>
      <c r="DK616" s="2369"/>
      <c r="DL616" s="2369"/>
      <c r="DM616" s="2369">
        <f t="shared" si="14"/>
        <v>0</v>
      </c>
      <c r="DN616" s="2369"/>
      <c r="DO616" s="2369"/>
      <c r="DP616" s="2369"/>
      <c r="DQ616" s="2369"/>
      <c r="DR616" s="2369">
        <f t="shared" si="15"/>
        <v>0</v>
      </c>
      <c r="DS616" s="2369"/>
      <c r="DT616" s="2369"/>
      <c r="DU616" s="2369"/>
      <c r="DV616" s="2369"/>
      <c r="DX616" s="2011" t="str">
        <f t="shared" si="16"/>
        <v xml:space="preserve"> </v>
      </c>
      <c r="DY616" s="2169"/>
      <c r="DZ616" s="2169"/>
      <c r="EA616" s="2169"/>
      <c r="EB616" s="2012"/>
      <c r="EC616" s="2011" t="str">
        <f t="shared" si="17"/>
        <v xml:space="preserve"> </v>
      </c>
      <c r="ED616" s="2169"/>
      <c r="EE616" s="2169"/>
      <c r="EF616" s="2169"/>
      <c r="EG616" s="2012"/>
      <c r="EH616" s="2011">
        <f t="shared" si="18"/>
        <v>1479</v>
      </c>
      <c r="EI616" s="2169"/>
      <c r="EJ616" s="2169"/>
      <c r="EK616" s="2169"/>
      <c r="EL616" s="2012"/>
      <c r="EM616" s="2011" t="str">
        <f t="shared" si="19"/>
        <v xml:space="preserve"> </v>
      </c>
      <c r="EN616" s="2169"/>
      <c r="EO616" s="2169"/>
      <c r="EP616" s="2169"/>
      <c r="EQ616" s="2012"/>
      <c r="ER616" s="2011" t="str">
        <f t="shared" si="20"/>
        <v xml:space="preserve"> </v>
      </c>
      <c r="ES616" s="2169"/>
      <c r="ET616" s="2169"/>
      <c r="EU616" s="2169"/>
      <c r="EV616" s="2012"/>
      <c r="EW616" s="2011" t="str">
        <f t="shared" si="21"/>
        <v xml:space="preserve"> </v>
      </c>
      <c r="EX616" s="2169"/>
      <c r="EY616" s="2169"/>
      <c r="EZ616" s="2169"/>
      <c r="FA616" s="2012"/>
    </row>
    <row r="617" spans="1:157" ht="13.2">
      <c r="A617" s="35"/>
      <c r="B617" s="12" t="s">
        <v>20</v>
      </c>
      <c r="N617" s="2022" t="s">
        <v>707</v>
      </c>
      <c r="O617" s="2022"/>
      <c r="T617" s="35"/>
      <c r="U617" s="12" t="s">
        <v>20</v>
      </c>
      <c r="AG617" s="2022" t="s">
        <v>707</v>
      </c>
      <c r="AH617" s="2022"/>
      <c r="AZ617" s="58"/>
      <c r="BA617" s="58"/>
      <c r="BB617" s="58"/>
      <c r="BC617" s="58"/>
      <c r="BD617" s="58"/>
      <c r="BE617" s="2011">
        <f t="shared" si="0"/>
        <v>0</v>
      </c>
      <c r="BF617" s="2012"/>
      <c r="BG617" s="2008">
        <f t="shared" si="1"/>
        <v>0</v>
      </c>
      <c r="BH617" s="2010"/>
      <c r="BI617" s="2011">
        <f t="shared" si="2"/>
        <v>0</v>
      </c>
      <c r="BJ617" s="2012"/>
      <c r="BK617" s="2008">
        <f t="shared" si="3"/>
        <v>0</v>
      </c>
      <c r="BL617" s="2010"/>
      <c r="BM617" s="58"/>
      <c r="BN617" s="2002">
        <f t="shared" si="4"/>
        <v>0</v>
      </c>
      <c r="BO617" s="2003"/>
      <c r="BP617" s="2003"/>
      <c r="BQ617" s="2003"/>
      <c r="BR617" s="2004"/>
      <c r="BS617" s="2001">
        <f t="shared" si="5"/>
        <v>0</v>
      </c>
      <c r="BT617" s="2001"/>
      <c r="BU617" s="2001"/>
      <c r="BV617" s="2001"/>
      <c r="BW617" s="2001"/>
      <c r="BX617" s="2001">
        <f t="shared" si="6"/>
        <v>19</v>
      </c>
      <c r="BY617" s="2001"/>
      <c r="BZ617" s="2001"/>
      <c r="CA617" s="2001"/>
      <c r="CB617" s="2001"/>
      <c r="CC617" s="2001">
        <f t="shared" si="7"/>
        <v>0</v>
      </c>
      <c r="CD617" s="2001"/>
      <c r="CE617" s="2001"/>
      <c r="CF617" s="2001"/>
      <c r="CG617" s="2001"/>
      <c r="CH617" s="2001">
        <f t="shared" si="8"/>
        <v>0</v>
      </c>
      <c r="CI617" s="2001"/>
      <c r="CJ617" s="2001"/>
      <c r="CK617" s="2001"/>
      <c r="CL617" s="2001"/>
      <c r="CM617" s="2001">
        <f t="shared" si="9"/>
        <v>0</v>
      </c>
      <c r="CN617" s="2001"/>
      <c r="CO617" s="2001"/>
      <c r="CP617" s="2001"/>
      <c r="CQ617" s="2001"/>
      <c r="CR617" s="265"/>
      <c r="CS617" s="2369">
        <f t="shared" si="10"/>
        <v>0</v>
      </c>
      <c r="CT617" s="2369"/>
      <c r="CU617" s="2369"/>
      <c r="CV617" s="2369"/>
      <c r="CW617" s="2369"/>
      <c r="CX617" s="2369">
        <f t="shared" si="11"/>
        <v>0</v>
      </c>
      <c r="CY617" s="2369"/>
      <c r="CZ617" s="2369"/>
      <c r="DA617" s="2369"/>
      <c r="DB617" s="2369"/>
      <c r="DC617" s="2369">
        <f t="shared" si="12"/>
        <v>0</v>
      </c>
      <c r="DD617" s="2369"/>
      <c r="DE617" s="2369"/>
      <c r="DF617" s="2369"/>
      <c r="DG617" s="2369"/>
      <c r="DH617" s="2369">
        <f t="shared" si="13"/>
        <v>0</v>
      </c>
      <c r="DI617" s="2369"/>
      <c r="DJ617" s="2369"/>
      <c r="DK617" s="2369"/>
      <c r="DL617" s="2369"/>
      <c r="DM617" s="2369">
        <f t="shared" si="14"/>
        <v>0</v>
      </c>
      <c r="DN617" s="2369"/>
      <c r="DO617" s="2369"/>
      <c r="DP617" s="2369"/>
      <c r="DQ617" s="2369"/>
      <c r="DR617" s="2369">
        <f t="shared" si="15"/>
        <v>0</v>
      </c>
      <c r="DS617" s="2369"/>
      <c r="DT617" s="2369"/>
      <c r="DU617" s="2369"/>
      <c r="DV617" s="2369"/>
      <c r="DX617" s="2011" t="str">
        <f t="shared" si="16"/>
        <v xml:space="preserve"> </v>
      </c>
      <c r="DY617" s="2169"/>
      <c r="DZ617" s="2169"/>
      <c r="EA617" s="2169"/>
      <c r="EB617" s="2012"/>
      <c r="EC617" s="2011" t="str">
        <f t="shared" si="17"/>
        <v xml:space="preserve"> </v>
      </c>
      <c r="ED617" s="2169"/>
      <c r="EE617" s="2169"/>
      <c r="EF617" s="2169"/>
      <c r="EG617" s="2012"/>
      <c r="EH617" s="2011">
        <f t="shared" si="18"/>
        <v>1734</v>
      </c>
      <c r="EI617" s="2169"/>
      <c r="EJ617" s="2169"/>
      <c r="EK617" s="2169"/>
      <c r="EL617" s="2012"/>
      <c r="EM617" s="2011" t="str">
        <f t="shared" si="19"/>
        <v xml:space="preserve"> </v>
      </c>
      <c r="EN617" s="2169"/>
      <c r="EO617" s="2169"/>
      <c r="EP617" s="2169"/>
      <c r="EQ617" s="2012"/>
      <c r="ER617" s="2011" t="str">
        <f t="shared" si="20"/>
        <v xml:space="preserve"> </v>
      </c>
      <c r="ES617" s="2169"/>
      <c r="ET617" s="2169"/>
      <c r="EU617" s="2169"/>
      <c r="EV617" s="2012"/>
      <c r="EW617" s="2011" t="str">
        <f t="shared" si="21"/>
        <v xml:space="preserve"> </v>
      </c>
      <c r="EX617" s="2169"/>
      <c r="EY617" s="2169"/>
      <c r="EZ617" s="2169"/>
      <c r="FA617" s="2012"/>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0"/>
        <v>0</v>
      </c>
      <c r="BF618" s="2012"/>
      <c r="BG618" s="2008">
        <f t="shared" si="1"/>
        <v>0</v>
      </c>
      <c r="BH618" s="2010"/>
      <c r="BI618" s="2011">
        <f t="shared" si="2"/>
        <v>1</v>
      </c>
      <c r="BJ618" s="2012"/>
      <c r="BK618" s="2008">
        <f t="shared" si="3"/>
        <v>5</v>
      </c>
      <c r="BL618" s="2010"/>
      <c r="BM618" s="58"/>
      <c r="BN618" s="2002">
        <f t="shared" si="4"/>
        <v>0</v>
      </c>
      <c r="BO618" s="2003"/>
      <c r="BP618" s="2003"/>
      <c r="BQ618" s="2003"/>
      <c r="BR618" s="2004"/>
      <c r="BS618" s="2001">
        <f t="shared" si="5"/>
        <v>0</v>
      </c>
      <c r="BT618" s="2001"/>
      <c r="BU618" s="2001"/>
      <c r="BV618" s="2001"/>
      <c r="BW618" s="2001"/>
      <c r="BX618" s="2001">
        <f t="shared" si="6"/>
        <v>0</v>
      </c>
      <c r="BY618" s="2001"/>
      <c r="BZ618" s="2001"/>
      <c r="CA618" s="2001"/>
      <c r="CB618" s="2001"/>
      <c r="CC618" s="2001">
        <f t="shared" si="7"/>
        <v>5</v>
      </c>
      <c r="CD618" s="2001"/>
      <c r="CE618" s="2001"/>
      <c r="CF618" s="2001"/>
      <c r="CG618" s="2001"/>
      <c r="CH618" s="2001">
        <f t="shared" si="8"/>
        <v>0</v>
      </c>
      <c r="CI618" s="2001"/>
      <c r="CJ618" s="2001"/>
      <c r="CK618" s="2001"/>
      <c r="CL618" s="2001"/>
      <c r="CM618" s="2001">
        <f t="shared" si="9"/>
        <v>0</v>
      </c>
      <c r="CN618" s="2001"/>
      <c r="CO618" s="2001"/>
      <c r="CP618" s="2001"/>
      <c r="CQ618" s="2001"/>
      <c r="CR618" s="265"/>
      <c r="CS618" s="2369">
        <f t="shared" si="10"/>
        <v>0</v>
      </c>
      <c r="CT618" s="2369"/>
      <c r="CU618" s="2369"/>
      <c r="CV618" s="2369"/>
      <c r="CW618" s="2369"/>
      <c r="CX618" s="2369">
        <f t="shared" si="11"/>
        <v>0</v>
      </c>
      <c r="CY618" s="2369"/>
      <c r="CZ618" s="2369"/>
      <c r="DA618" s="2369"/>
      <c r="DB618" s="2369"/>
      <c r="DC618" s="2369">
        <f t="shared" si="12"/>
        <v>0</v>
      </c>
      <c r="DD618" s="2369"/>
      <c r="DE618" s="2369"/>
      <c r="DF618" s="2369"/>
      <c r="DG618" s="2369"/>
      <c r="DH618" s="2369">
        <f t="shared" si="13"/>
        <v>5</v>
      </c>
      <c r="DI618" s="2369"/>
      <c r="DJ618" s="2369"/>
      <c r="DK618" s="2369"/>
      <c r="DL618" s="2369"/>
      <c r="DM618" s="2369">
        <f t="shared" si="14"/>
        <v>0</v>
      </c>
      <c r="DN618" s="2369"/>
      <c r="DO618" s="2369"/>
      <c r="DP618" s="2369"/>
      <c r="DQ618" s="2369"/>
      <c r="DR618" s="2369">
        <f t="shared" si="15"/>
        <v>0</v>
      </c>
      <c r="DS618" s="2369"/>
      <c r="DT618" s="2369"/>
      <c r="DU618" s="2369"/>
      <c r="DV618" s="2369"/>
      <c r="DX618" s="2011" t="str">
        <f t="shared" si="16"/>
        <v xml:space="preserve"> </v>
      </c>
      <c r="DY618" s="2169"/>
      <c r="DZ618" s="2169"/>
      <c r="EA618" s="2169"/>
      <c r="EB618" s="2012"/>
      <c r="EC618" s="2011" t="str">
        <f t="shared" si="17"/>
        <v xml:space="preserve"> </v>
      </c>
      <c r="ED618" s="2169"/>
      <c r="EE618" s="2169"/>
      <c r="EF618" s="2169"/>
      <c r="EG618" s="2012"/>
      <c r="EH618" s="2011" t="str">
        <f t="shared" si="18"/>
        <v xml:space="preserve"> </v>
      </c>
      <c r="EI618" s="2169"/>
      <c r="EJ618" s="2169"/>
      <c r="EK618" s="2169"/>
      <c r="EL618" s="2012"/>
      <c r="EM618" s="2011">
        <f t="shared" si="19"/>
        <v>815</v>
      </c>
      <c r="EN618" s="2169"/>
      <c r="EO618" s="2169"/>
      <c r="EP618" s="2169"/>
      <c r="EQ618" s="2012"/>
      <c r="ER618" s="2011" t="str">
        <f t="shared" si="20"/>
        <v xml:space="preserve"> </v>
      </c>
      <c r="ES618" s="2169"/>
      <c r="ET618" s="2169"/>
      <c r="EU618" s="2169"/>
      <c r="EV618" s="2012"/>
      <c r="EW618" s="2011" t="str">
        <f t="shared" si="21"/>
        <v xml:space="preserve"> </v>
      </c>
      <c r="EX618" s="2169"/>
      <c r="EY618" s="2169"/>
      <c r="EZ618" s="2169"/>
      <c r="FA618" s="2012"/>
    </row>
    <row r="619" spans="1:157" s="7" customFormat="1" ht="13.2">
      <c r="A619" s="87" t="s">
        <v>374</v>
      </c>
      <c r="B619" s="12" t="s">
        <v>497</v>
      </c>
      <c r="C619" s="12"/>
      <c r="D619" s="12"/>
      <c r="E619" s="12"/>
      <c r="F619" s="12"/>
      <c r="G619" s="2030">
        <f>C574</f>
        <v>0</v>
      </c>
      <c r="H619" s="2030"/>
      <c r="I619" s="2030"/>
      <c r="J619" s="2030"/>
      <c r="K619" s="2030"/>
      <c r="L619" s="2030"/>
      <c r="M619" s="2030"/>
      <c r="N619" s="2030"/>
      <c r="O619" s="2030"/>
      <c r="P619" s="2030"/>
      <c r="Q619" s="2030"/>
      <c r="R619" s="2030"/>
      <c r="S619" s="12"/>
      <c r="T619" s="87" t="s">
        <v>375</v>
      </c>
      <c r="U619" s="12" t="s">
        <v>497</v>
      </c>
      <c r="V619" s="12"/>
      <c r="W619" s="12"/>
      <c r="X619" s="12"/>
      <c r="Y619" s="12"/>
      <c r="Z619" s="2030">
        <f>C575</f>
        <v>0</v>
      </c>
      <c r="AA619" s="2030"/>
      <c r="AB619" s="2030"/>
      <c r="AC619" s="2030"/>
      <c r="AD619" s="2030"/>
      <c r="AE619" s="2030"/>
      <c r="AF619" s="2030"/>
      <c r="AG619" s="2030"/>
      <c r="AH619" s="2030"/>
      <c r="AI619" s="2030"/>
      <c r="AJ619" s="2030"/>
      <c r="AK619" s="2030"/>
      <c r="AL619" s="12"/>
      <c r="AM619" s="39"/>
      <c r="AN619" s="39"/>
      <c r="AO619" s="39"/>
      <c r="AP619" s="39"/>
      <c r="AQ619" s="39"/>
      <c r="AR619" s="39"/>
      <c r="AS619" s="39"/>
      <c r="AT619" s="39"/>
      <c r="AU619" s="39"/>
      <c r="AV619" s="39"/>
      <c r="AW619" s="39"/>
      <c r="AX619" s="39"/>
      <c r="AY619" s="39"/>
      <c r="AZ619" s="58"/>
      <c r="BA619" s="58"/>
      <c r="BB619" s="58"/>
      <c r="BC619" s="58"/>
      <c r="BD619" s="58"/>
      <c r="BE619" s="2011">
        <f t="shared" si="0"/>
        <v>1</v>
      </c>
      <c r="BF619" s="2012"/>
      <c r="BG619" s="2008">
        <f t="shared" si="1"/>
        <v>11</v>
      </c>
      <c r="BH619" s="2010"/>
      <c r="BI619" s="2011">
        <f t="shared" si="2"/>
        <v>0</v>
      </c>
      <c r="BJ619" s="2012"/>
      <c r="BK619" s="2008">
        <f t="shared" si="3"/>
        <v>0</v>
      </c>
      <c r="BL619" s="2010"/>
      <c r="BM619" s="58"/>
      <c r="BN619" s="2002">
        <f t="shared" si="4"/>
        <v>0</v>
      </c>
      <c r="BO619" s="2003"/>
      <c r="BP619" s="2003"/>
      <c r="BQ619" s="2003"/>
      <c r="BR619" s="2004"/>
      <c r="BS619" s="2001">
        <f t="shared" si="5"/>
        <v>0</v>
      </c>
      <c r="BT619" s="2001"/>
      <c r="BU619" s="2001"/>
      <c r="BV619" s="2001"/>
      <c r="BW619" s="2001"/>
      <c r="BX619" s="2001">
        <f t="shared" si="6"/>
        <v>0</v>
      </c>
      <c r="BY619" s="2001"/>
      <c r="BZ619" s="2001"/>
      <c r="CA619" s="2001"/>
      <c r="CB619" s="2001"/>
      <c r="CC619" s="2001">
        <f t="shared" si="7"/>
        <v>11</v>
      </c>
      <c r="CD619" s="2001"/>
      <c r="CE619" s="2001"/>
      <c r="CF619" s="2001"/>
      <c r="CG619" s="2001"/>
      <c r="CH619" s="2001">
        <f t="shared" si="8"/>
        <v>0</v>
      </c>
      <c r="CI619" s="2001"/>
      <c r="CJ619" s="2001"/>
      <c r="CK619" s="2001"/>
      <c r="CL619" s="2001"/>
      <c r="CM619" s="2001">
        <f t="shared" si="9"/>
        <v>0</v>
      </c>
      <c r="CN619" s="2001"/>
      <c r="CO619" s="2001"/>
      <c r="CP619" s="2001"/>
      <c r="CQ619" s="2001"/>
      <c r="CR619" s="265"/>
      <c r="CS619" s="2369">
        <f t="shared" si="10"/>
        <v>0</v>
      </c>
      <c r="CT619" s="2369"/>
      <c r="CU619" s="2369"/>
      <c r="CV619" s="2369"/>
      <c r="CW619" s="2369"/>
      <c r="CX619" s="2369">
        <f t="shared" si="11"/>
        <v>0</v>
      </c>
      <c r="CY619" s="2369"/>
      <c r="CZ619" s="2369"/>
      <c r="DA619" s="2369"/>
      <c r="DB619" s="2369"/>
      <c r="DC619" s="2369">
        <f t="shared" si="12"/>
        <v>0</v>
      </c>
      <c r="DD619" s="2369"/>
      <c r="DE619" s="2369"/>
      <c r="DF619" s="2369"/>
      <c r="DG619" s="2369"/>
      <c r="DH619" s="2369">
        <f t="shared" si="13"/>
        <v>0</v>
      </c>
      <c r="DI619" s="2369"/>
      <c r="DJ619" s="2369"/>
      <c r="DK619" s="2369"/>
      <c r="DL619" s="2369"/>
      <c r="DM619" s="2369">
        <f t="shared" si="14"/>
        <v>0</v>
      </c>
      <c r="DN619" s="2369"/>
      <c r="DO619" s="2369"/>
      <c r="DP619" s="2369"/>
      <c r="DQ619" s="2369"/>
      <c r="DR619" s="2369">
        <f t="shared" si="15"/>
        <v>0</v>
      </c>
      <c r="DS619" s="2369"/>
      <c r="DT619" s="2369"/>
      <c r="DU619" s="2369"/>
      <c r="DV619" s="2369"/>
      <c r="DX619" s="2011" t="str">
        <f t="shared" si="16"/>
        <v xml:space="preserve"> </v>
      </c>
      <c r="DY619" s="2169"/>
      <c r="DZ619" s="2169"/>
      <c r="EA619" s="2169"/>
      <c r="EB619" s="2012"/>
      <c r="EC619" s="2011" t="str">
        <f t="shared" si="17"/>
        <v xml:space="preserve"> </v>
      </c>
      <c r="ED619" s="2169"/>
      <c r="EE619" s="2169"/>
      <c r="EF619" s="2169"/>
      <c r="EG619" s="2012"/>
      <c r="EH619" s="2011" t="str">
        <f t="shared" si="18"/>
        <v xml:space="preserve"> </v>
      </c>
      <c r="EI619" s="2169"/>
      <c r="EJ619" s="2169"/>
      <c r="EK619" s="2169"/>
      <c r="EL619" s="2012"/>
      <c r="EM619" s="2011">
        <f t="shared" si="19"/>
        <v>1405</v>
      </c>
      <c r="EN619" s="2169"/>
      <c r="EO619" s="2169"/>
      <c r="EP619" s="2169"/>
      <c r="EQ619" s="2012"/>
      <c r="ER619" s="2011" t="str">
        <f t="shared" si="20"/>
        <v xml:space="preserve"> </v>
      </c>
      <c r="ES619" s="2169"/>
      <c r="ET619" s="2169"/>
      <c r="EU619" s="2169"/>
      <c r="EV619" s="2012"/>
      <c r="EW619" s="2011" t="str">
        <f t="shared" si="21"/>
        <v xml:space="preserve"> </v>
      </c>
      <c r="EX619" s="2169"/>
      <c r="EY619" s="2169"/>
      <c r="EZ619" s="2169"/>
      <c r="FA619" s="2012"/>
    </row>
    <row r="620" spans="1:157" s="7" customFormat="1" ht="13.2">
      <c r="A620" s="12"/>
      <c r="B620" s="12" t="s">
        <v>90</v>
      </c>
      <c r="C620" s="12"/>
      <c r="D620" s="12"/>
      <c r="E620" s="12"/>
      <c r="F620" s="12"/>
      <c r="G620" s="2021"/>
      <c r="H620" s="2021"/>
      <c r="I620" s="2021"/>
      <c r="J620" s="2021"/>
      <c r="K620" s="2021"/>
      <c r="L620" s="2021"/>
      <c r="M620" s="2021"/>
      <c r="N620" s="2021"/>
      <c r="O620" s="2021"/>
      <c r="P620" s="2021"/>
      <c r="Q620" s="2021"/>
      <c r="R620" s="2021"/>
      <c r="S620" s="12"/>
      <c r="T620" s="12"/>
      <c r="U620" s="12" t="s">
        <v>90</v>
      </c>
      <c r="V620" s="12"/>
      <c r="W620" s="12"/>
      <c r="X620" s="12"/>
      <c r="Y620" s="12"/>
      <c r="Z620" s="2021"/>
      <c r="AA620" s="2021"/>
      <c r="AB620" s="2021"/>
      <c r="AC620" s="2021"/>
      <c r="AD620" s="2021"/>
      <c r="AE620" s="2021"/>
      <c r="AF620" s="2021"/>
      <c r="AG620" s="2021"/>
      <c r="AH620" s="2021"/>
      <c r="AI620" s="2021"/>
      <c r="AJ620" s="2021"/>
      <c r="AK620" s="2021"/>
      <c r="AL620" s="12"/>
      <c r="AM620" s="39"/>
      <c r="AN620" s="39"/>
      <c r="AO620" s="39"/>
      <c r="AP620" s="39"/>
      <c r="AQ620" s="39"/>
      <c r="AR620" s="39"/>
      <c r="AS620" s="39"/>
      <c r="AT620" s="39"/>
      <c r="AU620" s="39"/>
      <c r="AV620" s="39"/>
      <c r="AW620" s="39"/>
      <c r="AX620" s="39"/>
      <c r="AY620" s="39"/>
      <c r="AZ620" s="58"/>
      <c r="BA620" s="58"/>
      <c r="BB620" s="58"/>
      <c r="BC620" s="58"/>
      <c r="BD620" s="58"/>
      <c r="BE620" s="2011">
        <f t="shared" si="0"/>
        <v>0</v>
      </c>
      <c r="BF620" s="2012"/>
      <c r="BG620" s="2008">
        <f t="shared" si="1"/>
        <v>0</v>
      </c>
      <c r="BH620" s="2010"/>
      <c r="BI620" s="2011">
        <f t="shared" si="2"/>
        <v>0</v>
      </c>
      <c r="BJ620" s="2012"/>
      <c r="BK620" s="2008">
        <f t="shared" si="3"/>
        <v>0</v>
      </c>
      <c r="BL620" s="2010"/>
      <c r="BM620" s="58"/>
      <c r="BN620" s="2002">
        <f t="shared" si="4"/>
        <v>0</v>
      </c>
      <c r="BO620" s="2003"/>
      <c r="BP620" s="2003"/>
      <c r="BQ620" s="2003"/>
      <c r="BR620" s="2004"/>
      <c r="BS620" s="2001">
        <f t="shared" si="5"/>
        <v>0</v>
      </c>
      <c r="BT620" s="2001"/>
      <c r="BU620" s="2001"/>
      <c r="BV620" s="2001"/>
      <c r="BW620" s="2001"/>
      <c r="BX620" s="2001">
        <f t="shared" si="6"/>
        <v>0</v>
      </c>
      <c r="BY620" s="2001"/>
      <c r="BZ620" s="2001"/>
      <c r="CA620" s="2001"/>
      <c r="CB620" s="2001"/>
      <c r="CC620" s="2001">
        <f t="shared" si="7"/>
        <v>10</v>
      </c>
      <c r="CD620" s="2001"/>
      <c r="CE620" s="2001"/>
      <c r="CF620" s="2001"/>
      <c r="CG620" s="2001"/>
      <c r="CH620" s="2001">
        <f t="shared" si="8"/>
        <v>0</v>
      </c>
      <c r="CI620" s="2001"/>
      <c r="CJ620" s="2001"/>
      <c r="CK620" s="2001"/>
      <c r="CL620" s="2001"/>
      <c r="CM620" s="2001">
        <f t="shared" si="9"/>
        <v>0</v>
      </c>
      <c r="CN620" s="2001"/>
      <c r="CO620" s="2001"/>
      <c r="CP620" s="2001"/>
      <c r="CQ620" s="2001"/>
      <c r="CR620" s="265"/>
      <c r="CS620" s="2369">
        <f t="shared" si="10"/>
        <v>0</v>
      </c>
      <c r="CT620" s="2369"/>
      <c r="CU620" s="2369"/>
      <c r="CV620" s="2369"/>
      <c r="CW620" s="2369"/>
      <c r="CX620" s="2369">
        <f t="shared" si="11"/>
        <v>0</v>
      </c>
      <c r="CY620" s="2369"/>
      <c r="CZ620" s="2369"/>
      <c r="DA620" s="2369"/>
      <c r="DB620" s="2369"/>
      <c r="DC620" s="2369">
        <f t="shared" si="12"/>
        <v>0</v>
      </c>
      <c r="DD620" s="2369"/>
      <c r="DE620" s="2369"/>
      <c r="DF620" s="2369"/>
      <c r="DG620" s="2369"/>
      <c r="DH620" s="2369">
        <f t="shared" si="13"/>
        <v>0</v>
      </c>
      <c r="DI620" s="2369"/>
      <c r="DJ620" s="2369"/>
      <c r="DK620" s="2369"/>
      <c r="DL620" s="2369"/>
      <c r="DM620" s="2369">
        <f t="shared" si="14"/>
        <v>0</v>
      </c>
      <c r="DN620" s="2369"/>
      <c r="DO620" s="2369"/>
      <c r="DP620" s="2369"/>
      <c r="DQ620" s="2369"/>
      <c r="DR620" s="2369">
        <f t="shared" si="15"/>
        <v>0</v>
      </c>
      <c r="DS620" s="2369"/>
      <c r="DT620" s="2369"/>
      <c r="DU620" s="2369"/>
      <c r="DV620" s="2369"/>
      <c r="DX620" s="2011" t="str">
        <f t="shared" si="16"/>
        <v xml:space="preserve"> </v>
      </c>
      <c r="DY620" s="2169"/>
      <c r="DZ620" s="2169"/>
      <c r="EA620" s="2169"/>
      <c r="EB620" s="2012"/>
      <c r="EC620" s="2011" t="str">
        <f t="shared" si="17"/>
        <v xml:space="preserve"> </v>
      </c>
      <c r="ED620" s="2169"/>
      <c r="EE620" s="2169"/>
      <c r="EF620" s="2169"/>
      <c r="EG620" s="2012"/>
      <c r="EH620" s="2011" t="str">
        <f t="shared" si="18"/>
        <v xml:space="preserve"> </v>
      </c>
      <c r="EI620" s="2169"/>
      <c r="EJ620" s="2169"/>
      <c r="EK620" s="2169"/>
      <c r="EL620" s="2012"/>
      <c r="EM620" s="2011">
        <f t="shared" si="19"/>
        <v>1700</v>
      </c>
      <c r="EN620" s="2169"/>
      <c r="EO620" s="2169"/>
      <c r="EP620" s="2169"/>
      <c r="EQ620" s="2012"/>
      <c r="ER620" s="2011" t="str">
        <f t="shared" si="20"/>
        <v xml:space="preserve"> </v>
      </c>
      <c r="ES620" s="2169"/>
      <c r="ET620" s="2169"/>
      <c r="EU620" s="2169"/>
      <c r="EV620" s="2012"/>
      <c r="EW620" s="2011" t="str">
        <f t="shared" si="21"/>
        <v xml:space="preserve"> </v>
      </c>
      <c r="EX620" s="2169"/>
      <c r="EY620" s="2169"/>
      <c r="EZ620" s="2169"/>
      <c r="FA620" s="2012"/>
    </row>
    <row r="621" spans="1:157" ht="13.2">
      <c r="B621" s="12" t="s">
        <v>616</v>
      </c>
      <c r="G621" s="2021"/>
      <c r="H621" s="2021"/>
      <c r="I621" s="2021"/>
      <c r="J621" s="2021"/>
      <c r="K621" s="2021"/>
      <c r="L621" s="2021"/>
      <c r="M621" s="2021"/>
      <c r="N621" s="2021"/>
      <c r="O621" s="2021"/>
      <c r="P621" s="2021"/>
      <c r="Q621" s="2021"/>
      <c r="R621" s="2021"/>
      <c r="U621" s="12" t="s">
        <v>616</v>
      </c>
      <c r="Z621" s="2059"/>
      <c r="AA621" s="2059"/>
      <c r="AB621" s="2059"/>
      <c r="AC621" s="2059"/>
      <c r="AD621" s="2059"/>
      <c r="AE621" s="2059"/>
      <c r="AF621" s="2059"/>
      <c r="AG621" s="2059"/>
      <c r="AH621" s="2059"/>
      <c r="AI621" s="2059"/>
      <c r="AJ621" s="2059"/>
      <c r="AK621" s="2059"/>
      <c r="AZ621" s="58"/>
      <c r="BA621" s="58"/>
      <c r="BB621" s="58"/>
      <c r="BC621" s="58"/>
      <c r="BD621" s="58"/>
      <c r="BE621" s="2011">
        <f t="shared" si="0"/>
        <v>0</v>
      </c>
      <c r="BF621" s="2012"/>
      <c r="BG621" s="2008">
        <f t="shared" si="1"/>
        <v>0</v>
      </c>
      <c r="BH621" s="2010"/>
      <c r="BI621" s="2011">
        <f t="shared" si="2"/>
        <v>0</v>
      </c>
      <c r="BJ621" s="2012"/>
      <c r="BK621" s="2008">
        <f t="shared" si="3"/>
        <v>0</v>
      </c>
      <c r="BL621" s="2010"/>
      <c r="BM621" s="58"/>
      <c r="BN621" s="2002">
        <f t="shared" si="4"/>
        <v>0</v>
      </c>
      <c r="BO621" s="2003"/>
      <c r="BP621" s="2003"/>
      <c r="BQ621" s="2003"/>
      <c r="BR621" s="2004"/>
      <c r="BS621" s="2001">
        <f t="shared" si="5"/>
        <v>0</v>
      </c>
      <c r="BT621" s="2001"/>
      <c r="BU621" s="2001"/>
      <c r="BV621" s="2001"/>
      <c r="BW621" s="2001"/>
      <c r="BX621" s="2001">
        <f t="shared" si="6"/>
        <v>0</v>
      </c>
      <c r="BY621" s="2001"/>
      <c r="BZ621" s="2001"/>
      <c r="CA621" s="2001"/>
      <c r="CB621" s="2001"/>
      <c r="CC621" s="2001">
        <f t="shared" si="7"/>
        <v>16</v>
      </c>
      <c r="CD621" s="2001"/>
      <c r="CE621" s="2001"/>
      <c r="CF621" s="2001"/>
      <c r="CG621" s="2001"/>
      <c r="CH621" s="2001">
        <f t="shared" si="8"/>
        <v>0</v>
      </c>
      <c r="CI621" s="2001"/>
      <c r="CJ621" s="2001"/>
      <c r="CK621" s="2001"/>
      <c r="CL621" s="2001"/>
      <c r="CM621" s="2001">
        <f t="shared" si="9"/>
        <v>0</v>
      </c>
      <c r="CN621" s="2001"/>
      <c r="CO621" s="2001"/>
      <c r="CP621" s="2001"/>
      <c r="CQ621" s="2001"/>
      <c r="CR621" s="265"/>
      <c r="CS621" s="2369">
        <f t="shared" si="10"/>
        <v>0</v>
      </c>
      <c r="CT621" s="2369"/>
      <c r="CU621" s="2369"/>
      <c r="CV621" s="2369"/>
      <c r="CW621" s="2369"/>
      <c r="CX621" s="2369">
        <f t="shared" si="11"/>
        <v>0</v>
      </c>
      <c r="CY621" s="2369"/>
      <c r="CZ621" s="2369"/>
      <c r="DA621" s="2369"/>
      <c r="DB621" s="2369"/>
      <c r="DC621" s="2369">
        <f t="shared" si="12"/>
        <v>0</v>
      </c>
      <c r="DD621" s="2369"/>
      <c r="DE621" s="2369"/>
      <c r="DF621" s="2369"/>
      <c r="DG621" s="2369"/>
      <c r="DH621" s="2369">
        <f t="shared" si="13"/>
        <v>0</v>
      </c>
      <c r="DI621" s="2369"/>
      <c r="DJ621" s="2369"/>
      <c r="DK621" s="2369"/>
      <c r="DL621" s="2369"/>
      <c r="DM621" s="2369">
        <f t="shared" si="14"/>
        <v>0</v>
      </c>
      <c r="DN621" s="2369"/>
      <c r="DO621" s="2369"/>
      <c r="DP621" s="2369"/>
      <c r="DQ621" s="2369"/>
      <c r="DR621" s="2369">
        <f t="shared" si="15"/>
        <v>0</v>
      </c>
      <c r="DS621" s="2369"/>
      <c r="DT621" s="2369"/>
      <c r="DU621" s="2369"/>
      <c r="DV621" s="2369"/>
      <c r="DX621" s="2011" t="str">
        <f t="shared" si="16"/>
        <v xml:space="preserve"> </v>
      </c>
      <c r="DY621" s="2169"/>
      <c r="DZ621" s="2169"/>
      <c r="EA621" s="2169"/>
      <c r="EB621" s="2012"/>
      <c r="EC621" s="2011" t="str">
        <f t="shared" si="17"/>
        <v xml:space="preserve"> </v>
      </c>
      <c r="ED621" s="2169"/>
      <c r="EE621" s="2169"/>
      <c r="EF621" s="2169"/>
      <c r="EG621" s="2012"/>
      <c r="EH621" s="2011" t="str">
        <f t="shared" si="18"/>
        <v xml:space="preserve"> </v>
      </c>
      <c r="EI621" s="2169"/>
      <c r="EJ621" s="2169"/>
      <c r="EK621" s="2169"/>
      <c r="EL621" s="2012"/>
      <c r="EM621" s="2011">
        <f t="shared" si="19"/>
        <v>1995</v>
      </c>
      <c r="EN621" s="2169"/>
      <c r="EO621" s="2169"/>
      <c r="EP621" s="2169"/>
      <c r="EQ621" s="2012"/>
      <c r="ER621" s="2011" t="str">
        <f t="shared" si="20"/>
        <v xml:space="preserve"> </v>
      </c>
      <c r="ES621" s="2169"/>
      <c r="ET621" s="2169"/>
      <c r="EU621" s="2169"/>
      <c r="EV621" s="2012"/>
      <c r="EW621" s="2011" t="str">
        <f t="shared" si="21"/>
        <v xml:space="preserve"> </v>
      </c>
      <c r="EX621" s="2169"/>
      <c r="EY621" s="2169"/>
      <c r="EZ621" s="2169"/>
      <c r="FA621" s="2012"/>
    </row>
    <row r="622" spans="1:157" ht="13.2">
      <c r="B622" s="12" t="s">
        <v>17</v>
      </c>
      <c r="G622" s="2021"/>
      <c r="H622" s="2021"/>
      <c r="I622" s="2021"/>
      <c r="J622" s="2021"/>
      <c r="K622" s="2021"/>
      <c r="L622" s="2021"/>
      <c r="M622" s="2021"/>
      <c r="N622" s="2021"/>
      <c r="O622" s="2021"/>
      <c r="P622" s="2021"/>
      <c r="Q622" s="2021"/>
      <c r="R622" s="2021"/>
      <c r="U622" s="12" t="s">
        <v>17</v>
      </c>
      <c r="Z622" s="2059"/>
      <c r="AA622" s="2059"/>
      <c r="AB622" s="2059"/>
      <c r="AC622" s="2059"/>
      <c r="AD622" s="2059"/>
      <c r="AE622" s="2059"/>
      <c r="AF622" s="2059"/>
      <c r="AG622" s="2059"/>
      <c r="AH622" s="2059"/>
      <c r="AI622" s="2059"/>
      <c r="AJ622" s="2059"/>
      <c r="AK622" s="2059"/>
      <c r="AZ622" s="58"/>
      <c r="BA622" s="58"/>
      <c r="BB622" s="58"/>
      <c r="BC622" s="58"/>
      <c r="BD622" s="58"/>
      <c r="BE622" s="2011">
        <f t="shared" si="0"/>
        <v>0</v>
      </c>
      <c r="BF622" s="2012"/>
      <c r="BG622" s="2008">
        <f t="shared" si="1"/>
        <v>0</v>
      </c>
      <c r="BH622" s="2010"/>
      <c r="BI622" s="2011">
        <f t="shared" si="2"/>
        <v>0</v>
      </c>
      <c r="BJ622" s="2012"/>
      <c r="BK622" s="2008">
        <f t="shared" si="3"/>
        <v>0</v>
      </c>
      <c r="BL622" s="2010"/>
      <c r="BM622" s="58"/>
      <c r="BN622" s="2002">
        <f t="shared" si="4"/>
        <v>0</v>
      </c>
      <c r="BO622" s="2003"/>
      <c r="BP622" s="2003"/>
      <c r="BQ622" s="2003"/>
      <c r="BR622" s="2004"/>
      <c r="BS622" s="2001">
        <f t="shared" si="5"/>
        <v>0</v>
      </c>
      <c r="BT622" s="2001"/>
      <c r="BU622" s="2001"/>
      <c r="BV622" s="2001"/>
      <c r="BW622" s="2001"/>
      <c r="BX622" s="2001">
        <f t="shared" si="6"/>
        <v>0</v>
      </c>
      <c r="BY622" s="2001"/>
      <c r="BZ622" s="2001"/>
      <c r="CA622" s="2001"/>
      <c r="CB622" s="2001"/>
      <c r="CC622" s="2001">
        <f t="shared" si="7"/>
        <v>0</v>
      </c>
      <c r="CD622" s="2001"/>
      <c r="CE622" s="2001"/>
      <c r="CF622" s="2001"/>
      <c r="CG622" s="2001"/>
      <c r="CH622" s="2001">
        <f t="shared" si="8"/>
        <v>0</v>
      </c>
      <c r="CI622" s="2001"/>
      <c r="CJ622" s="2001"/>
      <c r="CK622" s="2001"/>
      <c r="CL622" s="2001"/>
      <c r="CM622" s="2001">
        <f t="shared" si="9"/>
        <v>0</v>
      </c>
      <c r="CN622" s="2001"/>
      <c r="CO622" s="2001"/>
      <c r="CP622" s="2001"/>
      <c r="CQ622" s="2001"/>
      <c r="CR622" s="265"/>
      <c r="CS622" s="2369">
        <f t="shared" si="10"/>
        <v>0</v>
      </c>
      <c r="CT622" s="2369"/>
      <c r="CU622" s="2369"/>
      <c r="CV622" s="2369"/>
      <c r="CW622" s="2369"/>
      <c r="CX622" s="2369">
        <f t="shared" si="11"/>
        <v>0</v>
      </c>
      <c r="CY622" s="2369"/>
      <c r="CZ622" s="2369"/>
      <c r="DA622" s="2369"/>
      <c r="DB622" s="2369"/>
      <c r="DC622" s="2369">
        <f t="shared" si="12"/>
        <v>0</v>
      </c>
      <c r="DD622" s="2369"/>
      <c r="DE622" s="2369"/>
      <c r="DF622" s="2369"/>
      <c r="DG622" s="2369"/>
      <c r="DH622" s="2369">
        <f t="shared" si="13"/>
        <v>0</v>
      </c>
      <c r="DI622" s="2369"/>
      <c r="DJ622" s="2369"/>
      <c r="DK622" s="2369"/>
      <c r="DL622" s="2369"/>
      <c r="DM622" s="2369">
        <f t="shared" si="14"/>
        <v>0</v>
      </c>
      <c r="DN622" s="2369"/>
      <c r="DO622" s="2369"/>
      <c r="DP622" s="2369"/>
      <c r="DQ622" s="2369"/>
      <c r="DR622" s="2369">
        <f t="shared" si="15"/>
        <v>0</v>
      </c>
      <c r="DS622" s="2369"/>
      <c r="DT622" s="2369"/>
      <c r="DU622" s="2369"/>
      <c r="DV622" s="2369"/>
      <c r="DX622" s="2011" t="str">
        <f t="shared" si="16"/>
        <v xml:space="preserve"> </v>
      </c>
      <c r="DY622" s="2169"/>
      <c r="DZ622" s="2169"/>
      <c r="EA622" s="2169"/>
      <c r="EB622" s="2012"/>
      <c r="EC622" s="2011" t="str">
        <f t="shared" si="17"/>
        <v xml:space="preserve"> </v>
      </c>
      <c r="ED622" s="2169"/>
      <c r="EE622" s="2169"/>
      <c r="EF622" s="2169"/>
      <c r="EG622" s="2012"/>
      <c r="EH622" s="2011" t="str">
        <f t="shared" si="18"/>
        <v xml:space="preserve"> </v>
      </c>
      <c r="EI622" s="2169"/>
      <c r="EJ622" s="2169"/>
      <c r="EK622" s="2169"/>
      <c r="EL622" s="2012"/>
      <c r="EM622" s="2011" t="str">
        <f t="shared" si="19"/>
        <v xml:space="preserve"> </v>
      </c>
      <c r="EN622" s="2169"/>
      <c r="EO622" s="2169"/>
      <c r="EP622" s="2169"/>
      <c r="EQ622" s="2012"/>
      <c r="ER622" s="2011" t="str">
        <f t="shared" si="20"/>
        <v xml:space="preserve"> </v>
      </c>
      <c r="ES622" s="2169"/>
      <c r="ET622" s="2169"/>
      <c r="EU622" s="2169"/>
      <c r="EV622" s="2012"/>
      <c r="EW622" s="2011" t="str">
        <f t="shared" si="21"/>
        <v xml:space="preserve"> </v>
      </c>
      <c r="EX622" s="2169"/>
      <c r="EY622" s="2169"/>
      <c r="EZ622" s="2169"/>
      <c r="FA622" s="2012"/>
    </row>
    <row r="623" spans="1:157" ht="13.2">
      <c r="B623" s="12" t="s">
        <v>327</v>
      </c>
      <c r="G623" s="2094"/>
      <c r="H623" s="2094"/>
      <c r="I623" s="2094"/>
      <c r="J623" s="2094"/>
      <c r="K623" s="2094"/>
      <c r="L623" s="2094"/>
      <c r="O623" s="137" t="s">
        <v>212</v>
      </c>
      <c r="P623" s="2134"/>
      <c r="Q623" s="2134"/>
      <c r="R623" s="2134"/>
      <c r="U623" s="12" t="s">
        <v>327</v>
      </c>
      <c r="Z623" s="2094"/>
      <c r="AA623" s="2094"/>
      <c r="AB623" s="2094"/>
      <c r="AC623" s="2094"/>
      <c r="AD623" s="2094"/>
      <c r="AE623" s="2094"/>
      <c r="AH623" s="137" t="s">
        <v>212</v>
      </c>
      <c r="AI623" s="2134"/>
      <c r="AJ623" s="2134"/>
      <c r="AK623" s="2134"/>
      <c r="AZ623" s="58"/>
      <c r="BA623" s="58"/>
      <c r="BB623" s="58"/>
      <c r="BC623" s="58"/>
      <c r="BD623" s="58"/>
      <c r="BE623" s="2011">
        <f t="shared" si="0"/>
        <v>0</v>
      </c>
      <c r="BF623" s="2012"/>
      <c r="BG623" s="2008">
        <f t="shared" si="1"/>
        <v>0</v>
      </c>
      <c r="BH623" s="2010"/>
      <c r="BI623" s="2011">
        <f t="shared" si="2"/>
        <v>0</v>
      </c>
      <c r="BJ623" s="2012"/>
      <c r="BK623" s="2008">
        <f t="shared" si="3"/>
        <v>0</v>
      </c>
      <c r="BL623" s="2010"/>
      <c r="BM623" s="58"/>
      <c r="BN623" s="2002">
        <f t="shared" si="4"/>
        <v>0</v>
      </c>
      <c r="BO623" s="2003"/>
      <c r="BP623" s="2003"/>
      <c r="BQ623" s="2003"/>
      <c r="BR623" s="2004"/>
      <c r="BS623" s="2001">
        <f t="shared" si="5"/>
        <v>0</v>
      </c>
      <c r="BT623" s="2001"/>
      <c r="BU623" s="2001"/>
      <c r="BV623" s="2001"/>
      <c r="BW623" s="2001"/>
      <c r="BX623" s="2001">
        <f t="shared" si="6"/>
        <v>0</v>
      </c>
      <c r="BY623" s="2001"/>
      <c r="BZ623" s="2001"/>
      <c r="CA623" s="2001"/>
      <c r="CB623" s="2001"/>
      <c r="CC623" s="2001">
        <f t="shared" si="7"/>
        <v>0</v>
      </c>
      <c r="CD623" s="2001"/>
      <c r="CE623" s="2001"/>
      <c r="CF623" s="2001"/>
      <c r="CG623" s="2001"/>
      <c r="CH623" s="2001">
        <f t="shared" si="8"/>
        <v>0</v>
      </c>
      <c r="CI623" s="2001"/>
      <c r="CJ623" s="2001"/>
      <c r="CK623" s="2001"/>
      <c r="CL623" s="2001"/>
      <c r="CM623" s="2001">
        <f t="shared" si="9"/>
        <v>0</v>
      </c>
      <c r="CN623" s="2001"/>
      <c r="CO623" s="2001"/>
      <c r="CP623" s="2001"/>
      <c r="CQ623" s="2001"/>
      <c r="CR623" s="265"/>
      <c r="CS623" s="2369">
        <f t="shared" si="10"/>
        <v>0</v>
      </c>
      <c r="CT623" s="2369"/>
      <c r="CU623" s="2369"/>
      <c r="CV623" s="2369"/>
      <c r="CW623" s="2369"/>
      <c r="CX623" s="2369">
        <f t="shared" si="11"/>
        <v>0</v>
      </c>
      <c r="CY623" s="2369"/>
      <c r="CZ623" s="2369"/>
      <c r="DA623" s="2369"/>
      <c r="DB623" s="2369"/>
      <c r="DC623" s="2369">
        <f t="shared" si="12"/>
        <v>0</v>
      </c>
      <c r="DD623" s="2369"/>
      <c r="DE623" s="2369"/>
      <c r="DF623" s="2369"/>
      <c r="DG623" s="2369"/>
      <c r="DH623" s="2369">
        <f t="shared" si="13"/>
        <v>0</v>
      </c>
      <c r="DI623" s="2369"/>
      <c r="DJ623" s="2369"/>
      <c r="DK623" s="2369"/>
      <c r="DL623" s="2369"/>
      <c r="DM623" s="2369">
        <f t="shared" si="14"/>
        <v>0</v>
      </c>
      <c r="DN623" s="2369"/>
      <c r="DO623" s="2369"/>
      <c r="DP623" s="2369"/>
      <c r="DQ623" s="2369"/>
      <c r="DR623" s="2369">
        <f t="shared" si="15"/>
        <v>0</v>
      </c>
      <c r="DS623" s="2369"/>
      <c r="DT623" s="2369"/>
      <c r="DU623" s="2369"/>
      <c r="DV623" s="2369"/>
      <c r="DX623" s="2011" t="str">
        <f t="shared" si="16"/>
        <v xml:space="preserve"> </v>
      </c>
      <c r="DY623" s="2169"/>
      <c r="DZ623" s="2169"/>
      <c r="EA623" s="2169"/>
      <c r="EB623" s="2012"/>
      <c r="EC623" s="2011" t="str">
        <f t="shared" si="17"/>
        <v xml:space="preserve"> </v>
      </c>
      <c r="ED623" s="2169"/>
      <c r="EE623" s="2169"/>
      <c r="EF623" s="2169"/>
      <c r="EG623" s="2012"/>
      <c r="EH623" s="2011" t="str">
        <f t="shared" si="18"/>
        <v xml:space="preserve"> </v>
      </c>
      <c r="EI623" s="2169"/>
      <c r="EJ623" s="2169"/>
      <c r="EK623" s="2169"/>
      <c r="EL623" s="2012"/>
      <c r="EM623" s="2011" t="str">
        <f t="shared" si="19"/>
        <v xml:space="preserve"> </v>
      </c>
      <c r="EN623" s="2169"/>
      <c r="EO623" s="2169"/>
      <c r="EP623" s="2169"/>
      <c r="EQ623" s="2012"/>
      <c r="ER623" s="2011" t="str">
        <f t="shared" si="20"/>
        <v xml:space="preserve"> </v>
      </c>
      <c r="ES623" s="2169"/>
      <c r="ET623" s="2169"/>
      <c r="EU623" s="2169"/>
      <c r="EV623" s="2012"/>
      <c r="EW623" s="2011" t="str">
        <f t="shared" si="21"/>
        <v xml:space="preserve"> </v>
      </c>
      <c r="EX623" s="2169"/>
      <c r="EY623" s="2169"/>
      <c r="EZ623" s="2169"/>
      <c r="FA623" s="2012"/>
    </row>
    <row r="624" spans="1:157" ht="13.2">
      <c r="B624" s="12" t="s">
        <v>18</v>
      </c>
      <c r="H624" s="2021"/>
      <c r="I624" s="2021"/>
      <c r="J624" s="2021"/>
      <c r="K624" s="2021"/>
      <c r="L624" s="2021"/>
      <c r="M624" s="2021"/>
      <c r="N624" s="2021"/>
      <c r="O624" s="2021"/>
      <c r="P624" s="2021"/>
      <c r="Q624" s="2021"/>
      <c r="R624" s="2021"/>
      <c r="U624" s="12" t="s">
        <v>18</v>
      </c>
      <c r="AA624" s="2021"/>
      <c r="AB624" s="2021"/>
      <c r="AC624" s="2021"/>
      <c r="AD624" s="2021"/>
      <c r="AE624" s="2021"/>
      <c r="AF624" s="2021"/>
      <c r="AG624" s="2021"/>
      <c r="AH624" s="2021"/>
      <c r="AI624" s="2021"/>
      <c r="AJ624" s="2021"/>
      <c r="AK624" s="2021"/>
      <c r="AZ624" s="58"/>
      <c r="BA624" s="58"/>
      <c r="BB624" s="58"/>
      <c r="BC624" s="58"/>
      <c r="BD624" s="58"/>
      <c r="BE624" s="2011">
        <f t="shared" si="0"/>
        <v>0</v>
      </c>
      <c r="BF624" s="2012"/>
      <c r="BG624" s="2008">
        <f t="shared" si="1"/>
        <v>0</v>
      </c>
      <c r="BH624" s="2010"/>
      <c r="BI624" s="2011">
        <f t="shared" si="2"/>
        <v>0</v>
      </c>
      <c r="BJ624" s="2012"/>
      <c r="BK624" s="2008">
        <f t="shared" si="3"/>
        <v>0</v>
      </c>
      <c r="BL624" s="2010"/>
      <c r="BM624" s="58"/>
      <c r="BN624" s="2002">
        <f t="shared" si="4"/>
        <v>0</v>
      </c>
      <c r="BO624" s="2003"/>
      <c r="BP624" s="2003"/>
      <c r="BQ624" s="2003"/>
      <c r="BR624" s="2004"/>
      <c r="BS624" s="2001">
        <f t="shared" si="5"/>
        <v>0</v>
      </c>
      <c r="BT624" s="2001"/>
      <c r="BU624" s="2001"/>
      <c r="BV624" s="2001"/>
      <c r="BW624" s="2001"/>
      <c r="BX624" s="2001">
        <f t="shared" si="6"/>
        <v>0</v>
      </c>
      <c r="BY624" s="2001"/>
      <c r="BZ624" s="2001"/>
      <c r="CA624" s="2001"/>
      <c r="CB624" s="2001"/>
      <c r="CC624" s="2001">
        <f t="shared" si="7"/>
        <v>0</v>
      </c>
      <c r="CD624" s="2001"/>
      <c r="CE624" s="2001"/>
      <c r="CF624" s="2001"/>
      <c r="CG624" s="2001"/>
      <c r="CH624" s="2001">
        <f t="shared" si="8"/>
        <v>0</v>
      </c>
      <c r="CI624" s="2001"/>
      <c r="CJ624" s="2001"/>
      <c r="CK624" s="2001"/>
      <c r="CL624" s="2001"/>
      <c r="CM624" s="2001">
        <f t="shared" si="9"/>
        <v>0</v>
      </c>
      <c r="CN624" s="2001"/>
      <c r="CO624" s="2001"/>
      <c r="CP624" s="2001"/>
      <c r="CQ624" s="2001"/>
      <c r="CR624" s="265"/>
      <c r="CS624" s="2369">
        <f t="shared" si="10"/>
        <v>0</v>
      </c>
      <c r="CT624" s="2369"/>
      <c r="CU624" s="2369"/>
      <c r="CV624" s="2369"/>
      <c r="CW624" s="2369"/>
      <c r="CX624" s="2369">
        <f t="shared" si="11"/>
        <v>0</v>
      </c>
      <c r="CY624" s="2369"/>
      <c r="CZ624" s="2369"/>
      <c r="DA624" s="2369"/>
      <c r="DB624" s="2369"/>
      <c r="DC624" s="2369">
        <f t="shared" si="12"/>
        <v>0</v>
      </c>
      <c r="DD624" s="2369"/>
      <c r="DE624" s="2369"/>
      <c r="DF624" s="2369"/>
      <c r="DG624" s="2369"/>
      <c r="DH624" s="2369">
        <f t="shared" si="13"/>
        <v>0</v>
      </c>
      <c r="DI624" s="2369"/>
      <c r="DJ624" s="2369"/>
      <c r="DK624" s="2369"/>
      <c r="DL624" s="2369"/>
      <c r="DM624" s="2369">
        <f t="shared" si="14"/>
        <v>0</v>
      </c>
      <c r="DN624" s="2369"/>
      <c r="DO624" s="2369"/>
      <c r="DP624" s="2369"/>
      <c r="DQ624" s="2369"/>
      <c r="DR624" s="2369">
        <f t="shared" si="15"/>
        <v>0</v>
      </c>
      <c r="DS624" s="2369"/>
      <c r="DT624" s="2369"/>
      <c r="DU624" s="2369"/>
      <c r="DV624" s="2369"/>
      <c r="DX624" s="2011" t="str">
        <f t="shared" si="16"/>
        <v xml:space="preserve"> </v>
      </c>
      <c r="DY624" s="2169"/>
      <c r="DZ624" s="2169"/>
      <c r="EA624" s="2169"/>
      <c r="EB624" s="2012"/>
      <c r="EC624" s="2011" t="str">
        <f t="shared" si="17"/>
        <v xml:space="preserve"> </v>
      </c>
      <c r="ED624" s="2169"/>
      <c r="EE624" s="2169"/>
      <c r="EF624" s="2169"/>
      <c r="EG624" s="2012"/>
      <c r="EH624" s="2011" t="str">
        <f t="shared" si="18"/>
        <v xml:space="preserve"> </v>
      </c>
      <c r="EI624" s="2169"/>
      <c r="EJ624" s="2169"/>
      <c r="EK624" s="2169"/>
      <c r="EL624" s="2012"/>
      <c r="EM624" s="2011" t="str">
        <f t="shared" si="19"/>
        <v xml:space="preserve"> </v>
      </c>
      <c r="EN624" s="2169"/>
      <c r="EO624" s="2169"/>
      <c r="EP624" s="2169"/>
      <c r="EQ624" s="2012"/>
      <c r="ER624" s="2011" t="str">
        <f t="shared" si="20"/>
        <v xml:space="preserve"> </v>
      </c>
      <c r="ES624" s="2169"/>
      <c r="ET624" s="2169"/>
      <c r="EU624" s="2169"/>
      <c r="EV624" s="2012"/>
      <c r="EW624" s="2011" t="str">
        <f t="shared" si="21"/>
        <v xml:space="preserve"> </v>
      </c>
      <c r="EX624" s="2169"/>
      <c r="EY624" s="2169"/>
      <c r="EZ624" s="2169"/>
      <c r="FA624" s="2012"/>
    </row>
    <row r="625" spans="1:157" ht="13.2">
      <c r="B625" s="12" t="s">
        <v>20</v>
      </c>
      <c r="N625" s="2022" t="s">
        <v>707</v>
      </c>
      <c r="O625" s="2022"/>
      <c r="U625" s="12" t="s">
        <v>20</v>
      </c>
      <c r="AG625" s="2022" t="s">
        <v>707</v>
      </c>
      <c r="AH625" s="2022"/>
      <c r="AZ625" s="58"/>
      <c r="BA625" s="58"/>
      <c r="BB625" s="58"/>
      <c r="BC625" s="58"/>
      <c r="BD625" s="58"/>
      <c r="BE625" s="2011">
        <f t="shared" si="0"/>
        <v>0</v>
      </c>
      <c r="BF625" s="2012"/>
      <c r="BG625" s="2008">
        <f t="shared" si="1"/>
        <v>0</v>
      </c>
      <c r="BH625" s="2010"/>
      <c r="BI625" s="2011">
        <f t="shared" si="2"/>
        <v>0</v>
      </c>
      <c r="BJ625" s="2012"/>
      <c r="BK625" s="2008">
        <f t="shared" si="3"/>
        <v>0</v>
      </c>
      <c r="BL625" s="2010"/>
      <c r="BM625" s="58"/>
      <c r="BN625" s="2002">
        <f t="shared" si="4"/>
        <v>0</v>
      </c>
      <c r="BO625" s="2003"/>
      <c r="BP625" s="2003"/>
      <c r="BQ625" s="2003"/>
      <c r="BR625" s="2004"/>
      <c r="BS625" s="2001">
        <f t="shared" si="5"/>
        <v>0</v>
      </c>
      <c r="BT625" s="2001"/>
      <c r="BU625" s="2001"/>
      <c r="BV625" s="2001"/>
      <c r="BW625" s="2001"/>
      <c r="BX625" s="2001">
        <f t="shared" si="6"/>
        <v>0</v>
      </c>
      <c r="BY625" s="2001"/>
      <c r="BZ625" s="2001"/>
      <c r="CA625" s="2001"/>
      <c r="CB625" s="2001"/>
      <c r="CC625" s="2001">
        <f t="shared" si="7"/>
        <v>0</v>
      </c>
      <c r="CD625" s="2001"/>
      <c r="CE625" s="2001"/>
      <c r="CF625" s="2001"/>
      <c r="CG625" s="2001"/>
      <c r="CH625" s="2001">
        <f t="shared" si="8"/>
        <v>0</v>
      </c>
      <c r="CI625" s="2001"/>
      <c r="CJ625" s="2001"/>
      <c r="CK625" s="2001"/>
      <c r="CL625" s="2001"/>
      <c r="CM625" s="2001">
        <f t="shared" si="9"/>
        <v>0</v>
      </c>
      <c r="CN625" s="2001"/>
      <c r="CO625" s="2001"/>
      <c r="CP625" s="2001"/>
      <c r="CQ625" s="2001"/>
      <c r="CR625" s="265"/>
      <c r="CS625" s="2369">
        <f t="shared" si="10"/>
        <v>0</v>
      </c>
      <c r="CT625" s="2369"/>
      <c r="CU625" s="2369"/>
      <c r="CV625" s="2369"/>
      <c r="CW625" s="2369"/>
      <c r="CX625" s="2369">
        <f t="shared" si="11"/>
        <v>0</v>
      </c>
      <c r="CY625" s="2369"/>
      <c r="CZ625" s="2369"/>
      <c r="DA625" s="2369"/>
      <c r="DB625" s="2369"/>
      <c r="DC625" s="2369">
        <f t="shared" si="12"/>
        <v>0</v>
      </c>
      <c r="DD625" s="2369"/>
      <c r="DE625" s="2369"/>
      <c r="DF625" s="2369"/>
      <c r="DG625" s="2369"/>
      <c r="DH625" s="2369">
        <f t="shared" si="13"/>
        <v>0</v>
      </c>
      <c r="DI625" s="2369"/>
      <c r="DJ625" s="2369"/>
      <c r="DK625" s="2369"/>
      <c r="DL625" s="2369"/>
      <c r="DM625" s="2369">
        <f t="shared" si="14"/>
        <v>0</v>
      </c>
      <c r="DN625" s="2369"/>
      <c r="DO625" s="2369"/>
      <c r="DP625" s="2369"/>
      <c r="DQ625" s="2369"/>
      <c r="DR625" s="2369">
        <f t="shared" si="15"/>
        <v>0</v>
      </c>
      <c r="DS625" s="2369"/>
      <c r="DT625" s="2369"/>
      <c r="DU625" s="2369"/>
      <c r="DV625" s="2369"/>
      <c r="DX625" s="2011" t="str">
        <f t="shared" si="16"/>
        <v xml:space="preserve"> </v>
      </c>
      <c r="DY625" s="2169"/>
      <c r="DZ625" s="2169"/>
      <c r="EA625" s="2169"/>
      <c r="EB625" s="2012"/>
      <c r="EC625" s="2011" t="str">
        <f t="shared" si="17"/>
        <v xml:space="preserve"> </v>
      </c>
      <c r="ED625" s="2169"/>
      <c r="EE625" s="2169"/>
      <c r="EF625" s="2169"/>
      <c r="EG625" s="2012"/>
      <c r="EH625" s="2011" t="str">
        <f t="shared" si="18"/>
        <v xml:space="preserve"> </v>
      </c>
      <c r="EI625" s="2169"/>
      <c r="EJ625" s="2169"/>
      <c r="EK625" s="2169"/>
      <c r="EL625" s="2012"/>
      <c r="EM625" s="2011" t="str">
        <f t="shared" si="19"/>
        <v xml:space="preserve"> </v>
      </c>
      <c r="EN625" s="2169"/>
      <c r="EO625" s="2169"/>
      <c r="EP625" s="2169"/>
      <c r="EQ625" s="2012"/>
      <c r="ER625" s="2011" t="str">
        <f t="shared" si="20"/>
        <v xml:space="preserve"> </v>
      </c>
      <c r="ES625" s="2169"/>
      <c r="ET625" s="2169"/>
      <c r="EU625" s="2169"/>
      <c r="EV625" s="2012"/>
      <c r="EW625" s="2011" t="str">
        <f t="shared" si="21"/>
        <v xml:space="preserve"> </v>
      </c>
      <c r="EX625" s="2169"/>
      <c r="EY625" s="2169"/>
      <c r="EZ625" s="2169"/>
      <c r="FA625" s="2012"/>
    </row>
    <row r="626" spans="1:157" ht="13.2">
      <c r="AZ626" s="58"/>
      <c r="BA626" s="58"/>
      <c r="BB626" s="58"/>
      <c r="BC626" s="58"/>
      <c r="BD626" s="58"/>
      <c r="BE626" s="2011">
        <f t="shared" si="0"/>
        <v>0</v>
      </c>
      <c r="BF626" s="2012"/>
      <c r="BG626" s="2008">
        <f t="shared" si="1"/>
        <v>0</v>
      </c>
      <c r="BH626" s="2010"/>
      <c r="BI626" s="2011">
        <f t="shared" si="2"/>
        <v>0</v>
      </c>
      <c r="BJ626" s="2012"/>
      <c r="BK626" s="2008">
        <f t="shared" si="3"/>
        <v>0</v>
      </c>
      <c r="BL626" s="2010"/>
      <c r="BM626" s="58"/>
      <c r="BN626" s="2002">
        <f t="shared" si="4"/>
        <v>0</v>
      </c>
      <c r="BO626" s="2003"/>
      <c r="BP626" s="2003"/>
      <c r="BQ626" s="2003"/>
      <c r="BR626" s="2004"/>
      <c r="BS626" s="2001">
        <f t="shared" si="5"/>
        <v>0</v>
      </c>
      <c r="BT626" s="2001"/>
      <c r="BU626" s="2001"/>
      <c r="BV626" s="2001"/>
      <c r="BW626" s="2001"/>
      <c r="BX626" s="2001">
        <f t="shared" si="6"/>
        <v>0</v>
      </c>
      <c r="BY626" s="2001"/>
      <c r="BZ626" s="2001"/>
      <c r="CA626" s="2001"/>
      <c r="CB626" s="2001"/>
      <c r="CC626" s="2001">
        <f t="shared" si="7"/>
        <v>0</v>
      </c>
      <c r="CD626" s="2001"/>
      <c r="CE626" s="2001"/>
      <c r="CF626" s="2001"/>
      <c r="CG626" s="2001"/>
      <c r="CH626" s="2001">
        <f t="shared" si="8"/>
        <v>0</v>
      </c>
      <c r="CI626" s="2001"/>
      <c r="CJ626" s="2001"/>
      <c r="CK626" s="2001"/>
      <c r="CL626" s="2001"/>
      <c r="CM626" s="2001">
        <f t="shared" si="9"/>
        <v>0</v>
      </c>
      <c r="CN626" s="2001"/>
      <c r="CO626" s="2001"/>
      <c r="CP626" s="2001"/>
      <c r="CQ626" s="2001"/>
      <c r="CR626" s="265"/>
      <c r="CS626" s="2369">
        <f t="shared" si="10"/>
        <v>0</v>
      </c>
      <c r="CT626" s="2369"/>
      <c r="CU626" s="2369"/>
      <c r="CV626" s="2369"/>
      <c r="CW626" s="2369"/>
      <c r="CX626" s="2369">
        <f t="shared" si="11"/>
        <v>0</v>
      </c>
      <c r="CY626" s="2369"/>
      <c r="CZ626" s="2369"/>
      <c r="DA626" s="2369"/>
      <c r="DB626" s="2369"/>
      <c r="DC626" s="2369">
        <f t="shared" si="12"/>
        <v>0</v>
      </c>
      <c r="DD626" s="2369"/>
      <c r="DE626" s="2369"/>
      <c r="DF626" s="2369"/>
      <c r="DG626" s="2369"/>
      <c r="DH626" s="2369">
        <f t="shared" si="13"/>
        <v>0</v>
      </c>
      <c r="DI626" s="2369"/>
      <c r="DJ626" s="2369"/>
      <c r="DK626" s="2369"/>
      <c r="DL626" s="2369"/>
      <c r="DM626" s="2369">
        <f t="shared" si="14"/>
        <v>0</v>
      </c>
      <c r="DN626" s="2369"/>
      <c r="DO626" s="2369"/>
      <c r="DP626" s="2369"/>
      <c r="DQ626" s="2369"/>
      <c r="DR626" s="2369">
        <f t="shared" si="15"/>
        <v>0</v>
      </c>
      <c r="DS626" s="2369"/>
      <c r="DT626" s="2369"/>
      <c r="DU626" s="2369"/>
      <c r="DV626" s="2369"/>
      <c r="DX626" s="2011" t="str">
        <f t="shared" si="16"/>
        <v xml:space="preserve"> </v>
      </c>
      <c r="DY626" s="2169"/>
      <c r="DZ626" s="2169"/>
      <c r="EA626" s="2169"/>
      <c r="EB626" s="2012"/>
      <c r="EC626" s="2011" t="str">
        <f t="shared" si="17"/>
        <v xml:space="preserve"> </v>
      </c>
      <c r="ED626" s="2169"/>
      <c r="EE626" s="2169"/>
      <c r="EF626" s="2169"/>
      <c r="EG626" s="2012"/>
      <c r="EH626" s="2011" t="str">
        <f t="shared" si="18"/>
        <v xml:space="preserve"> </v>
      </c>
      <c r="EI626" s="2169"/>
      <c r="EJ626" s="2169"/>
      <c r="EK626" s="2169"/>
      <c r="EL626" s="2012"/>
      <c r="EM626" s="2011" t="str">
        <f t="shared" si="19"/>
        <v xml:space="preserve"> </v>
      </c>
      <c r="EN626" s="2169"/>
      <c r="EO626" s="2169"/>
      <c r="EP626" s="2169"/>
      <c r="EQ626" s="2012"/>
      <c r="ER626" s="2011" t="str">
        <f t="shared" si="20"/>
        <v xml:space="preserve"> </v>
      </c>
      <c r="ES626" s="2169"/>
      <c r="ET626" s="2169"/>
      <c r="EU626" s="2169"/>
      <c r="EV626" s="2012"/>
      <c r="EW626" s="2011" t="str">
        <f t="shared" si="21"/>
        <v xml:space="preserve"> </v>
      </c>
      <c r="EX626" s="2169"/>
      <c r="EY626" s="2169"/>
      <c r="EZ626" s="2169"/>
      <c r="FA626" s="2012"/>
    </row>
    <row r="627" spans="1:157" ht="12.75" customHeight="1">
      <c r="A627" s="1860" t="s">
        <v>578</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4"/>
      <c r="AU627" s="1574"/>
      <c r="AV627" s="1574"/>
      <c r="AW627" s="1574"/>
      <c r="AX627" s="1574"/>
      <c r="AY627" s="1574"/>
      <c r="AZ627" s="58"/>
      <c r="BA627" s="58"/>
      <c r="BB627" s="58"/>
      <c r="BC627" s="58"/>
      <c r="BD627" s="58"/>
      <c r="BE627" s="2011">
        <f t="shared" si="0"/>
        <v>0</v>
      </c>
      <c r="BF627" s="2012"/>
      <c r="BG627" s="2008">
        <f t="shared" si="1"/>
        <v>0</v>
      </c>
      <c r="BH627" s="2010"/>
      <c r="BI627" s="2011">
        <f t="shared" si="2"/>
        <v>0</v>
      </c>
      <c r="BJ627" s="2012"/>
      <c r="BK627" s="2008">
        <f t="shared" si="3"/>
        <v>0</v>
      </c>
      <c r="BL627" s="2010"/>
      <c r="BM627" s="58"/>
      <c r="BN627" s="2002">
        <f t="shared" si="4"/>
        <v>0</v>
      </c>
      <c r="BO627" s="2003"/>
      <c r="BP627" s="2003"/>
      <c r="BQ627" s="2003"/>
      <c r="BR627" s="2004"/>
      <c r="BS627" s="2001">
        <f t="shared" si="5"/>
        <v>0</v>
      </c>
      <c r="BT627" s="2001"/>
      <c r="BU627" s="2001"/>
      <c r="BV627" s="2001"/>
      <c r="BW627" s="2001"/>
      <c r="BX627" s="2001">
        <f t="shared" si="6"/>
        <v>0</v>
      </c>
      <c r="BY627" s="2001"/>
      <c r="BZ627" s="2001"/>
      <c r="CA627" s="2001"/>
      <c r="CB627" s="2001"/>
      <c r="CC627" s="2001">
        <f t="shared" si="7"/>
        <v>0</v>
      </c>
      <c r="CD627" s="2001"/>
      <c r="CE627" s="2001"/>
      <c r="CF627" s="2001"/>
      <c r="CG627" s="2001"/>
      <c r="CH627" s="2001">
        <f t="shared" si="8"/>
        <v>0</v>
      </c>
      <c r="CI627" s="2001"/>
      <c r="CJ627" s="2001"/>
      <c r="CK627" s="2001"/>
      <c r="CL627" s="2001"/>
      <c r="CM627" s="2001">
        <f t="shared" si="9"/>
        <v>0</v>
      </c>
      <c r="CN627" s="2001"/>
      <c r="CO627" s="2001"/>
      <c r="CP627" s="2001"/>
      <c r="CQ627" s="2001"/>
      <c r="CR627" s="265"/>
      <c r="CS627" s="2369">
        <f t="shared" si="10"/>
        <v>0</v>
      </c>
      <c r="CT627" s="2369"/>
      <c r="CU627" s="2369"/>
      <c r="CV627" s="2369"/>
      <c r="CW627" s="2369"/>
      <c r="CX627" s="2369">
        <f t="shared" si="11"/>
        <v>0</v>
      </c>
      <c r="CY627" s="2369"/>
      <c r="CZ627" s="2369"/>
      <c r="DA627" s="2369"/>
      <c r="DB627" s="2369"/>
      <c r="DC627" s="2369">
        <f t="shared" si="12"/>
        <v>0</v>
      </c>
      <c r="DD627" s="2369"/>
      <c r="DE627" s="2369"/>
      <c r="DF627" s="2369"/>
      <c r="DG627" s="2369"/>
      <c r="DH627" s="2369">
        <f t="shared" si="13"/>
        <v>0</v>
      </c>
      <c r="DI627" s="2369"/>
      <c r="DJ627" s="2369"/>
      <c r="DK627" s="2369"/>
      <c r="DL627" s="2369"/>
      <c r="DM627" s="2369">
        <f t="shared" si="14"/>
        <v>0</v>
      </c>
      <c r="DN627" s="2369"/>
      <c r="DO627" s="2369"/>
      <c r="DP627" s="2369"/>
      <c r="DQ627" s="2369"/>
      <c r="DR627" s="2369">
        <f t="shared" si="15"/>
        <v>0</v>
      </c>
      <c r="DS627" s="2369"/>
      <c r="DT627" s="2369"/>
      <c r="DU627" s="2369"/>
      <c r="DV627" s="2369"/>
      <c r="DX627" s="2011" t="str">
        <f t="shared" si="16"/>
        <v xml:space="preserve"> </v>
      </c>
      <c r="DY627" s="2169"/>
      <c r="DZ627" s="2169"/>
      <c r="EA627" s="2169"/>
      <c r="EB627" s="2012"/>
      <c r="EC627" s="2011" t="str">
        <f t="shared" si="17"/>
        <v xml:space="preserve"> </v>
      </c>
      <c r="ED627" s="2169"/>
      <c r="EE627" s="2169"/>
      <c r="EF627" s="2169"/>
      <c r="EG627" s="2012"/>
      <c r="EH627" s="2011" t="str">
        <f t="shared" si="18"/>
        <v xml:space="preserve"> </v>
      </c>
      <c r="EI627" s="2169"/>
      <c r="EJ627" s="2169"/>
      <c r="EK627" s="2169"/>
      <c r="EL627" s="2012"/>
      <c r="EM627" s="2011" t="str">
        <f t="shared" si="19"/>
        <v xml:space="preserve"> </v>
      </c>
      <c r="EN627" s="2169"/>
      <c r="EO627" s="2169"/>
      <c r="EP627" s="2169"/>
      <c r="EQ627" s="2012"/>
      <c r="ER627" s="2011" t="str">
        <f t="shared" si="20"/>
        <v xml:space="preserve"> </v>
      </c>
      <c r="ES627" s="2169"/>
      <c r="ET627" s="2169"/>
      <c r="EU627" s="2169"/>
      <c r="EV627" s="2012"/>
      <c r="EW627" s="2011" t="str">
        <f t="shared" si="21"/>
        <v xml:space="preserve"> </v>
      </c>
      <c r="EX627" s="2169"/>
      <c r="EY627" s="2169"/>
      <c r="EZ627" s="2169"/>
      <c r="FA627" s="2012"/>
    </row>
    <row r="628" spans="1:157" ht="13.2">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4"/>
      <c r="AU628" s="1574"/>
      <c r="AV628" s="1574"/>
      <c r="AW628" s="1574"/>
      <c r="AX628" s="1574"/>
      <c r="AY628" s="1574"/>
      <c r="AZ628" s="58"/>
      <c r="BA628" s="58"/>
      <c r="BB628" s="58"/>
      <c r="BC628" s="58"/>
      <c r="BD628" s="58"/>
      <c r="BE628" s="2011">
        <f t="shared" si="0"/>
        <v>0</v>
      </c>
      <c r="BF628" s="2012"/>
      <c r="BG628" s="2008">
        <f t="shared" si="1"/>
        <v>0</v>
      </c>
      <c r="BH628" s="2010"/>
      <c r="BI628" s="2011">
        <f t="shared" si="2"/>
        <v>0</v>
      </c>
      <c r="BJ628" s="2012"/>
      <c r="BK628" s="2008">
        <f t="shared" si="3"/>
        <v>0</v>
      </c>
      <c r="BL628" s="2010"/>
      <c r="BM628" s="58"/>
      <c r="BN628" s="2002">
        <f t="shared" si="4"/>
        <v>0</v>
      </c>
      <c r="BO628" s="2003"/>
      <c r="BP628" s="2003"/>
      <c r="BQ628" s="2003"/>
      <c r="BR628" s="2004"/>
      <c r="BS628" s="2001">
        <f t="shared" si="5"/>
        <v>0</v>
      </c>
      <c r="BT628" s="2001"/>
      <c r="BU628" s="2001"/>
      <c r="BV628" s="2001"/>
      <c r="BW628" s="2001"/>
      <c r="BX628" s="2001">
        <f t="shared" si="6"/>
        <v>0</v>
      </c>
      <c r="BY628" s="2001"/>
      <c r="BZ628" s="2001"/>
      <c r="CA628" s="2001"/>
      <c r="CB628" s="2001"/>
      <c r="CC628" s="2001">
        <f t="shared" si="7"/>
        <v>0</v>
      </c>
      <c r="CD628" s="2001"/>
      <c r="CE628" s="2001"/>
      <c r="CF628" s="2001"/>
      <c r="CG628" s="2001"/>
      <c r="CH628" s="2001">
        <f t="shared" si="8"/>
        <v>0</v>
      </c>
      <c r="CI628" s="2001"/>
      <c r="CJ628" s="2001"/>
      <c r="CK628" s="2001"/>
      <c r="CL628" s="2001"/>
      <c r="CM628" s="2001">
        <f t="shared" si="9"/>
        <v>0</v>
      </c>
      <c r="CN628" s="2001"/>
      <c r="CO628" s="2001"/>
      <c r="CP628" s="2001"/>
      <c r="CQ628" s="2001"/>
      <c r="CR628" s="265"/>
      <c r="CS628" s="2369">
        <f t="shared" si="10"/>
        <v>0</v>
      </c>
      <c r="CT628" s="2369"/>
      <c r="CU628" s="2369"/>
      <c r="CV628" s="2369"/>
      <c r="CW628" s="2369"/>
      <c r="CX628" s="2369">
        <f t="shared" si="11"/>
        <v>0</v>
      </c>
      <c r="CY628" s="2369"/>
      <c r="CZ628" s="2369"/>
      <c r="DA628" s="2369"/>
      <c r="DB628" s="2369"/>
      <c r="DC628" s="2369">
        <f t="shared" si="12"/>
        <v>0</v>
      </c>
      <c r="DD628" s="2369"/>
      <c r="DE628" s="2369"/>
      <c r="DF628" s="2369"/>
      <c r="DG628" s="2369"/>
      <c r="DH628" s="2369">
        <f t="shared" si="13"/>
        <v>0</v>
      </c>
      <c r="DI628" s="2369"/>
      <c r="DJ628" s="2369"/>
      <c r="DK628" s="2369"/>
      <c r="DL628" s="2369"/>
      <c r="DM628" s="2369">
        <f t="shared" si="14"/>
        <v>0</v>
      </c>
      <c r="DN628" s="2369"/>
      <c r="DO628" s="2369"/>
      <c r="DP628" s="2369"/>
      <c r="DQ628" s="2369"/>
      <c r="DR628" s="2369">
        <f t="shared" si="15"/>
        <v>0</v>
      </c>
      <c r="DS628" s="2369"/>
      <c r="DT628" s="2369"/>
      <c r="DU628" s="2369"/>
      <c r="DV628" s="2369"/>
      <c r="DX628" s="2011" t="str">
        <f t="shared" si="16"/>
        <v xml:space="preserve"> </v>
      </c>
      <c r="DY628" s="2169"/>
      <c r="DZ628" s="2169"/>
      <c r="EA628" s="2169"/>
      <c r="EB628" s="2012"/>
      <c r="EC628" s="2011" t="str">
        <f t="shared" si="17"/>
        <v xml:space="preserve"> </v>
      </c>
      <c r="ED628" s="2169"/>
      <c r="EE628" s="2169"/>
      <c r="EF628" s="2169"/>
      <c r="EG628" s="2012"/>
      <c r="EH628" s="2011" t="str">
        <f t="shared" si="18"/>
        <v xml:space="preserve"> </v>
      </c>
      <c r="EI628" s="2169"/>
      <c r="EJ628" s="2169"/>
      <c r="EK628" s="2169"/>
      <c r="EL628" s="2012"/>
      <c r="EM628" s="2011" t="str">
        <f t="shared" si="19"/>
        <v xml:space="preserve"> </v>
      </c>
      <c r="EN628" s="2169"/>
      <c r="EO628" s="2169"/>
      <c r="EP628" s="2169"/>
      <c r="EQ628" s="2012"/>
      <c r="ER628" s="2011" t="str">
        <f t="shared" si="20"/>
        <v xml:space="preserve"> </v>
      </c>
      <c r="ES628" s="2169"/>
      <c r="ET628" s="2169"/>
      <c r="EU628" s="2169"/>
      <c r="EV628" s="2012"/>
      <c r="EW628" s="2011" t="str">
        <f t="shared" si="21"/>
        <v xml:space="preserve"> </v>
      </c>
      <c r="EX628" s="2169"/>
      <c r="EY628" s="2169"/>
      <c r="EZ628" s="2169"/>
      <c r="FA628" s="2012"/>
    </row>
    <row r="629" spans="1:157" ht="13.2">
      <c r="A629" s="25"/>
      <c r="B629" s="25"/>
      <c r="C629" s="25"/>
      <c r="D629" s="25"/>
      <c r="E629" s="25"/>
      <c r="F629" s="25"/>
      <c r="G629" s="3"/>
      <c r="H629" s="25"/>
      <c r="AZ629" s="58"/>
      <c r="BA629" s="58"/>
      <c r="BB629" s="58"/>
      <c r="BC629" s="58"/>
      <c r="BD629" s="58"/>
      <c r="BE629" s="2011">
        <f t="shared" si="0"/>
        <v>0</v>
      </c>
      <c r="BF629" s="2012"/>
      <c r="BG629" s="2008">
        <f t="shared" si="1"/>
        <v>0</v>
      </c>
      <c r="BH629" s="2010"/>
      <c r="BI629" s="2011">
        <f t="shared" si="2"/>
        <v>0</v>
      </c>
      <c r="BJ629" s="2012"/>
      <c r="BK629" s="2008">
        <f t="shared" si="3"/>
        <v>0</v>
      </c>
      <c r="BL629" s="2010"/>
      <c r="BM629" s="58"/>
      <c r="BN629" s="2002">
        <f t="shared" si="4"/>
        <v>0</v>
      </c>
      <c r="BO629" s="2003"/>
      <c r="BP629" s="2003"/>
      <c r="BQ629" s="2003"/>
      <c r="BR629" s="2004"/>
      <c r="BS629" s="2001">
        <f t="shared" si="5"/>
        <v>0</v>
      </c>
      <c r="BT629" s="2001"/>
      <c r="BU629" s="2001"/>
      <c r="BV629" s="2001"/>
      <c r="BW629" s="2001"/>
      <c r="BX629" s="2001">
        <f t="shared" si="6"/>
        <v>0</v>
      </c>
      <c r="BY629" s="2001"/>
      <c r="BZ629" s="2001"/>
      <c r="CA629" s="2001"/>
      <c r="CB629" s="2001"/>
      <c r="CC629" s="2001">
        <f t="shared" si="7"/>
        <v>0</v>
      </c>
      <c r="CD629" s="2001"/>
      <c r="CE629" s="2001"/>
      <c r="CF629" s="2001"/>
      <c r="CG629" s="2001"/>
      <c r="CH629" s="2001">
        <f t="shared" si="8"/>
        <v>0</v>
      </c>
      <c r="CI629" s="2001"/>
      <c r="CJ629" s="2001"/>
      <c r="CK629" s="2001"/>
      <c r="CL629" s="2001"/>
      <c r="CM629" s="2001">
        <f t="shared" si="9"/>
        <v>0</v>
      </c>
      <c r="CN629" s="2001"/>
      <c r="CO629" s="2001"/>
      <c r="CP629" s="2001"/>
      <c r="CQ629" s="2001"/>
      <c r="CR629" s="265"/>
      <c r="CS629" s="2369">
        <f t="shared" si="10"/>
        <v>0</v>
      </c>
      <c r="CT629" s="2369"/>
      <c r="CU629" s="2369"/>
      <c r="CV629" s="2369"/>
      <c r="CW629" s="2369"/>
      <c r="CX629" s="2369">
        <f t="shared" si="11"/>
        <v>0</v>
      </c>
      <c r="CY629" s="2369"/>
      <c r="CZ629" s="2369"/>
      <c r="DA629" s="2369"/>
      <c r="DB629" s="2369"/>
      <c r="DC629" s="2369">
        <f t="shared" si="12"/>
        <v>0</v>
      </c>
      <c r="DD629" s="2369"/>
      <c r="DE629" s="2369"/>
      <c r="DF629" s="2369"/>
      <c r="DG629" s="2369"/>
      <c r="DH629" s="2369">
        <f t="shared" si="13"/>
        <v>0</v>
      </c>
      <c r="DI629" s="2369"/>
      <c r="DJ629" s="2369"/>
      <c r="DK629" s="2369"/>
      <c r="DL629" s="2369"/>
      <c r="DM629" s="2369">
        <f t="shared" si="14"/>
        <v>0</v>
      </c>
      <c r="DN629" s="2369"/>
      <c r="DO629" s="2369"/>
      <c r="DP629" s="2369"/>
      <c r="DQ629" s="2369"/>
      <c r="DR629" s="2369">
        <f t="shared" si="15"/>
        <v>0</v>
      </c>
      <c r="DS629" s="2369"/>
      <c r="DT629" s="2369"/>
      <c r="DU629" s="2369"/>
      <c r="DV629" s="2369"/>
      <c r="DX629" s="2011" t="str">
        <f t="shared" si="16"/>
        <v xml:space="preserve"> </v>
      </c>
      <c r="DY629" s="2169"/>
      <c r="DZ629" s="2169"/>
      <c r="EA629" s="2169"/>
      <c r="EB629" s="2012"/>
      <c r="EC629" s="2011" t="str">
        <f t="shared" si="17"/>
        <v xml:space="preserve"> </v>
      </c>
      <c r="ED629" s="2169"/>
      <c r="EE629" s="2169"/>
      <c r="EF629" s="2169"/>
      <c r="EG629" s="2012"/>
      <c r="EH629" s="2011" t="str">
        <f t="shared" si="18"/>
        <v xml:space="preserve"> </v>
      </c>
      <c r="EI629" s="2169"/>
      <c r="EJ629" s="2169"/>
      <c r="EK629" s="2169"/>
      <c r="EL629" s="2012"/>
      <c r="EM629" s="2011" t="str">
        <f t="shared" si="19"/>
        <v xml:space="preserve"> </v>
      </c>
      <c r="EN629" s="2169"/>
      <c r="EO629" s="2169"/>
      <c r="EP629" s="2169"/>
      <c r="EQ629" s="2012"/>
      <c r="ER629" s="2011" t="str">
        <f t="shared" si="20"/>
        <v xml:space="preserve"> </v>
      </c>
      <c r="ES629" s="2169"/>
      <c r="ET629" s="2169"/>
      <c r="EU629" s="2169"/>
      <c r="EV629" s="2012"/>
      <c r="EW629" s="2011" t="str">
        <f t="shared" si="21"/>
        <v xml:space="preserve"> </v>
      </c>
      <c r="EX629" s="2169"/>
      <c r="EY629" s="2169"/>
      <c r="EZ629" s="2169"/>
      <c r="FA629" s="2012"/>
    </row>
    <row r="630" spans="1:157" ht="13.2">
      <c r="A630" s="50" t="s">
        <v>330</v>
      </c>
      <c r="B630" s="50"/>
      <c r="C630" s="50" t="s">
        <v>21</v>
      </c>
      <c r="AZ630" s="58"/>
      <c r="BA630" s="58"/>
      <c r="BB630" s="58"/>
      <c r="BC630" s="58"/>
      <c r="BD630" s="58"/>
      <c r="BE630" s="2011">
        <f t="shared" si="0"/>
        <v>0</v>
      </c>
      <c r="BF630" s="2012"/>
      <c r="BG630" s="2008">
        <f t="shared" si="1"/>
        <v>0</v>
      </c>
      <c r="BH630" s="2010"/>
      <c r="BI630" s="2011">
        <f t="shared" si="2"/>
        <v>0</v>
      </c>
      <c r="BJ630" s="2012"/>
      <c r="BK630" s="2008">
        <f t="shared" si="3"/>
        <v>0</v>
      </c>
      <c r="BL630" s="2010"/>
      <c r="BM630" s="58"/>
      <c r="BN630" s="2002">
        <f t="shared" si="4"/>
        <v>0</v>
      </c>
      <c r="BO630" s="2003"/>
      <c r="BP630" s="2003"/>
      <c r="BQ630" s="2003"/>
      <c r="BR630" s="2004"/>
      <c r="BS630" s="2001">
        <f t="shared" si="5"/>
        <v>0</v>
      </c>
      <c r="BT630" s="2001"/>
      <c r="BU630" s="2001"/>
      <c r="BV630" s="2001"/>
      <c r="BW630" s="2001"/>
      <c r="BX630" s="2001">
        <f t="shared" si="6"/>
        <v>0</v>
      </c>
      <c r="BY630" s="2001"/>
      <c r="BZ630" s="2001"/>
      <c r="CA630" s="2001"/>
      <c r="CB630" s="2001"/>
      <c r="CC630" s="2001">
        <f t="shared" si="7"/>
        <v>0</v>
      </c>
      <c r="CD630" s="2001"/>
      <c r="CE630" s="2001"/>
      <c r="CF630" s="2001"/>
      <c r="CG630" s="2001"/>
      <c r="CH630" s="2001">
        <f t="shared" si="8"/>
        <v>0</v>
      </c>
      <c r="CI630" s="2001"/>
      <c r="CJ630" s="2001"/>
      <c r="CK630" s="2001"/>
      <c r="CL630" s="2001"/>
      <c r="CM630" s="2001">
        <f t="shared" si="9"/>
        <v>0</v>
      </c>
      <c r="CN630" s="2001"/>
      <c r="CO630" s="2001"/>
      <c r="CP630" s="2001"/>
      <c r="CQ630" s="2001"/>
      <c r="CR630" s="265"/>
      <c r="CS630" s="2369">
        <f t="shared" si="10"/>
        <v>0</v>
      </c>
      <c r="CT630" s="2369"/>
      <c r="CU630" s="2369"/>
      <c r="CV630" s="2369"/>
      <c r="CW630" s="2369"/>
      <c r="CX630" s="2369">
        <f t="shared" si="11"/>
        <v>0</v>
      </c>
      <c r="CY630" s="2369"/>
      <c r="CZ630" s="2369"/>
      <c r="DA630" s="2369"/>
      <c r="DB630" s="2369"/>
      <c r="DC630" s="2369">
        <f t="shared" si="12"/>
        <v>0</v>
      </c>
      <c r="DD630" s="2369"/>
      <c r="DE630" s="2369"/>
      <c r="DF630" s="2369"/>
      <c r="DG630" s="2369"/>
      <c r="DH630" s="2369">
        <f t="shared" si="13"/>
        <v>0</v>
      </c>
      <c r="DI630" s="2369"/>
      <c r="DJ630" s="2369"/>
      <c r="DK630" s="2369"/>
      <c r="DL630" s="2369"/>
      <c r="DM630" s="2369">
        <f t="shared" si="14"/>
        <v>0</v>
      </c>
      <c r="DN630" s="2369"/>
      <c r="DO630" s="2369"/>
      <c r="DP630" s="2369"/>
      <c r="DQ630" s="2369"/>
      <c r="DR630" s="2369">
        <f t="shared" si="15"/>
        <v>0</v>
      </c>
      <c r="DS630" s="2369"/>
      <c r="DT630" s="2369"/>
      <c r="DU630" s="2369"/>
      <c r="DV630" s="2369"/>
      <c r="DX630" s="2011" t="str">
        <f t="shared" si="16"/>
        <v xml:space="preserve"> </v>
      </c>
      <c r="DY630" s="2169"/>
      <c r="DZ630" s="2169"/>
      <c r="EA630" s="2169"/>
      <c r="EB630" s="2012"/>
      <c r="EC630" s="2011" t="str">
        <f t="shared" si="17"/>
        <v xml:space="preserve"> </v>
      </c>
      <c r="ED630" s="2169"/>
      <c r="EE630" s="2169"/>
      <c r="EF630" s="2169"/>
      <c r="EG630" s="2012"/>
      <c r="EH630" s="2011" t="str">
        <f t="shared" si="18"/>
        <v xml:space="preserve"> </v>
      </c>
      <c r="EI630" s="2169"/>
      <c r="EJ630" s="2169"/>
      <c r="EK630" s="2169"/>
      <c r="EL630" s="2012"/>
      <c r="EM630" s="2011" t="str">
        <f t="shared" si="19"/>
        <v xml:space="preserve"> </v>
      </c>
      <c r="EN630" s="2169"/>
      <c r="EO630" s="2169"/>
      <c r="EP630" s="2169"/>
      <c r="EQ630" s="2012"/>
      <c r="ER630" s="2011" t="str">
        <f t="shared" si="20"/>
        <v xml:space="preserve"> </v>
      </c>
      <c r="ES630" s="2169"/>
      <c r="ET630" s="2169"/>
      <c r="EU630" s="2169"/>
      <c r="EV630" s="2012"/>
      <c r="EW630" s="2011" t="str">
        <f t="shared" si="21"/>
        <v xml:space="preserve"> </v>
      </c>
      <c r="EX630" s="2169"/>
      <c r="EY630" s="2169"/>
      <c r="EZ630" s="2169"/>
      <c r="FA630" s="2012"/>
    </row>
    <row r="631" spans="1:157" ht="13.2">
      <c r="A631" s="50"/>
      <c r="B631" s="50"/>
      <c r="C631" s="50"/>
      <c r="AZ631" s="58"/>
      <c r="BA631" s="58"/>
      <c r="BB631" s="58"/>
      <c r="BC631" s="58"/>
      <c r="BD631" s="58"/>
      <c r="BE631" s="2011">
        <f t="shared" si="0"/>
        <v>0</v>
      </c>
      <c r="BF631" s="2012"/>
      <c r="BG631" s="2008">
        <f t="shared" si="1"/>
        <v>0</v>
      </c>
      <c r="BH631" s="2010"/>
      <c r="BI631" s="2011">
        <f t="shared" si="2"/>
        <v>0</v>
      </c>
      <c r="BJ631" s="2012"/>
      <c r="BK631" s="2008">
        <f t="shared" si="3"/>
        <v>0</v>
      </c>
      <c r="BL631" s="2010"/>
      <c r="BM631" s="58"/>
      <c r="BN631" s="2002">
        <f t="shared" si="4"/>
        <v>0</v>
      </c>
      <c r="BO631" s="2003"/>
      <c r="BP631" s="2003"/>
      <c r="BQ631" s="2003"/>
      <c r="BR631" s="2004"/>
      <c r="BS631" s="2001">
        <f t="shared" si="5"/>
        <v>0</v>
      </c>
      <c r="BT631" s="2001"/>
      <c r="BU631" s="2001"/>
      <c r="BV631" s="2001"/>
      <c r="BW631" s="2001"/>
      <c r="BX631" s="2001">
        <f t="shared" si="6"/>
        <v>0</v>
      </c>
      <c r="BY631" s="2001"/>
      <c r="BZ631" s="2001"/>
      <c r="CA631" s="2001"/>
      <c r="CB631" s="2001"/>
      <c r="CC631" s="2001">
        <f t="shared" si="7"/>
        <v>0</v>
      </c>
      <c r="CD631" s="2001"/>
      <c r="CE631" s="2001"/>
      <c r="CF631" s="2001"/>
      <c r="CG631" s="2001"/>
      <c r="CH631" s="2001">
        <f t="shared" si="8"/>
        <v>0</v>
      </c>
      <c r="CI631" s="2001"/>
      <c r="CJ631" s="2001"/>
      <c r="CK631" s="2001"/>
      <c r="CL631" s="2001"/>
      <c r="CM631" s="2001">
        <f t="shared" si="9"/>
        <v>0</v>
      </c>
      <c r="CN631" s="2001"/>
      <c r="CO631" s="2001"/>
      <c r="CP631" s="2001"/>
      <c r="CQ631" s="2001"/>
      <c r="CR631" s="265"/>
      <c r="CS631" s="2369">
        <f t="shared" si="10"/>
        <v>0</v>
      </c>
      <c r="CT631" s="2369"/>
      <c r="CU631" s="2369"/>
      <c r="CV631" s="2369"/>
      <c r="CW631" s="2369"/>
      <c r="CX631" s="2369">
        <f t="shared" si="11"/>
        <v>0</v>
      </c>
      <c r="CY631" s="2369"/>
      <c r="CZ631" s="2369"/>
      <c r="DA631" s="2369"/>
      <c r="DB631" s="2369"/>
      <c r="DC631" s="2369">
        <f t="shared" si="12"/>
        <v>0</v>
      </c>
      <c r="DD631" s="2369"/>
      <c r="DE631" s="2369"/>
      <c r="DF631" s="2369"/>
      <c r="DG631" s="2369"/>
      <c r="DH631" s="2369">
        <f t="shared" si="13"/>
        <v>0</v>
      </c>
      <c r="DI631" s="2369"/>
      <c r="DJ631" s="2369"/>
      <c r="DK631" s="2369"/>
      <c r="DL631" s="2369"/>
      <c r="DM631" s="2369">
        <f t="shared" si="14"/>
        <v>0</v>
      </c>
      <c r="DN631" s="2369"/>
      <c r="DO631" s="2369"/>
      <c r="DP631" s="2369"/>
      <c r="DQ631" s="2369"/>
      <c r="DR631" s="2369">
        <f t="shared" si="15"/>
        <v>0</v>
      </c>
      <c r="DS631" s="2369"/>
      <c r="DT631" s="2369"/>
      <c r="DU631" s="2369"/>
      <c r="DV631" s="2369"/>
      <c r="DX631" s="2011" t="str">
        <f t="shared" si="16"/>
        <v xml:space="preserve"> </v>
      </c>
      <c r="DY631" s="2169"/>
      <c r="DZ631" s="2169"/>
      <c r="EA631" s="2169"/>
      <c r="EB631" s="2012"/>
      <c r="EC631" s="2011" t="str">
        <f t="shared" si="17"/>
        <v xml:space="preserve"> </v>
      </c>
      <c r="ED631" s="2169"/>
      <c r="EE631" s="2169"/>
      <c r="EF631" s="2169"/>
      <c r="EG631" s="2012"/>
      <c r="EH631" s="2011" t="str">
        <f t="shared" si="18"/>
        <v xml:space="preserve"> </v>
      </c>
      <c r="EI631" s="2169"/>
      <c r="EJ631" s="2169"/>
      <c r="EK631" s="2169"/>
      <c r="EL631" s="2012"/>
      <c r="EM631" s="2011" t="str">
        <f t="shared" si="19"/>
        <v xml:space="preserve"> </v>
      </c>
      <c r="EN631" s="2169"/>
      <c r="EO631" s="2169"/>
      <c r="EP631" s="2169"/>
      <c r="EQ631" s="2012"/>
      <c r="ER631" s="2011" t="str">
        <f t="shared" si="20"/>
        <v xml:space="preserve"> </v>
      </c>
      <c r="ES631" s="2169"/>
      <c r="ET631" s="2169"/>
      <c r="EU631" s="2169"/>
      <c r="EV631" s="2012"/>
      <c r="EW631" s="2011" t="str">
        <f t="shared" si="21"/>
        <v xml:space="preserve"> </v>
      </c>
      <c r="EX631" s="2169"/>
      <c r="EY631" s="2169"/>
      <c r="EZ631" s="2169"/>
      <c r="FA631" s="2012"/>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0"/>
        <v>0</v>
      </c>
      <c r="BF632" s="2012"/>
      <c r="BG632" s="2008">
        <f t="shared" si="1"/>
        <v>0</v>
      </c>
      <c r="BH632" s="2010"/>
      <c r="BI632" s="2011">
        <f t="shared" si="2"/>
        <v>0</v>
      </c>
      <c r="BJ632" s="2012"/>
      <c r="BK632" s="2008">
        <f t="shared" si="3"/>
        <v>0</v>
      </c>
      <c r="BL632" s="2010"/>
      <c r="BM632" s="58"/>
      <c r="BN632" s="2002">
        <f t="shared" si="4"/>
        <v>0</v>
      </c>
      <c r="BO632" s="2003"/>
      <c r="BP632" s="2003"/>
      <c r="BQ632" s="2003"/>
      <c r="BR632" s="2004"/>
      <c r="BS632" s="2001">
        <f t="shared" si="5"/>
        <v>0</v>
      </c>
      <c r="BT632" s="2001"/>
      <c r="BU632" s="2001"/>
      <c r="BV632" s="2001"/>
      <c r="BW632" s="2001"/>
      <c r="BX632" s="2001">
        <f t="shared" si="6"/>
        <v>0</v>
      </c>
      <c r="BY632" s="2001"/>
      <c r="BZ632" s="2001"/>
      <c r="CA632" s="2001"/>
      <c r="CB632" s="2001"/>
      <c r="CC632" s="2001">
        <f t="shared" si="7"/>
        <v>0</v>
      </c>
      <c r="CD632" s="2001"/>
      <c r="CE632" s="2001"/>
      <c r="CF632" s="2001"/>
      <c r="CG632" s="2001"/>
      <c r="CH632" s="2001">
        <f t="shared" si="8"/>
        <v>0</v>
      </c>
      <c r="CI632" s="2001"/>
      <c r="CJ632" s="2001"/>
      <c r="CK632" s="2001"/>
      <c r="CL632" s="2001"/>
      <c r="CM632" s="2001">
        <f t="shared" si="9"/>
        <v>0</v>
      </c>
      <c r="CN632" s="2001"/>
      <c r="CO632" s="2001"/>
      <c r="CP632" s="2001"/>
      <c r="CQ632" s="2001"/>
      <c r="CR632" s="265"/>
      <c r="CS632" s="2369">
        <f t="shared" si="10"/>
        <v>0</v>
      </c>
      <c r="CT632" s="2369"/>
      <c r="CU632" s="2369"/>
      <c r="CV632" s="2369"/>
      <c r="CW632" s="2369"/>
      <c r="CX632" s="2369">
        <f t="shared" si="11"/>
        <v>0</v>
      </c>
      <c r="CY632" s="2369"/>
      <c r="CZ632" s="2369"/>
      <c r="DA632" s="2369"/>
      <c r="DB632" s="2369"/>
      <c r="DC632" s="2369">
        <f t="shared" si="12"/>
        <v>0</v>
      </c>
      <c r="DD632" s="2369"/>
      <c r="DE632" s="2369"/>
      <c r="DF632" s="2369"/>
      <c r="DG632" s="2369"/>
      <c r="DH632" s="2369">
        <f t="shared" si="13"/>
        <v>0</v>
      </c>
      <c r="DI632" s="2369"/>
      <c r="DJ632" s="2369"/>
      <c r="DK632" s="2369"/>
      <c r="DL632" s="2369"/>
      <c r="DM632" s="2369">
        <f t="shared" si="14"/>
        <v>0</v>
      </c>
      <c r="DN632" s="2369"/>
      <c r="DO632" s="2369"/>
      <c r="DP632" s="2369"/>
      <c r="DQ632" s="2369"/>
      <c r="DR632" s="2369">
        <f t="shared" si="15"/>
        <v>0</v>
      </c>
      <c r="DS632" s="2369"/>
      <c r="DT632" s="2369"/>
      <c r="DU632" s="2369"/>
      <c r="DV632" s="2369"/>
      <c r="DX632" s="2011" t="str">
        <f t="shared" si="16"/>
        <v xml:space="preserve"> </v>
      </c>
      <c r="DY632" s="2169"/>
      <c r="DZ632" s="2169"/>
      <c r="EA632" s="2169"/>
      <c r="EB632" s="2012"/>
      <c r="EC632" s="2011" t="str">
        <f t="shared" si="17"/>
        <v xml:space="preserve"> </v>
      </c>
      <c r="ED632" s="2169"/>
      <c r="EE632" s="2169"/>
      <c r="EF632" s="2169"/>
      <c r="EG632" s="2012"/>
      <c r="EH632" s="2011" t="str">
        <f t="shared" si="18"/>
        <v xml:space="preserve"> </v>
      </c>
      <c r="EI632" s="2169"/>
      <c r="EJ632" s="2169"/>
      <c r="EK632" s="2169"/>
      <c r="EL632" s="2012"/>
      <c r="EM632" s="2011" t="str">
        <f t="shared" si="19"/>
        <v xml:space="preserve"> </v>
      </c>
      <c r="EN632" s="2169"/>
      <c r="EO632" s="2169"/>
      <c r="EP632" s="2169"/>
      <c r="EQ632" s="2012"/>
      <c r="ER632" s="2011" t="str">
        <f t="shared" si="20"/>
        <v xml:space="preserve"> </v>
      </c>
      <c r="ES632" s="2169"/>
      <c r="ET632" s="2169"/>
      <c r="EU632" s="2169"/>
      <c r="EV632" s="2012"/>
      <c r="EW632" s="2011" t="str">
        <f t="shared" si="21"/>
        <v xml:space="preserve"> </v>
      </c>
      <c r="EX632" s="2169"/>
      <c r="EY632" s="2169"/>
      <c r="EZ632" s="2169"/>
      <c r="FA632" s="2012"/>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0"/>
        <v>0</v>
      </c>
      <c r="BF633" s="2012"/>
      <c r="BG633" s="2008">
        <f t="shared" si="1"/>
        <v>0</v>
      </c>
      <c r="BH633" s="2010"/>
      <c r="BI633" s="2011">
        <f t="shared" si="2"/>
        <v>0</v>
      </c>
      <c r="BJ633" s="2012"/>
      <c r="BK633" s="2008">
        <f t="shared" si="3"/>
        <v>0</v>
      </c>
      <c r="BL633" s="2010"/>
      <c r="BM633" s="58"/>
      <c r="BN633" s="2002">
        <f t="shared" si="4"/>
        <v>0</v>
      </c>
      <c r="BO633" s="2003"/>
      <c r="BP633" s="2003"/>
      <c r="BQ633" s="2003"/>
      <c r="BR633" s="2004"/>
      <c r="BS633" s="2001">
        <f t="shared" si="5"/>
        <v>0</v>
      </c>
      <c r="BT633" s="2001"/>
      <c r="BU633" s="2001"/>
      <c r="BV633" s="2001"/>
      <c r="BW633" s="2001"/>
      <c r="BX633" s="2001">
        <f t="shared" si="6"/>
        <v>0</v>
      </c>
      <c r="BY633" s="2001"/>
      <c r="BZ633" s="2001"/>
      <c r="CA633" s="2001"/>
      <c r="CB633" s="2001"/>
      <c r="CC633" s="2001">
        <f t="shared" si="7"/>
        <v>0</v>
      </c>
      <c r="CD633" s="2001"/>
      <c r="CE633" s="2001"/>
      <c r="CF633" s="2001"/>
      <c r="CG633" s="2001"/>
      <c r="CH633" s="2001">
        <f t="shared" si="8"/>
        <v>0</v>
      </c>
      <c r="CI633" s="2001"/>
      <c r="CJ633" s="2001"/>
      <c r="CK633" s="2001"/>
      <c r="CL633" s="2001"/>
      <c r="CM633" s="2001">
        <f t="shared" si="9"/>
        <v>0</v>
      </c>
      <c r="CN633" s="2001"/>
      <c r="CO633" s="2001"/>
      <c r="CP633" s="2001"/>
      <c r="CQ633" s="2001"/>
      <c r="CR633" s="265"/>
      <c r="CS633" s="2369">
        <f t="shared" si="10"/>
        <v>0</v>
      </c>
      <c r="CT633" s="2369"/>
      <c r="CU633" s="2369"/>
      <c r="CV633" s="2369"/>
      <c r="CW633" s="2369"/>
      <c r="CX633" s="2369">
        <f t="shared" si="11"/>
        <v>0</v>
      </c>
      <c r="CY633" s="2369"/>
      <c r="CZ633" s="2369"/>
      <c r="DA633" s="2369"/>
      <c r="DB633" s="2369"/>
      <c r="DC633" s="2369">
        <f t="shared" si="12"/>
        <v>0</v>
      </c>
      <c r="DD633" s="2369"/>
      <c r="DE633" s="2369"/>
      <c r="DF633" s="2369"/>
      <c r="DG633" s="2369"/>
      <c r="DH633" s="2369">
        <f t="shared" si="13"/>
        <v>0</v>
      </c>
      <c r="DI633" s="2369"/>
      <c r="DJ633" s="2369"/>
      <c r="DK633" s="2369"/>
      <c r="DL633" s="2369"/>
      <c r="DM633" s="2369">
        <f t="shared" si="14"/>
        <v>0</v>
      </c>
      <c r="DN633" s="2369"/>
      <c r="DO633" s="2369"/>
      <c r="DP633" s="2369"/>
      <c r="DQ633" s="2369"/>
      <c r="DR633" s="2369">
        <f t="shared" si="15"/>
        <v>0</v>
      </c>
      <c r="DS633" s="2369"/>
      <c r="DT633" s="2369"/>
      <c r="DU633" s="2369"/>
      <c r="DV633" s="2369"/>
      <c r="DX633" s="2011" t="str">
        <f t="shared" si="16"/>
        <v xml:space="preserve"> </v>
      </c>
      <c r="DY633" s="2169"/>
      <c r="DZ633" s="2169"/>
      <c r="EA633" s="2169"/>
      <c r="EB633" s="2012"/>
      <c r="EC633" s="2011" t="str">
        <f t="shared" si="17"/>
        <v xml:space="preserve"> </v>
      </c>
      <c r="ED633" s="2169"/>
      <c r="EE633" s="2169"/>
      <c r="EF633" s="2169"/>
      <c r="EG633" s="2012"/>
      <c r="EH633" s="2011" t="str">
        <f t="shared" si="18"/>
        <v xml:space="preserve"> </v>
      </c>
      <c r="EI633" s="2169"/>
      <c r="EJ633" s="2169"/>
      <c r="EK633" s="2169"/>
      <c r="EL633" s="2012"/>
      <c r="EM633" s="2011" t="str">
        <f t="shared" si="19"/>
        <v xml:space="preserve"> </v>
      </c>
      <c r="EN633" s="2169"/>
      <c r="EO633" s="2169"/>
      <c r="EP633" s="2169"/>
      <c r="EQ633" s="2012"/>
      <c r="ER633" s="2011" t="str">
        <f t="shared" si="20"/>
        <v xml:space="preserve"> </v>
      </c>
      <c r="ES633" s="2169"/>
      <c r="ET633" s="2169"/>
      <c r="EU633" s="2169"/>
      <c r="EV633" s="2012"/>
      <c r="EW633" s="2011" t="str">
        <f t="shared" si="21"/>
        <v xml:space="preserve"> </v>
      </c>
      <c r="EX633" s="2169"/>
      <c r="EY633" s="2169"/>
      <c r="EZ633" s="2169"/>
      <c r="FA633" s="2012"/>
    </row>
    <row r="634" spans="1:157" s="1839" customFormat="1" ht="12.75" customHeight="1">
      <c r="B634" s="2326" t="s">
        <v>485</v>
      </c>
      <c r="C634" s="2327"/>
      <c r="D634" s="2327"/>
      <c r="E634" s="2327"/>
      <c r="F634" s="2327"/>
      <c r="G634" s="2327"/>
      <c r="H634" s="2327"/>
      <c r="I634" s="2327"/>
      <c r="J634" s="2327"/>
      <c r="K634" s="2327"/>
      <c r="L634" s="2327"/>
      <c r="M634" s="2327"/>
      <c r="N634" s="2328"/>
      <c r="O634" s="2235" t="s">
        <v>2444</v>
      </c>
      <c r="P634" s="2151"/>
      <c r="Q634" s="2152"/>
      <c r="R634" s="2235" t="s">
        <v>2442</v>
      </c>
      <c r="S634" s="2151"/>
      <c r="T634" s="2152"/>
      <c r="U634" s="2540" t="s">
        <v>486</v>
      </c>
      <c r="V634" s="2540"/>
      <c r="W634" s="2541"/>
      <c r="X634" s="2235" t="s">
        <v>2167</v>
      </c>
      <c r="Y634" s="2151"/>
      <c r="Z634" s="2151"/>
      <c r="AA634" s="2151"/>
      <c r="AB634" s="2152"/>
      <c r="AC634" s="2546" t="s">
        <v>2165</v>
      </c>
      <c r="AD634" s="2547"/>
      <c r="AE634" s="2548"/>
      <c r="AF634" s="2235" t="s">
        <v>2168</v>
      </c>
      <c r="AG634" s="2151"/>
      <c r="AH634" s="2151"/>
      <c r="AI634" s="2151"/>
      <c r="AJ634" s="2152"/>
      <c r="AK634" s="2370" t="s">
        <v>2169</v>
      </c>
      <c r="AL634" s="2371"/>
      <c r="AM634" s="2371"/>
      <c r="AN634" s="2372"/>
      <c r="AO634" s="2555" t="s">
        <v>487</v>
      </c>
      <c r="AP634" s="2555"/>
      <c r="AQ634" s="2555"/>
      <c r="AR634" s="2555"/>
      <c r="AS634" s="2555"/>
      <c r="AT634" s="1840"/>
      <c r="AU634" s="1840"/>
      <c r="AV634" s="1840"/>
      <c r="AW634" s="1840"/>
      <c r="AX634" s="1840"/>
      <c r="AY634" s="1840"/>
      <c r="AZ634" s="181"/>
      <c r="BA634" s="181"/>
      <c r="BB634" s="181"/>
      <c r="BC634" s="181"/>
      <c r="BD634" s="181"/>
      <c r="BE634" s="2011">
        <f t="shared" si="0"/>
        <v>0</v>
      </c>
      <c r="BF634" s="2012"/>
      <c r="BG634" s="2008">
        <f t="shared" si="1"/>
        <v>0</v>
      </c>
      <c r="BH634" s="2010"/>
      <c r="BI634" s="2011">
        <f t="shared" si="2"/>
        <v>0</v>
      </c>
      <c r="BJ634" s="2012"/>
      <c r="BK634" s="2008">
        <f t="shared" si="3"/>
        <v>0</v>
      </c>
      <c r="BL634" s="2010"/>
      <c r="BM634" s="181"/>
      <c r="BN634" s="2002">
        <f t="shared" si="4"/>
        <v>0</v>
      </c>
      <c r="BO634" s="2003"/>
      <c r="BP634" s="2003"/>
      <c r="BQ634" s="2003"/>
      <c r="BR634" s="2004"/>
      <c r="BS634" s="2001">
        <f t="shared" si="5"/>
        <v>0</v>
      </c>
      <c r="BT634" s="2001"/>
      <c r="BU634" s="2001"/>
      <c r="BV634" s="2001"/>
      <c r="BW634" s="2001"/>
      <c r="BX634" s="2001">
        <f t="shared" si="6"/>
        <v>0</v>
      </c>
      <c r="BY634" s="2001"/>
      <c r="BZ634" s="2001"/>
      <c r="CA634" s="2001"/>
      <c r="CB634" s="2001"/>
      <c r="CC634" s="2001">
        <f t="shared" si="7"/>
        <v>0</v>
      </c>
      <c r="CD634" s="2001"/>
      <c r="CE634" s="2001"/>
      <c r="CF634" s="2001"/>
      <c r="CG634" s="2001"/>
      <c r="CH634" s="2001">
        <f t="shared" si="8"/>
        <v>0</v>
      </c>
      <c r="CI634" s="2001"/>
      <c r="CJ634" s="2001"/>
      <c r="CK634" s="2001"/>
      <c r="CL634" s="2001"/>
      <c r="CM634" s="2001">
        <f t="shared" si="9"/>
        <v>0</v>
      </c>
      <c r="CN634" s="2001"/>
      <c r="CO634" s="2001"/>
      <c r="CP634" s="2001"/>
      <c r="CQ634" s="2001"/>
      <c r="CR634" s="265"/>
      <c r="CS634" s="2369">
        <f t="shared" si="10"/>
        <v>0</v>
      </c>
      <c r="CT634" s="2369"/>
      <c r="CU634" s="2369"/>
      <c r="CV634" s="2369"/>
      <c r="CW634" s="2369"/>
      <c r="CX634" s="2369">
        <f t="shared" si="11"/>
        <v>0</v>
      </c>
      <c r="CY634" s="2369"/>
      <c r="CZ634" s="2369"/>
      <c r="DA634" s="2369"/>
      <c r="DB634" s="2369"/>
      <c r="DC634" s="2369">
        <f t="shared" si="12"/>
        <v>0</v>
      </c>
      <c r="DD634" s="2369"/>
      <c r="DE634" s="2369"/>
      <c r="DF634" s="2369"/>
      <c r="DG634" s="2369"/>
      <c r="DH634" s="2369">
        <f t="shared" si="13"/>
        <v>0</v>
      </c>
      <c r="DI634" s="2369"/>
      <c r="DJ634" s="2369"/>
      <c r="DK634" s="2369"/>
      <c r="DL634" s="2369"/>
      <c r="DM634" s="2369">
        <f t="shared" si="14"/>
        <v>0</v>
      </c>
      <c r="DN634" s="2369"/>
      <c r="DO634" s="2369"/>
      <c r="DP634" s="2369"/>
      <c r="DQ634" s="2369"/>
      <c r="DR634" s="2369">
        <f t="shared" si="15"/>
        <v>0</v>
      </c>
      <c r="DS634" s="2369"/>
      <c r="DT634" s="2369"/>
      <c r="DU634" s="2369"/>
      <c r="DV634" s="2369"/>
      <c r="DX634" s="2011" t="str">
        <f t="shared" si="16"/>
        <v xml:space="preserve"> </v>
      </c>
      <c r="DY634" s="2169"/>
      <c r="DZ634" s="2169"/>
      <c r="EA634" s="2169"/>
      <c r="EB634" s="2012"/>
      <c r="EC634" s="2011" t="str">
        <f t="shared" si="17"/>
        <v xml:space="preserve"> </v>
      </c>
      <c r="ED634" s="2169"/>
      <c r="EE634" s="2169"/>
      <c r="EF634" s="2169"/>
      <c r="EG634" s="2012"/>
      <c r="EH634" s="2011" t="str">
        <f t="shared" si="18"/>
        <v xml:space="preserve"> </v>
      </c>
      <c r="EI634" s="2169"/>
      <c r="EJ634" s="2169"/>
      <c r="EK634" s="2169"/>
      <c r="EL634" s="2012"/>
      <c r="EM634" s="2011" t="str">
        <f t="shared" si="19"/>
        <v xml:space="preserve"> </v>
      </c>
      <c r="EN634" s="2169"/>
      <c r="EO634" s="2169"/>
      <c r="EP634" s="2169"/>
      <c r="EQ634" s="2012"/>
      <c r="ER634" s="2011" t="str">
        <f t="shared" si="20"/>
        <v xml:space="preserve"> </v>
      </c>
      <c r="ES634" s="2169"/>
      <c r="ET634" s="2169"/>
      <c r="EU634" s="2169"/>
      <c r="EV634" s="2012"/>
      <c r="EW634" s="2011" t="str">
        <f t="shared" si="21"/>
        <v xml:space="preserve"> </v>
      </c>
      <c r="EX634" s="2169"/>
      <c r="EY634" s="2169"/>
      <c r="EZ634" s="2169"/>
      <c r="FA634" s="2012"/>
    </row>
    <row r="635" spans="1:157" s="1839" customFormat="1" ht="13.2">
      <c r="B635" s="2536"/>
      <c r="C635" s="2242"/>
      <c r="D635" s="2242"/>
      <c r="E635" s="2242"/>
      <c r="F635" s="2242"/>
      <c r="G635" s="2242"/>
      <c r="H635" s="2242"/>
      <c r="I635" s="2242"/>
      <c r="J635" s="2242"/>
      <c r="K635" s="2242"/>
      <c r="L635" s="2242"/>
      <c r="M635" s="2242"/>
      <c r="N635" s="2537"/>
      <c r="O635" s="2236"/>
      <c r="P635" s="2237"/>
      <c r="Q635" s="2238"/>
      <c r="R635" s="2236"/>
      <c r="S635" s="2237"/>
      <c r="T635" s="2238"/>
      <c r="U635" s="2542"/>
      <c r="V635" s="2542"/>
      <c r="W635" s="2543"/>
      <c r="X635" s="2236"/>
      <c r="Y635" s="2237"/>
      <c r="Z635" s="2237"/>
      <c r="AA635" s="2237"/>
      <c r="AB635" s="2238"/>
      <c r="AC635" s="2549"/>
      <c r="AD635" s="2550"/>
      <c r="AE635" s="2551"/>
      <c r="AF635" s="2236"/>
      <c r="AG635" s="2237"/>
      <c r="AH635" s="2237"/>
      <c r="AI635" s="2237"/>
      <c r="AJ635" s="2238"/>
      <c r="AK635" s="2373"/>
      <c r="AL635" s="2374"/>
      <c r="AM635" s="2374"/>
      <c r="AN635" s="2375"/>
      <c r="AO635" s="2555"/>
      <c r="AP635" s="2555"/>
      <c r="AQ635" s="2555"/>
      <c r="AR635" s="2555"/>
      <c r="AS635" s="2555"/>
      <c r="AT635" s="1840"/>
      <c r="AU635" s="1840"/>
      <c r="AV635" s="1840"/>
      <c r="AW635" s="1840"/>
      <c r="AX635" s="1840"/>
      <c r="AY635" s="1840"/>
      <c r="AZ635" s="181"/>
      <c r="BA635" s="181"/>
      <c r="BB635" s="181"/>
      <c r="BC635" s="181"/>
      <c r="BD635" s="181"/>
      <c r="BE635" s="181"/>
      <c r="BF635" s="181"/>
      <c r="BG635" s="2011">
        <f>SUM(BG610:BH634)</f>
        <v>43</v>
      </c>
      <c r="BH635" s="2012"/>
      <c r="BI635" s="181"/>
      <c r="BJ635" s="181"/>
      <c r="BK635" s="2011">
        <f>SUM(BK610:BL634)</f>
        <v>17</v>
      </c>
      <c r="BL635" s="2012"/>
      <c r="BM635" s="181"/>
      <c r="BN635" s="2011">
        <f>SUM(BN610:BR634)</f>
        <v>0</v>
      </c>
      <c r="BO635" s="2169"/>
      <c r="BP635" s="2169"/>
      <c r="BQ635" s="2169"/>
      <c r="BR635" s="2012"/>
      <c r="BS635" s="2170">
        <f>SUM(BS610:BW634)</f>
        <v>64</v>
      </c>
      <c r="BT635" s="2170"/>
      <c r="BU635" s="2170"/>
      <c r="BV635" s="2170"/>
      <c r="BW635" s="2170"/>
      <c r="BX635" s="2170">
        <f>SUM(BX610:CB634)</f>
        <v>57</v>
      </c>
      <c r="BY635" s="2170"/>
      <c r="BZ635" s="2170"/>
      <c r="CA635" s="2170"/>
      <c r="CB635" s="2170"/>
      <c r="CC635" s="2170">
        <f>SUM(CC610:CG634)</f>
        <v>42</v>
      </c>
      <c r="CD635" s="2170"/>
      <c r="CE635" s="2170"/>
      <c r="CF635" s="2170"/>
      <c r="CG635" s="2170"/>
      <c r="CH635" s="2170">
        <f>SUM(CH610:CL634)</f>
        <v>0</v>
      </c>
      <c r="CI635" s="2170"/>
      <c r="CJ635" s="2170"/>
      <c r="CK635" s="2170"/>
      <c r="CL635" s="2170"/>
      <c r="CM635" s="2170">
        <f>SUM(CM610:CQ634)</f>
        <v>0</v>
      </c>
      <c r="CN635" s="2170"/>
      <c r="CO635" s="2170"/>
      <c r="CP635" s="2170"/>
      <c r="CQ635" s="2170"/>
      <c r="CR635" s="698"/>
      <c r="CS635" s="2170">
        <f>SUM(CS610:CW634)</f>
        <v>0</v>
      </c>
      <c r="CT635" s="2170"/>
      <c r="CU635" s="2170"/>
      <c r="CV635" s="2170"/>
      <c r="CW635" s="2170"/>
      <c r="CX635" s="2170">
        <f>SUM(CX610:DB634)</f>
        <v>6</v>
      </c>
      <c r="CY635" s="2170"/>
      <c r="CZ635" s="2170"/>
      <c r="DA635" s="2170"/>
      <c r="DB635" s="2170"/>
      <c r="DC635" s="2170">
        <f>SUM(DC610:DG634)</f>
        <v>6</v>
      </c>
      <c r="DD635" s="2170"/>
      <c r="DE635" s="2170"/>
      <c r="DF635" s="2170"/>
      <c r="DG635" s="2170"/>
      <c r="DH635" s="2170">
        <f>SUM(DH610:DL634)</f>
        <v>5</v>
      </c>
      <c r="DI635" s="2170"/>
      <c r="DJ635" s="2170"/>
      <c r="DK635" s="2170"/>
      <c r="DL635" s="2170"/>
      <c r="DM635" s="2170">
        <f>SUM(DM610:DQ634)</f>
        <v>0</v>
      </c>
      <c r="DN635" s="2170"/>
      <c r="DO635" s="2170"/>
      <c r="DP635" s="2170"/>
      <c r="DQ635" s="2170"/>
      <c r="DR635" s="2170">
        <f>SUM(DR610:DV634)</f>
        <v>0</v>
      </c>
      <c r="DS635" s="2170"/>
      <c r="DT635" s="2170"/>
      <c r="DU635" s="2170"/>
      <c r="DV635" s="2170"/>
      <c r="DX635" s="2170">
        <f>SUM(DX610:EB634)</f>
        <v>0</v>
      </c>
      <c r="DY635" s="2170"/>
      <c r="DZ635" s="2170"/>
      <c r="EA635" s="2170"/>
      <c r="EB635" s="2170"/>
      <c r="EC635" s="2170">
        <f>SUM(EC610:EG634)</f>
        <v>4317</v>
      </c>
      <c r="ED635" s="2170"/>
      <c r="EE635" s="2170"/>
      <c r="EF635" s="2170"/>
      <c r="EG635" s="2170"/>
      <c r="EH635" s="2170">
        <f>SUM(EH610:EL634)</f>
        <v>5148</v>
      </c>
      <c r="EI635" s="2170"/>
      <c r="EJ635" s="2170"/>
      <c r="EK635" s="2170"/>
      <c r="EL635" s="2170"/>
      <c r="EM635" s="2170">
        <f>SUM(EM610:EQ634)</f>
        <v>5915</v>
      </c>
      <c r="EN635" s="2170"/>
      <c r="EO635" s="2170"/>
      <c r="EP635" s="2170"/>
      <c r="EQ635" s="2170"/>
      <c r="ER635" s="2170">
        <f>SUM(ER610:EV634)</f>
        <v>0</v>
      </c>
      <c r="ES635" s="2170"/>
      <c r="ET635" s="2170"/>
      <c r="EU635" s="2170"/>
      <c r="EV635" s="2170"/>
      <c r="EW635" s="2170">
        <f>SUM(EW610:FA634)</f>
        <v>0</v>
      </c>
      <c r="EX635" s="2170"/>
      <c r="EY635" s="2170"/>
      <c r="EZ635" s="2170"/>
      <c r="FA635" s="2170"/>
    </row>
    <row r="636" spans="1:157" s="1839" customFormat="1" ht="13.2">
      <c r="B636" s="2538"/>
      <c r="C636" s="2242"/>
      <c r="D636" s="2242"/>
      <c r="E636" s="2242"/>
      <c r="F636" s="2242"/>
      <c r="G636" s="2242"/>
      <c r="H636" s="2242"/>
      <c r="I636" s="2242"/>
      <c r="J636" s="2242"/>
      <c r="K636" s="2242"/>
      <c r="L636" s="2242"/>
      <c r="M636" s="2242"/>
      <c r="N636" s="2537"/>
      <c r="O636" s="2239"/>
      <c r="P636" s="2240"/>
      <c r="Q636" s="2241"/>
      <c r="R636" s="2239"/>
      <c r="S636" s="2240"/>
      <c r="T636" s="2241"/>
      <c r="U636" s="2544"/>
      <c r="V636" s="2544"/>
      <c r="W636" s="2545"/>
      <c r="X636" s="2239"/>
      <c r="Y636" s="2240"/>
      <c r="Z636" s="2240"/>
      <c r="AA636" s="2240"/>
      <c r="AB636" s="2241"/>
      <c r="AC636" s="2552"/>
      <c r="AD636" s="2553"/>
      <c r="AE636" s="2554"/>
      <c r="AF636" s="2239"/>
      <c r="AG636" s="2240"/>
      <c r="AH636" s="2240"/>
      <c r="AI636" s="2240"/>
      <c r="AJ636" s="2241"/>
      <c r="AK636" s="2376"/>
      <c r="AL636" s="2377"/>
      <c r="AM636" s="2377"/>
      <c r="AN636" s="2378"/>
      <c r="AO636" s="2555"/>
      <c r="AP636" s="2555"/>
      <c r="AQ636" s="2555"/>
      <c r="AR636" s="2555"/>
      <c r="AS636" s="255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1">
        <f>BN635+BS635+BX635+CC635+CH635+CM635</f>
        <v>163</v>
      </c>
      <c r="CN636" s="2169"/>
      <c r="CO636" s="2169"/>
      <c r="CP636" s="2169"/>
      <c r="CQ636" s="2012"/>
      <c r="CR636" s="698"/>
      <c r="CS636" s="181"/>
      <c r="CT636" s="181"/>
      <c r="CU636" s="181"/>
      <c r="CV636" s="181"/>
      <c r="CW636" s="181"/>
      <c r="CX636" s="181"/>
      <c r="CY636" s="181"/>
      <c r="CZ636" s="181"/>
      <c r="DA636" s="181"/>
      <c r="DB636" s="181"/>
      <c r="DC636" s="181"/>
      <c r="DD636" s="181"/>
      <c r="DE636" s="181"/>
      <c r="DF636" s="181"/>
    </row>
    <row r="637" spans="1:157" ht="13.2">
      <c r="B637" s="83" t="s">
        <v>117</v>
      </c>
      <c r="C637" s="2056" t="s">
        <v>2588</v>
      </c>
      <c r="D637" s="2134"/>
      <c r="E637" s="2134"/>
      <c r="F637" s="2134"/>
      <c r="G637" s="2134"/>
      <c r="H637" s="2134"/>
      <c r="I637" s="2134"/>
      <c r="J637" s="2134"/>
      <c r="K637" s="2134"/>
      <c r="L637" s="2134"/>
      <c r="M637" s="2134"/>
      <c r="N637" s="2539"/>
      <c r="O637" s="2232">
        <v>216</v>
      </c>
      <c r="P637" s="2233"/>
      <c r="Q637" s="2234"/>
      <c r="R637" s="2128">
        <v>480</v>
      </c>
      <c r="S637" s="2129"/>
      <c r="T637" s="2130"/>
      <c r="U637" s="2366">
        <v>4.2999999999999997E-2</v>
      </c>
      <c r="V637" s="2367"/>
      <c r="W637" s="2368"/>
      <c r="X637" s="2280" t="s">
        <v>2166</v>
      </c>
      <c r="Y637" s="2281"/>
      <c r="Z637" s="2281"/>
      <c r="AA637" s="2281"/>
      <c r="AB637" s="2282"/>
      <c r="AC637" s="2125">
        <v>1</v>
      </c>
      <c r="AD637" s="2126"/>
      <c r="AE637" s="2127"/>
      <c r="AF637" s="2226">
        <f>119246*12</f>
        <v>1430952</v>
      </c>
      <c r="AG637" s="2227"/>
      <c r="AH637" s="2227"/>
      <c r="AI637" s="2227"/>
      <c r="AJ637" s="2228"/>
      <c r="AK637" s="2229"/>
      <c r="AL637" s="2230"/>
      <c r="AM637" s="2230"/>
      <c r="AN637" s="2231"/>
      <c r="AO637" s="2149">
        <v>27500000</v>
      </c>
      <c r="AP637" s="2149"/>
      <c r="AQ637" s="2149"/>
      <c r="AR637" s="2149"/>
      <c r="AS637" s="2149"/>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64</v>
      </c>
      <c r="BX637" s="58"/>
      <c r="BY637" s="58"/>
      <c r="BZ637" s="58"/>
      <c r="CA637" s="58"/>
      <c r="CB637" s="1472">
        <f>BX635*2</f>
        <v>114</v>
      </c>
      <c r="CC637" s="58"/>
      <c r="CD637" s="58"/>
      <c r="CE637" s="58"/>
      <c r="CF637" s="58"/>
      <c r="CG637" s="1472">
        <f>CC635*3</f>
        <v>126</v>
      </c>
      <c r="CH637" s="58"/>
      <c r="CI637" s="58"/>
      <c r="CJ637" s="58"/>
      <c r="CK637" s="58"/>
      <c r="CL637" s="1472">
        <f>CH635*4</f>
        <v>0</v>
      </c>
      <c r="CM637" s="58"/>
      <c r="CN637" s="58"/>
      <c r="CO637" s="58"/>
      <c r="CP637" s="58"/>
      <c r="CQ637" s="1472">
        <f>CM635*5</f>
        <v>0</v>
      </c>
      <c r="CS637" s="1472">
        <f>BR637+BW637+CB637+CG637+CL637+CQ637</f>
        <v>304</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6" t="s">
        <v>2512</v>
      </c>
      <c r="D638" s="2134"/>
      <c r="E638" s="2134"/>
      <c r="F638" s="2134"/>
      <c r="G638" s="2134"/>
      <c r="H638" s="2134"/>
      <c r="I638" s="2134"/>
      <c r="J638" s="2134"/>
      <c r="K638" s="2134"/>
      <c r="L638" s="2134"/>
      <c r="M638" s="2134"/>
      <c r="N638" s="2539"/>
      <c r="O638" s="2232">
        <v>660</v>
      </c>
      <c r="P638" s="2233"/>
      <c r="Q638" s="2234"/>
      <c r="R638" s="2128">
        <v>660</v>
      </c>
      <c r="S638" s="2129"/>
      <c r="T638" s="2130"/>
      <c r="U638" s="2366">
        <v>0.03</v>
      </c>
      <c r="V638" s="2367"/>
      <c r="W638" s="2368"/>
      <c r="X638" s="2280" t="s">
        <v>491</v>
      </c>
      <c r="Y638" s="2281"/>
      <c r="Z638" s="2281"/>
      <c r="AA638" s="2281"/>
      <c r="AB638" s="2282"/>
      <c r="AC638" s="2125">
        <v>2</v>
      </c>
      <c r="AD638" s="2126"/>
      <c r="AE638" s="2127"/>
      <c r="AF638" s="2226"/>
      <c r="AG638" s="2227"/>
      <c r="AH638" s="2227"/>
      <c r="AI638" s="2227"/>
      <c r="AJ638" s="2228"/>
      <c r="AK638" s="2229"/>
      <c r="AL638" s="2230"/>
      <c r="AM638" s="2230"/>
      <c r="AN638" s="2231"/>
      <c r="AO638" s="2149">
        <v>4428000</v>
      </c>
      <c r="AP638" s="2149"/>
      <c r="AQ638" s="2149"/>
      <c r="AR638" s="2149"/>
      <c r="AS638" s="214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5" t="e">
        <f t="shared" ref="DX638:DX662" si="22">DX610*(BN610/$BN$635)</f>
        <v>#VALUE!</v>
      </c>
      <c r="DY638" s="2535"/>
      <c r="DZ638" s="2535"/>
      <c r="EA638" s="2535"/>
      <c r="EB638" s="2535"/>
      <c r="EC638" s="2535">
        <f t="shared" ref="EC638:EC662" si="23">EC610*(BS610/$BS$635)</f>
        <v>56.25</v>
      </c>
      <c r="ED638" s="2535"/>
      <c r="EE638" s="2535"/>
      <c r="EF638" s="2535"/>
      <c r="EG638" s="2535"/>
      <c r="EH638" s="2535" t="e">
        <f t="shared" ref="EH638:EH662" si="24">EH610*(BX610/$BX$635)</f>
        <v>#VALUE!</v>
      </c>
      <c r="EI638" s="2535"/>
      <c r="EJ638" s="2535"/>
      <c r="EK638" s="2535"/>
      <c r="EL638" s="2535"/>
      <c r="EM638" s="2535" t="e">
        <f t="shared" ref="EM638:EM662" si="25">EM610*(CC610/$CC$635)</f>
        <v>#VALUE!</v>
      </c>
      <c r="EN638" s="2535"/>
      <c r="EO638" s="2535"/>
      <c r="EP638" s="2535"/>
      <c r="EQ638" s="2535"/>
      <c r="ER638" s="2535" t="e">
        <f t="shared" ref="ER638:ER662" si="26">ER610*(CH610/$CH$635)</f>
        <v>#VALUE!</v>
      </c>
      <c r="ES638" s="2535"/>
      <c r="ET638" s="2535"/>
      <c r="EU638" s="2535"/>
      <c r="EV638" s="2535"/>
      <c r="EW638" s="2535" t="e">
        <f t="shared" ref="EW638:EW662" si="27">EW610*(CM610/$CM$635)</f>
        <v>#VALUE!</v>
      </c>
      <c r="EX638" s="2535"/>
      <c r="EY638" s="2535"/>
      <c r="EZ638" s="2535"/>
      <c r="FA638" s="2535"/>
    </row>
    <row r="639" spans="1:157" ht="12.75" customHeight="1">
      <c r="B639" s="84" t="s">
        <v>124</v>
      </c>
      <c r="C639" s="2056" t="s">
        <v>2587</v>
      </c>
      <c r="D639" s="2134"/>
      <c r="E639" s="2134"/>
      <c r="F639" s="2134"/>
      <c r="G639" s="2134"/>
      <c r="H639" s="2134"/>
      <c r="I639" s="2134"/>
      <c r="J639" s="2134"/>
      <c r="K639" s="2134"/>
      <c r="L639" s="2134"/>
      <c r="M639" s="2134"/>
      <c r="N639" s="2539"/>
      <c r="O639" s="2232">
        <v>180</v>
      </c>
      <c r="P639" s="2233"/>
      <c r="Q639" s="2234"/>
      <c r="R639" s="2128">
        <v>180</v>
      </c>
      <c r="S639" s="2129"/>
      <c r="T639" s="2130"/>
      <c r="U639" s="2366">
        <v>0</v>
      </c>
      <c r="V639" s="2367"/>
      <c r="W639" s="2368"/>
      <c r="X639" s="2280" t="s">
        <v>491</v>
      </c>
      <c r="Y639" s="2281"/>
      <c r="Z639" s="2281"/>
      <c r="AA639" s="2281"/>
      <c r="AB639" s="2282"/>
      <c r="AC639" s="2125"/>
      <c r="AD639" s="2126"/>
      <c r="AE639" s="2127"/>
      <c r="AF639" s="2226"/>
      <c r="AG639" s="2227"/>
      <c r="AH639" s="2227"/>
      <c r="AI639" s="2227"/>
      <c r="AJ639" s="2228"/>
      <c r="AK639" s="2229"/>
      <c r="AL639" s="2230"/>
      <c r="AM639" s="2230"/>
      <c r="AN639" s="2231"/>
      <c r="AO639" s="2149">
        <v>5768106</v>
      </c>
      <c r="AP639" s="2149"/>
      <c r="AQ639" s="2149"/>
      <c r="AR639" s="2149"/>
      <c r="AS639" s="214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5" t="e">
        <f t="shared" si="22"/>
        <v>#VALUE!</v>
      </c>
      <c r="DY639" s="2535"/>
      <c r="DZ639" s="2535"/>
      <c r="EA639" s="2535"/>
      <c r="EB639" s="2535"/>
      <c r="EC639" s="2535">
        <f t="shared" si="23"/>
        <v>256.5</v>
      </c>
      <c r="ED639" s="2535"/>
      <c r="EE639" s="2535"/>
      <c r="EF639" s="2535"/>
      <c r="EG639" s="2535"/>
      <c r="EH639" s="2535" t="e">
        <f t="shared" si="24"/>
        <v>#VALUE!</v>
      </c>
      <c r="EI639" s="2535"/>
      <c r="EJ639" s="2535"/>
      <c r="EK639" s="2535"/>
      <c r="EL639" s="2535"/>
      <c r="EM639" s="2535" t="e">
        <f t="shared" si="25"/>
        <v>#VALUE!</v>
      </c>
      <c r="EN639" s="2535"/>
      <c r="EO639" s="2535"/>
      <c r="EP639" s="2535"/>
      <c r="EQ639" s="2535"/>
      <c r="ER639" s="2535" t="e">
        <f t="shared" si="26"/>
        <v>#VALUE!</v>
      </c>
      <c r="ES639" s="2535"/>
      <c r="ET639" s="2535"/>
      <c r="EU639" s="2535"/>
      <c r="EV639" s="2535"/>
      <c r="EW639" s="2535" t="e">
        <f t="shared" si="27"/>
        <v>#VALUE!</v>
      </c>
      <c r="EX639" s="2535"/>
      <c r="EY639" s="2535"/>
      <c r="EZ639" s="2535"/>
      <c r="FA639" s="2535"/>
    </row>
    <row r="640" spans="1:157" ht="13.2">
      <c r="B640" s="84" t="s">
        <v>617</v>
      </c>
      <c r="C640" s="2056" t="s">
        <v>2515</v>
      </c>
      <c r="D640" s="2134"/>
      <c r="E640" s="2134"/>
      <c r="F640" s="2134"/>
      <c r="G640" s="2134"/>
      <c r="H640" s="2134"/>
      <c r="I640" s="2134"/>
      <c r="J640" s="2134"/>
      <c r="K640" s="2134"/>
      <c r="L640" s="2134"/>
      <c r="M640" s="2134"/>
      <c r="N640" s="2539"/>
      <c r="O640" s="2232"/>
      <c r="P640" s="2233"/>
      <c r="Q640" s="2234"/>
      <c r="R640" s="2128"/>
      <c r="S640" s="2129"/>
      <c r="T640" s="2130"/>
      <c r="U640" s="2366"/>
      <c r="V640" s="2367"/>
      <c r="W640" s="2368"/>
      <c r="X640" s="2280" t="s">
        <v>310</v>
      </c>
      <c r="Y640" s="2281"/>
      <c r="Z640" s="2281"/>
      <c r="AA640" s="2281"/>
      <c r="AB640" s="2282"/>
      <c r="AC640" s="2125"/>
      <c r="AD640" s="2126"/>
      <c r="AE640" s="2127"/>
      <c r="AF640" s="2226"/>
      <c r="AG640" s="2227"/>
      <c r="AH640" s="2227"/>
      <c r="AI640" s="2227"/>
      <c r="AJ640" s="2228"/>
      <c r="AK640" s="2229"/>
      <c r="AL640" s="2230"/>
      <c r="AM640" s="2230"/>
      <c r="AN640" s="2231"/>
      <c r="AO640" s="2149">
        <v>1650498</v>
      </c>
      <c r="AP640" s="2149"/>
      <c r="AQ640" s="2149"/>
      <c r="AR640" s="2149"/>
      <c r="AS640" s="2149"/>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2">
        <f>IF(J772="SRO/Studio",O772,0)</f>
        <v>0</v>
      </c>
      <c r="BO640" s="2003"/>
      <c r="BP640" s="2003"/>
      <c r="BQ640" s="2003"/>
      <c r="BR640" s="2004"/>
      <c r="BS640" s="2001">
        <f>IF(J772="1 Bedroom",O772,0)</f>
        <v>0</v>
      </c>
      <c r="BT640" s="2001"/>
      <c r="BU640" s="2001"/>
      <c r="BV640" s="2001"/>
      <c r="BW640" s="2001"/>
      <c r="BX640" s="2001">
        <f>IF(J772="2 Bedrooms",O772,0)</f>
        <v>1</v>
      </c>
      <c r="BY640" s="2001"/>
      <c r="BZ640" s="2001"/>
      <c r="CA640" s="2001"/>
      <c r="CB640" s="2001"/>
      <c r="CC640" s="2001">
        <f>IF(J772="3 Bedrooms",O772,0)</f>
        <v>0</v>
      </c>
      <c r="CD640" s="2001"/>
      <c r="CE640" s="2001"/>
      <c r="CF640" s="2001"/>
      <c r="CG640" s="2001"/>
      <c r="CH640" s="2001">
        <f>IF(J772="4 Bedrooms",O772,0)</f>
        <v>0</v>
      </c>
      <c r="CI640" s="2001"/>
      <c r="CJ640" s="2001"/>
      <c r="CK640" s="2001"/>
      <c r="CL640" s="2001"/>
      <c r="CM640" s="2001">
        <f>IF(J772="5 Bedrooms",O772,0)</f>
        <v>0</v>
      </c>
      <c r="CN640" s="2001"/>
      <c r="CO640" s="2001"/>
      <c r="CP640" s="2001"/>
      <c r="CQ640" s="2001"/>
      <c r="CR640" s="265"/>
      <c r="CS640" s="58"/>
      <c r="CT640" s="58"/>
      <c r="CU640" s="58"/>
      <c r="CV640" s="58"/>
      <c r="CW640" s="58"/>
      <c r="CX640" s="58"/>
      <c r="CY640" s="58"/>
      <c r="CZ640" s="58"/>
      <c r="DA640" s="58"/>
      <c r="DB640" s="58"/>
      <c r="DC640" s="58"/>
      <c r="DD640" s="58"/>
      <c r="DE640" s="58"/>
      <c r="DF640" s="58"/>
      <c r="DX640" s="2535" t="e">
        <f t="shared" si="22"/>
        <v>#VALUE!</v>
      </c>
      <c r="DY640" s="2535"/>
      <c r="DZ640" s="2535"/>
      <c r="EA640" s="2535"/>
      <c r="EB640" s="2535"/>
      <c r="EC640" s="2535">
        <f t="shared" si="23"/>
        <v>309.75</v>
      </c>
      <c r="ED640" s="2535"/>
      <c r="EE640" s="2535"/>
      <c r="EF640" s="2535"/>
      <c r="EG640" s="2535"/>
      <c r="EH640" s="2535" t="e">
        <f t="shared" si="24"/>
        <v>#VALUE!</v>
      </c>
      <c r="EI640" s="2535"/>
      <c r="EJ640" s="2535"/>
      <c r="EK640" s="2535"/>
      <c r="EL640" s="2535"/>
      <c r="EM640" s="2535" t="e">
        <f t="shared" si="25"/>
        <v>#VALUE!</v>
      </c>
      <c r="EN640" s="2535"/>
      <c r="EO640" s="2535"/>
      <c r="EP640" s="2535"/>
      <c r="EQ640" s="2535"/>
      <c r="ER640" s="2535" t="e">
        <f t="shared" si="26"/>
        <v>#VALUE!</v>
      </c>
      <c r="ES640" s="2535"/>
      <c r="ET640" s="2535"/>
      <c r="EU640" s="2535"/>
      <c r="EV640" s="2535"/>
      <c r="EW640" s="2535" t="e">
        <f t="shared" si="27"/>
        <v>#VALUE!</v>
      </c>
      <c r="EX640" s="2535"/>
      <c r="EY640" s="2535"/>
      <c r="EZ640" s="2535"/>
      <c r="FA640" s="2535"/>
    </row>
    <row r="641" spans="1:157" ht="13.2">
      <c r="B641" s="84" t="s">
        <v>824</v>
      </c>
      <c r="C641" s="2134"/>
      <c r="D641" s="2134"/>
      <c r="E641" s="2134"/>
      <c r="F641" s="2134"/>
      <c r="G641" s="2134"/>
      <c r="H641" s="2134"/>
      <c r="I641" s="2134"/>
      <c r="J641" s="2134"/>
      <c r="K641" s="2134"/>
      <c r="L641" s="2134"/>
      <c r="M641" s="2134"/>
      <c r="N641" s="2539"/>
      <c r="O641" s="2232"/>
      <c r="P641" s="2233"/>
      <c r="Q641" s="2234"/>
      <c r="R641" s="2128"/>
      <c r="S641" s="2129"/>
      <c r="T641" s="2130"/>
      <c r="U641" s="2366"/>
      <c r="V641" s="2367"/>
      <c r="W641" s="2368"/>
      <c r="X641" s="2280" t="s">
        <v>1387</v>
      </c>
      <c r="Y641" s="2281"/>
      <c r="Z641" s="2281"/>
      <c r="AA641" s="2281"/>
      <c r="AB641" s="2282"/>
      <c r="AC641" s="2125"/>
      <c r="AD641" s="2126"/>
      <c r="AE641" s="2127"/>
      <c r="AF641" s="2226"/>
      <c r="AG641" s="2227"/>
      <c r="AH641" s="2227"/>
      <c r="AI641" s="2227"/>
      <c r="AJ641" s="2228"/>
      <c r="AK641" s="2229"/>
      <c r="AL641" s="2230"/>
      <c r="AM641" s="2230"/>
      <c r="AN641" s="2231"/>
      <c r="AO641" s="2149"/>
      <c r="AP641" s="2149"/>
      <c r="AQ641" s="2149"/>
      <c r="AR641" s="2149"/>
      <c r="AS641" s="214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01">
        <f>IF(J773="1 Bedroom",O773,0)</f>
        <v>0</v>
      </c>
      <c r="BT641" s="2001"/>
      <c r="BU641" s="2001"/>
      <c r="BV641" s="2001"/>
      <c r="BW641" s="2001"/>
      <c r="BX641" s="2001">
        <f>IF(J773="2 Bedrooms",O773,0)</f>
        <v>0</v>
      </c>
      <c r="BY641" s="2001"/>
      <c r="BZ641" s="2001"/>
      <c r="CA641" s="2001"/>
      <c r="CB641" s="2001"/>
      <c r="CC641" s="2001">
        <f>IF(J773="3 Bedrooms",O773,0)</f>
        <v>0</v>
      </c>
      <c r="CD641" s="2001"/>
      <c r="CE641" s="2001"/>
      <c r="CF641" s="2001"/>
      <c r="CG641" s="2001"/>
      <c r="CH641" s="2001">
        <f>IF(J773="4 Bedrooms",O773,0)</f>
        <v>0</v>
      </c>
      <c r="CI641" s="2001"/>
      <c r="CJ641" s="2001"/>
      <c r="CK641" s="2001"/>
      <c r="CL641" s="2001"/>
      <c r="CM641" s="2001">
        <f>IF(J773="5 Bedrooms",O773,0)</f>
        <v>0</v>
      </c>
      <c r="CN641" s="2001"/>
      <c r="CO641" s="2001"/>
      <c r="CP641" s="2001"/>
      <c r="CQ641" s="2001"/>
      <c r="CR641" s="265"/>
      <c r="CS641" s="58"/>
      <c r="CT641" s="58"/>
      <c r="CU641" s="58"/>
      <c r="CV641" s="58"/>
      <c r="CW641" s="58"/>
      <c r="CX641" s="58"/>
      <c r="CY641" s="58"/>
      <c r="CZ641" s="58"/>
      <c r="DA641" s="58"/>
      <c r="DB641" s="58"/>
      <c r="DC641" s="58"/>
      <c r="DD641" s="58"/>
      <c r="DE641" s="58"/>
      <c r="DF641" s="58"/>
      <c r="DX641" s="2535" t="e">
        <f t="shared" si="22"/>
        <v>#VALUE!</v>
      </c>
      <c r="DY641" s="2535"/>
      <c r="DZ641" s="2535"/>
      <c r="EA641" s="2535"/>
      <c r="EB641" s="2535"/>
      <c r="EC641" s="2535">
        <f t="shared" si="23"/>
        <v>589.875</v>
      </c>
      <c r="ED641" s="2535"/>
      <c r="EE641" s="2535"/>
      <c r="EF641" s="2535"/>
      <c r="EG641" s="2535"/>
      <c r="EH641" s="2535" t="e">
        <f t="shared" si="24"/>
        <v>#VALUE!</v>
      </c>
      <c r="EI641" s="2535"/>
      <c r="EJ641" s="2535"/>
      <c r="EK641" s="2535"/>
      <c r="EL641" s="2535"/>
      <c r="EM641" s="2535" t="e">
        <f t="shared" si="25"/>
        <v>#VALUE!</v>
      </c>
      <c r="EN641" s="2535"/>
      <c r="EO641" s="2535"/>
      <c r="EP641" s="2535"/>
      <c r="EQ641" s="2535"/>
      <c r="ER641" s="2535" t="e">
        <f t="shared" si="26"/>
        <v>#VALUE!</v>
      </c>
      <c r="ES641" s="2535"/>
      <c r="ET641" s="2535"/>
      <c r="EU641" s="2535"/>
      <c r="EV641" s="2535"/>
      <c r="EW641" s="2535" t="e">
        <f t="shared" si="27"/>
        <v>#VALUE!</v>
      </c>
      <c r="EX641" s="2535"/>
      <c r="EY641" s="2535"/>
      <c r="EZ641" s="2535"/>
      <c r="FA641" s="2535"/>
    </row>
    <row r="642" spans="1:157" ht="13.2">
      <c r="B642" s="84" t="s">
        <v>620</v>
      </c>
      <c r="C642" s="2134"/>
      <c r="D642" s="2134"/>
      <c r="E642" s="2134"/>
      <c r="F642" s="2134"/>
      <c r="G642" s="2134"/>
      <c r="H642" s="2134"/>
      <c r="I642" s="2134"/>
      <c r="J642" s="2134"/>
      <c r="K642" s="2134"/>
      <c r="L642" s="2134"/>
      <c r="M642" s="2134"/>
      <c r="N642" s="2539"/>
      <c r="O642" s="2232"/>
      <c r="P642" s="2233"/>
      <c r="Q642" s="2234"/>
      <c r="R642" s="2128"/>
      <c r="S642" s="2129"/>
      <c r="T642" s="2130"/>
      <c r="U642" s="2366"/>
      <c r="V642" s="2367"/>
      <c r="W642" s="2368"/>
      <c r="X642" s="2280" t="s">
        <v>1387</v>
      </c>
      <c r="Y642" s="2281"/>
      <c r="Z642" s="2281"/>
      <c r="AA642" s="2281"/>
      <c r="AB642" s="2282"/>
      <c r="AC642" s="2125"/>
      <c r="AD642" s="2126"/>
      <c r="AE642" s="2127"/>
      <c r="AF642" s="2226"/>
      <c r="AG642" s="2227"/>
      <c r="AH642" s="2227"/>
      <c r="AI642" s="2227"/>
      <c r="AJ642" s="2228"/>
      <c r="AK642" s="2229"/>
      <c r="AL642" s="2230"/>
      <c r="AM642" s="2230"/>
      <c r="AN642" s="2231"/>
      <c r="AO642" s="2149"/>
      <c r="AP642" s="2149"/>
      <c r="AQ642" s="2149"/>
      <c r="AR642" s="2149"/>
      <c r="AS642" s="214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01">
        <f>IF(J774="1 Bedroom",O774,0)</f>
        <v>0</v>
      </c>
      <c r="BT642" s="2001"/>
      <c r="BU642" s="2001"/>
      <c r="BV642" s="2001"/>
      <c r="BW642" s="2001"/>
      <c r="BX642" s="2001">
        <f>IF(J774="2 Bedrooms",O774,0)</f>
        <v>0</v>
      </c>
      <c r="BY642" s="2001"/>
      <c r="BZ642" s="2001"/>
      <c r="CA642" s="2001"/>
      <c r="CB642" s="2001"/>
      <c r="CC642" s="2001">
        <f>IF(J774="3 Bedrooms",O774,0)</f>
        <v>0</v>
      </c>
      <c r="CD642" s="2001"/>
      <c r="CE642" s="2001"/>
      <c r="CF642" s="2001"/>
      <c r="CG642" s="2001"/>
      <c r="CH642" s="2001">
        <f>IF(J774="4 Bedrooms",O774,0)</f>
        <v>0</v>
      </c>
      <c r="CI642" s="2001"/>
      <c r="CJ642" s="2001"/>
      <c r="CK642" s="2001"/>
      <c r="CL642" s="2001"/>
      <c r="CM642" s="2001">
        <f>IF(J774="5 Bedrooms",O774,0)</f>
        <v>0</v>
      </c>
      <c r="CN642" s="2001"/>
      <c r="CO642" s="2001"/>
      <c r="CP642" s="2001"/>
      <c r="CQ642" s="2001"/>
      <c r="CR642" s="1823"/>
      <c r="CV642" s="58"/>
      <c r="CW642" s="58"/>
      <c r="CX642" s="58"/>
      <c r="CY642" s="58"/>
      <c r="CZ642" s="58"/>
      <c r="DA642" s="58"/>
      <c r="DB642" s="58"/>
      <c r="DC642" s="58"/>
      <c r="DD642" s="58"/>
      <c r="DE642" s="58"/>
      <c r="DF642" s="58"/>
      <c r="DX642" s="2535" t="e">
        <f t="shared" si="22"/>
        <v>#VALUE!</v>
      </c>
      <c r="DY642" s="2535"/>
      <c r="DZ642" s="2535"/>
      <c r="EA642" s="2535"/>
      <c r="EB642" s="2535"/>
      <c r="EC642" s="2535" t="e">
        <f t="shared" si="23"/>
        <v>#VALUE!</v>
      </c>
      <c r="ED642" s="2535"/>
      <c r="EE642" s="2535"/>
      <c r="EF642" s="2535"/>
      <c r="EG642" s="2535"/>
      <c r="EH642" s="2535">
        <f t="shared" si="24"/>
        <v>74.94736842105263</v>
      </c>
      <c r="EI642" s="2535"/>
      <c r="EJ642" s="2535"/>
      <c r="EK642" s="2535"/>
      <c r="EL642" s="2535"/>
      <c r="EM642" s="2535" t="e">
        <f t="shared" si="25"/>
        <v>#VALUE!</v>
      </c>
      <c r="EN642" s="2535"/>
      <c r="EO642" s="2535"/>
      <c r="EP642" s="2535"/>
      <c r="EQ642" s="2535"/>
      <c r="ER642" s="2535" t="e">
        <f t="shared" si="26"/>
        <v>#VALUE!</v>
      </c>
      <c r="ES642" s="2535"/>
      <c r="ET642" s="2535"/>
      <c r="EU642" s="2535"/>
      <c r="EV642" s="2535"/>
      <c r="EW642" s="2535" t="e">
        <f t="shared" si="27"/>
        <v>#VALUE!</v>
      </c>
      <c r="EX642" s="2535"/>
      <c r="EY642" s="2535"/>
      <c r="EZ642" s="2535"/>
      <c r="FA642" s="2535"/>
    </row>
    <row r="643" spans="1:157" ht="13.2">
      <c r="B643" s="84" t="s">
        <v>488</v>
      </c>
      <c r="C643" s="2134"/>
      <c r="D643" s="2134"/>
      <c r="E643" s="2134"/>
      <c r="F643" s="2134"/>
      <c r="G643" s="2134"/>
      <c r="H643" s="2134"/>
      <c r="I643" s="2134"/>
      <c r="J643" s="2134"/>
      <c r="K643" s="2134"/>
      <c r="L643" s="2134"/>
      <c r="M643" s="2134"/>
      <c r="N643" s="2539"/>
      <c r="O643" s="2232"/>
      <c r="P643" s="2233"/>
      <c r="Q643" s="2234"/>
      <c r="R643" s="2128"/>
      <c r="S643" s="2129"/>
      <c r="T643" s="2130"/>
      <c r="U643" s="2366"/>
      <c r="V643" s="2367"/>
      <c r="W643" s="2368"/>
      <c r="X643" s="2280" t="s">
        <v>1387</v>
      </c>
      <c r="Y643" s="2281"/>
      <c r="Z643" s="2281"/>
      <c r="AA643" s="2281"/>
      <c r="AB643" s="2282"/>
      <c r="AC643" s="2125"/>
      <c r="AD643" s="2126"/>
      <c r="AE643" s="2127"/>
      <c r="AF643" s="2226"/>
      <c r="AG643" s="2227"/>
      <c r="AH643" s="2227"/>
      <c r="AI643" s="2227"/>
      <c r="AJ643" s="2228"/>
      <c r="AK643" s="2229"/>
      <c r="AL643" s="2230"/>
      <c r="AM643" s="2230"/>
      <c r="AN643" s="2231"/>
      <c r="AO643" s="2149"/>
      <c r="AP643" s="2149"/>
      <c r="AQ643" s="2149"/>
      <c r="AR643" s="2149"/>
      <c r="AS643" s="214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01">
        <f>IF(J775="1 Bedroom",O775,0)</f>
        <v>0</v>
      </c>
      <c r="BT643" s="2001"/>
      <c r="BU643" s="2001"/>
      <c r="BV643" s="2001"/>
      <c r="BW643" s="2001"/>
      <c r="BX643" s="2001">
        <f>IF(J775="2 Bedrooms",O775,0)</f>
        <v>0</v>
      </c>
      <c r="BY643" s="2001"/>
      <c r="BZ643" s="2001"/>
      <c r="CA643" s="2001"/>
      <c r="CB643" s="2001"/>
      <c r="CC643" s="2001">
        <f>IF(J775="3 Bedrooms",O775,0)</f>
        <v>0</v>
      </c>
      <c r="CD643" s="2001"/>
      <c r="CE643" s="2001"/>
      <c r="CF643" s="2001"/>
      <c r="CG643" s="2001"/>
      <c r="CH643" s="2001">
        <f>IF(J775="4 Bedrooms",O775,0)</f>
        <v>0</v>
      </c>
      <c r="CI643" s="2001"/>
      <c r="CJ643" s="2001"/>
      <c r="CK643" s="2001"/>
      <c r="CL643" s="2001"/>
      <c r="CM643" s="2001">
        <f>IF(J775="5 Bedrooms",O775,0)</f>
        <v>0</v>
      </c>
      <c r="CN643" s="2001"/>
      <c r="CO643" s="2001"/>
      <c r="CP643" s="2001"/>
      <c r="CQ643" s="2001"/>
      <c r="CV643" s="58"/>
      <c r="CW643" s="58"/>
      <c r="CX643" s="58"/>
      <c r="CY643" s="58"/>
      <c r="CZ643" s="58"/>
      <c r="DA643" s="58"/>
      <c r="DB643" s="58"/>
      <c r="DC643" s="58"/>
      <c r="DD643" s="58"/>
      <c r="DE643" s="58"/>
      <c r="DF643" s="58"/>
      <c r="DX643" s="2535" t="e">
        <f t="shared" si="22"/>
        <v>#VALUE!</v>
      </c>
      <c r="DY643" s="2535"/>
      <c r="DZ643" s="2535"/>
      <c r="EA643" s="2535"/>
      <c r="EB643" s="2535"/>
      <c r="EC643" s="2535" t="e">
        <f t="shared" si="23"/>
        <v>#VALUE!</v>
      </c>
      <c r="ED643" s="2535"/>
      <c r="EE643" s="2535"/>
      <c r="EF643" s="2535"/>
      <c r="EG643" s="2535"/>
      <c r="EH643" s="2535">
        <f t="shared" si="24"/>
        <v>343.29824561403507</v>
      </c>
      <c r="EI643" s="2535"/>
      <c r="EJ643" s="2535"/>
      <c r="EK643" s="2535"/>
      <c r="EL643" s="2535"/>
      <c r="EM643" s="2535" t="e">
        <f t="shared" si="25"/>
        <v>#VALUE!</v>
      </c>
      <c r="EN643" s="2535"/>
      <c r="EO643" s="2535"/>
      <c r="EP643" s="2535"/>
      <c r="EQ643" s="2535"/>
      <c r="ER643" s="2535" t="e">
        <f t="shared" si="26"/>
        <v>#VALUE!</v>
      </c>
      <c r="ES643" s="2535"/>
      <c r="ET643" s="2535"/>
      <c r="EU643" s="2535"/>
      <c r="EV643" s="2535"/>
      <c r="EW643" s="2535" t="e">
        <f t="shared" si="27"/>
        <v>#VALUE!</v>
      </c>
      <c r="EX643" s="2535"/>
      <c r="EY643" s="2535"/>
      <c r="EZ643" s="2535"/>
      <c r="FA643" s="2535"/>
    </row>
    <row r="644" spans="1:157" ht="13.2">
      <c r="B644" s="84" t="s">
        <v>489</v>
      </c>
      <c r="C644" s="2134"/>
      <c r="D644" s="2134"/>
      <c r="E644" s="2134"/>
      <c r="F644" s="2134"/>
      <c r="G644" s="2134"/>
      <c r="H644" s="2134"/>
      <c r="I644" s="2134"/>
      <c r="J644" s="2134"/>
      <c r="K644" s="2134"/>
      <c r="L644" s="2134"/>
      <c r="M644" s="2134"/>
      <c r="N644" s="2539"/>
      <c r="O644" s="2232"/>
      <c r="P644" s="2233"/>
      <c r="Q644" s="2234"/>
      <c r="R644" s="2128"/>
      <c r="S644" s="2129"/>
      <c r="T644" s="2130"/>
      <c r="U644" s="2366"/>
      <c r="V644" s="2367"/>
      <c r="W644" s="2368"/>
      <c r="X644" s="2280" t="s">
        <v>1387</v>
      </c>
      <c r="Y644" s="2281"/>
      <c r="Z644" s="2281"/>
      <c r="AA644" s="2281"/>
      <c r="AB644" s="2282"/>
      <c r="AC644" s="2125"/>
      <c r="AD644" s="2126"/>
      <c r="AE644" s="2127"/>
      <c r="AF644" s="2226"/>
      <c r="AG644" s="2227"/>
      <c r="AH644" s="2227"/>
      <c r="AI644" s="2227"/>
      <c r="AJ644" s="2228"/>
      <c r="AK644" s="2229"/>
      <c r="AL644" s="2230"/>
      <c r="AM644" s="2230"/>
      <c r="AN644" s="2231"/>
      <c r="AO644" s="2149"/>
      <c r="AP644" s="2149"/>
      <c r="AQ644" s="2149"/>
      <c r="AR644" s="2149"/>
      <c r="AS644" s="214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05">
        <f>SUM(BS640:BW643)</f>
        <v>0</v>
      </c>
      <c r="BT644" s="2006"/>
      <c r="BU644" s="2006"/>
      <c r="BV644" s="2006"/>
      <c r="BW644" s="2007"/>
      <c r="BX644" s="2005">
        <f>SUM(BX640:CB643)</f>
        <v>1</v>
      </c>
      <c r="BY644" s="2006"/>
      <c r="BZ644" s="2006"/>
      <c r="CA644" s="2006"/>
      <c r="CB644" s="2007"/>
      <c r="CC644" s="2005">
        <f>SUM(CC640:CG643)</f>
        <v>0</v>
      </c>
      <c r="CD644" s="2006"/>
      <c r="CE644" s="2006"/>
      <c r="CF644" s="2006"/>
      <c r="CG644" s="2007"/>
      <c r="CH644" s="2005">
        <f>SUM(CH640:CL643)</f>
        <v>0</v>
      </c>
      <c r="CI644" s="2006"/>
      <c r="CJ644" s="2006"/>
      <c r="CK644" s="2006"/>
      <c r="CL644" s="2007"/>
      <c r="CM644" s="2005">
        <f>SUM(CM640:CQ643)</f>
        <v>0</v>
      </c>
      <c r="CN644" s="2006"/>
      <c r="CO644" s="2006"/>
      <c r="CP644" s="2006"/>
      <c r="CQ644" s="2007"/>
      <c r="CS644" s="1472">
        <f>BN644+BS644+BX644+CC644+CH644+CM644</f>
        <v>1</v>
      </c>
      <c r="CT644" s="134" t="s">
        <v>2453</v>
      </c>
      <c r="CU644" s="58"/>
      <c r="CV644" s="58"/>
      <c r="CW644" s="58"/>
      <c r="CX644" s="58"/>
      <c r="CY644" s="58"/>
      <c r="CZ644" s="58"/>
      <c r="DA644" s="58"/>
      <c r="DB644" s="58"/>
      <c r="DC644" s="58"/>
      <c r="DD644" s="58"/>
      <c r="DE644" s="58"/>
      <c r="DF644" s="58"/>
      <c r="DX644" s="2535" t="e">
        <f t="shared" si="22"/>
        <v>#VALUE!</v>
      </c>
      <c r="DY644" s="2535"/>
      <c r="DZ644" s="2535"/>
      <c r="EA644" s="2535"/>
      <c r="EB644" s="2535"/>
      <c r="EC644" s="2535" t="e">
        <f t="shared" si="23"/>
        <v>#VALUE!</v>
      </c>
      <c r="ED644" s="2535"/>
      <c r="EE644" s="2535"/>
      <c r="EF644" s="2535"/>
      <c r="EG644" s="2535"/>
      <c r="EH644" s="2535">
        <f t="shared" si="24"/>
        <v>415.15789473684208</v>
      </c>
      <c r="EI644" s="2535"/>
      <c r="EJ644" s="2535"/>
      <c r="EK644" s="2535"/>
      <c r="EL644" s="2535"/>
      <c r="EM644" s="2535" t="e">
        <f t="shared" si="25"/>
        <v>#VALUE!</v>
      </c>
      <c r="EN644" s="2535"/>
      <c r="EO644" s="2535"/>
      <c r="EP644" s="2535"/>
      <c r="EQ644" s="2535"/>
      <c r="ER644" s="2535" t="e">
        <f t="shared" si="26"/>
        <v>#VALUE!</v>
      </c>
      <c r="ES644" s="2535"/>
      <c r="ET644" s="2535"/>
      <c r="EU644" s="2535"/>
      <c r="EV644" s="2535"/>
      <c r="EW644" s="2535" t="e">
        <f t="shared" si="27"/>
        <v>#VALUE!</v>
      </c>
      <c r="EX644" s="2535"/>
      <c r="EY644" s="2535"/>
      <c r="EZ644" s="2535"/>
      <c r="FA644" s="2535"/>
    </row>
    <row r="645" spans="1:157" ht="13.2">
      <c r="B645" s="84" t="s">
        <v>495</v>
      </c>
      <c r="C645" s="2134"/>
      <c r="D645" s="2134"/>
      <c r="E645" s="2134"/>
      <c r="F645" s="2134"/>
      <c r="G645" s="2134"/>
      <c r="H645" s="2134"/>
      <c r="I645" s="2134"/>
      <c r="J645" s="2134"/>
      <c r="K645" s="2134"/>
      <c r="L645" s="2134"/>
      <c r="M645" s="2134"/>
      <c r="N645" s="2539"/>
      <c r="O645" s="2232"/>
      <c r="P645" s="2233"/>
      <c r="Q645" s="2234"/>
      <c r="R645" s="2128"/>
      <c r="S645" s="2129"/>
      <c r="T645" s="2130"/>
      <c r="U645" s="2366"/>
      <c r="V645" s="2367"/>
      <c r="W645" s="2368"/>
      <c r="X645" s="2280" t="s">
        <v>1387</v>
      </c>
      <c r="Y645" s="2281"/>
      <c r="Z645" s="2281"/>
      <c r="AA645" s="2281"/>
      <c r="AB645" s="2282"/>
      <c r="AC645" s="2125"/>
      <c r="AD645" s="2126"/>
      <c r="AE645" s="2127"/>
      <c r="AF645" s="2226"/>
      <c r="AG645" s="2227"/>
      <c r="AH645" s="2227"/>
      <c r="AI645" s="2227"/>
      <c r="AJ645" s="2228"/>
      <c r="AK645" s="2229"/>
      <c r="AL645" s="2230"/>
      <c r="AM645" s="2230"/>
      <c r="AN645" s="2231"/>
      <c r="AO645" s="2149"/>
      <c r="AP645" s="2149"/>
      <c r="AQ645" s="2149"/>
      <c r="AR645" s="2149"/>
      <c r="AS645" s="214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535" t="e">
        <f t="shared" si="22"/>
        <v>#VALUE!</v>
      </c>
      <c r="DY645" s="2535"/>
      <c r="DZ645" s="2535"/>
      <c r="EA645" s="2535"/>
      <c r="EB645" s="2535"/>
      <c r="EC645" s="2535" t="e">
        <f t="shared" si="23"/>
        <v>#VALUE!</v>
      </c>
      <c r="ED645" s="2535"/>
      <c r="EE645" s="2535"/>
      <c r="EF645" s="2535"/>
      <c r="EG645" s="2535"/>
      <c r="EH645" s="2535">
        <f t="shared" si="24"/>
        <v>578</v>
      </c>
      <c r="EI645" s="2535"/>
      <c r="EJ645" s="2535"/>
      <c r="EK645" s="2535"/>
      <c r="EL645" s="2535"/>
      <c r="EM645" s="2535" t="e">
        <f t="shared" si="25"/>
        <v>#VALUE!</v>
      </c>
      <c r="EN645" s="2535"/>
      <c r="EO645" s="2535"/>
      <c r="EP645" s="2535"/>
      <c r="EQ645" s="2535"/>
      <c r="ER645" s="2535" t="e">
        <f t="shared" si="26"/>
        <v>#VALUE!</v>
      </c>
      <c r="ES645" s="2535"/>
      <c r="ET645" s="2535"/>
      <c r="EU645" s="2535"/>
      <c r="EV645" s="2535"/>
      <c r="EW645" s="2535" t="e">
        <f t="shared" si="27"/>
        <v>#VALUE!</v>
      </c>
      <c r="EX645" s="2535"/>
      <c r="EY645" s="2535"/>
      <c r="EZ645" s="2535"/>
      <c r="FA645" s="2535"/>
    </row>
    <row r="646" spans="1:157" ht="13.2">
      <c r="B646" s="84" t="s">
        <v>682</v>
      </c>
      <c r="C646" s="2134"/>
      <c r="D646" s="2134"/>
      <c r="E646" s="2134"/>
      <c r="F646" s="2134"/>
      <c r="G646" s="2134"/>
      <c r="H646" s="2134"/>
      <c r="I646" s="2134"/>
      <c r="J646" s="2134"/>
      <c r="K646" s="2134"/>
      <c r="L646" s="2134"/>
      <c r="M646" s="2134"/>
      <c r="N646" s="2539"/>
      <c r="O646" s="2232"/>
      <c r="P646" s="2233"/>
      <c r="Q646" s="2234"/>
      <c r="R646" s="2128"/>
      <c r="S646" s="2129"/>
      <c r="T646" s="2130"/>
      <c r="U646" s="2366"/>
      <c r="V646" s="2367"/>
      <c r="W646" s="2368"/>
      <c r="X646" s="2280" t="s">
        <v>1387</v>
      </c>
      <c r="Y646" s="2281"/>
      <c r="Z646" s="2281"/>
      <c r="AA646" s="2281"/>
      <c r="AB646" s="2282"/>
      <c r="AC646" s="2125"/>
      <c r="AD646" s="2126"/>
      <c r="AE646" s="2127"/>
      <c r="AF646" s="2226"/>
      <c r="AG646" s="2227"/>
      <c r="AH646" s="2227"/>
      <c r="AI646" s="2227"/>
      <c r="AJ646" s="2228"/>
      <c r="AK646" s="2229"/>
      <c r="AL646" s="2230"/>
      <c r="AM646" s="2230"/>
      <c r="AN646" s="2231"/>
      <c r="AO646" s="2149"/>
      <c r="AP646" s="2149"/>
      <c r="AQ646" s="2149"/>
      <c r="AR646" s="2149"/>
      <c r="AS646" s="214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5" t="e">
        <f t="shared" si="22"/>
        <v>#VALUE!</v>
      </c>
      <c r="DY646" s="2535"/>
      <c r="DZ646" s="2535"/>
      <c r="EA646" s="2535"/>
      <c r="EB646" s="2535"/>
      <c r="EC646" s="2535" t="e">
        <f t="shared" si="23"/>
        <v>#VALUE!</v>
      </c>
      <c r="ED646" s="2535"/>
      <c r="EE646" s="2535"/>
      <c r="EF646" s="2535"/>
      <c r="EG646" s="2535"/>
      <c r="EH646" s="2535" t="e">
        <f t="shared" si="24"/>
        <v>#VALUE!</v>
      </c>
      <c r="EI646" s="2535"/>
      <c r="EJ646" s="2535"/>
      <c r="EK646" s="2535"/>
      <c r="EL646" s="2535"/>
      <c r="EM646" s="2535">
        <f t="shared" si="25"/>
        <v>97.023809523809518</v>
      </c>
      <c r="EN646" s="2535"/>
      <c r="EO646" s="2535"/>
      <c r="EP646" s="2535"/>
      <c r="EQ646" s="2535"/>
      <c r="ER646" s="2535" t="e">
        <f t="shared" si="26"/>
        <v>#VALUE!</v>
      </c>
      <c r="ES646" s="2535"/>
      <c r="ET646" s="2535"/>
      <c r="EU646" s="2535"/>
      <c r="EV646" s="2535"/>
      <c r="EW646" s="2535" t="e">
        <f t="shared" si="27"/>
        <v>#VALUE!</v>
      </c>
      <c r="EX646" s="2535"/>
      <c r="EY646" s="2535"/>
      <c r="EZ646" s="2535"/>
      <c r="FA646" s="2535"/>
    </row>
    <row r="647" spans="1:157" ht="13.2">
      <c r="B647" s="84" t="s">
        <v>374</v>
      </c>
      <c r="C647" s="2134"/>
      <c r="D647" s="2134"/>
      <c r="E647" s="2134"/>
      <c r="F647" s="2134"/>
      <c r="G647" s="2134"/>
      <c r="H647" s="2134"/>
      <c r="I647" s="2134"/>
      <c r="J647" s="2134"/>
      <c r="K647" s="2134"/>
      <c r="L647" s="2134"/>
      <c r="M647" s="2134"/>
      <c r="N647" s="2539"/>
      <c r="O647" s="2232"/>
      <c r="P647" s="2233"/>
      <c r="Q647" s="2234"/>
      <c r="R647" s="2128"/>
      <c r="S647" s="2129"/>
      <c r="T647" s="2130"/>
      <c r="U647" s="2366"/>
      <c r="V647" s="2367"/>
      <c r="W647" s="2368"/>
      <c r="X647" s="2280" t="s">
        <v>1387</v>
      </c>
      <c r="Y647" s="2281"/>
      <c r="Z647" s="2281"/>
      <c r="AA647" s="2281"/>
      <c r="AB647" s="2282"/>
      <c r="AC647" s="2125"/>
      <c r="AD647" s="2126"/>
      <c r="AE647" s="2127"/>
      <c r="AF647" s="2226"/>
      <c r="AG647" s="2227"/>
      <c r="AH647" s="2227"/>
      <c r="AI647" s="2227"/>
      <c r="AJ647" s="2228"/>
      <c r="AK647" s="2229"/>
      <c r="AL647" s="2230"/>
      <c r="AM647" s="2230"/>
      <c r="AN647" s="2231"/>
      <c r="AO647" s="2149"/>
      <c r="AP647" s="2149"/>
      <c r="AQ647" s="2149"/>
      <c r="AR647" s="2149"/>
      <c r="AS647" s="214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5" t="e">
        <f t="shared" si="22"/>
        <v>#VALUE!</v>
      </c>
      <c r="DY647" s="2535"/>
      <c r="DZ647" s="2535"/>
      <c r="EA647" s="2535"/>
      <c r="EB647" s="2535"/>
      <c r="EC647" s="2535" t="e">
        <f t="shared" si="23"/>
        <v>#VALUE!</v>
      </c>
      <c r="ED647" s="2535"/>
      <c r="EE647" s="2535"/>
      <c r="EF647" s="2535"/>
      <c r="EG647" s="2535"/>
      <c r="EH647" s="2535" t="e">
        <f t="shared" si="24"/>
        <v>#VALUE!</v>
      </c>
      <c r="EI647" s="2535"/>
      <c r="EJ647" s="2535"/>
      <c r="EK647" s="2535"/>
      <c r="EL647" s="2535"/>
      <c r="EM647" s="2535">
        <f t="shared" si="25"/>
        <v>367.97619047619048</v>
      </c>
      <c r="EN647" s="2535"/>
      <c r="EO647" s="2535"/>
      <c r="EP647" s="2535"/>
      <c r="EQ647" s="2535"/>
      <c r="ER647" s="2535" t="e">
        <f t="shared" si="26"/>
        <v>#VALUE!</v>
      </c>
      <c r="ES647" s="2535"/>
      <c r="ET647" s="2535"/>
      <c r="EU647" s="2535"/>
      <c r="EV647" s="2535"/>
      <c r="EW647" s="2535" t="e">
        <f t="shared" si="27"/>
        <v>#VALUE!</v>
      </c>
      <c r="EX647" s="2535"/>
      <c r="EY647" s="2535"/>
      <c r="EZ647" s="2535"/>
      <c r="FA647" s="2535"/>
    </row>
    <row r="648" spans="1:157" ht="13.2">
      <c r="B648" s="84" t="s">
        <v>375</v>
      </c>
      <c r="C648" s="2134"/>
      <c r="D648" s="2134"/>
      <c r="E648" s="2134"/>
      <c r="F648" s="2134"/>
      <c r="G648" s="2134"/>
      <c r="H648" s="2134"/>
      <c r="I648" s="2134"/>
      <c r="J648" s="2134"/>
      <c r="K648" s="2134"/>
      <c r="L648" s="2134"/>
      <c r="M648" s="2134"/>
      <c r="N648" s="2539"/>
      <c r="O648" s="2232"/>
      <c r="P648" s="2233"/>
      <c r="Q648" s="2234"/>
      <c r="R648" s="2128"/>
      <c r="S648" s="2129"/>
      <c r="T648" s="2130"/>
      <c r="U648" s="2366"/>
      <c r="V648" s="2367"/>
      <c r="W648" s="2368"/>
      <c r="X648" s="2280" t="s">
        <v>1387</v>
      </c>
      <c r="Y648" s="2281"/>
      <c r="Z648" s="2281"/>
      <c r="AA648" s="2281"/>
      <c r="AB648" s="2282"/>
      <c r="AC648" s="2125"/>
      <c r="AD648" s="2126"/>
      <c r="AE648" s="2127"/>
      <c r="AF648" s="2226"/>
      <c r="AG648" s="2227"/>
      <c r="AH648" s="2227"/>
      <c r="AI648" s="2227"/>
      <c r="AJ648" s="2228"/>
      <c r="AK648" s="2229"/>
      <c r="AL648" s="2230"/>
      <c r="AM648" s="2230"/>
      <c r="AN648" s="2231"/>
      <c r="AO648" s="2149"/>
      <c r="AP648" s="2149"/>
      <c r="AQ648" s="2149"/>
      <c r="AR648" s="2149"/>
      <c r="AS648" s="214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01">
        <f t="shared" ref="BS648:BS657" si="29">IF(J786="1 Bedroom",O786,0)</f>
        <v>0</v>
      </c>
      <c r="BT648" s="2001"/>
      <c r="BU648" s="2001"/>
      <c r="BV648" s="2001"/>
      <c r="BW648" s="2001"/>
      <c r="BX648" s="2001">
        <f t="shared" ref="BX648:BX657" si="30">IF(J786="2 Bedrooms",O786,0)</f>
        <v>0</v>
      </c>
      <c r="BY648" s="2001"/>
      <c r="BZ648" s="2001"/>
      <c r="CA648" s="2001"/>
      <c r="CB648" s="2001"/>
      <c r="CC648" s="2001">
        <f t="shared" ref="CC648:CC657" si="31">IF(J786="3 Bedrooms",O786,0)</f>
        <v>0</v>
      </c>
      <c r="CD648" s="2001"/>
      <c r="CE648" s="2001"/>
      <c r="CF648" s="2001"/>
      <c r="CG648" s="2001"/>
      <c r="CH648" s="2001">
        <f t="shared" ref="CH648:CH657" si="32">IF(J786="4 Bedrooms",O786,0)</f>
        <v>0</v>
      </c>
      <c r="CI648" s="2001"/>
      <c r="CJ648" s="2001"/>
      <c r="CK648" s="2001"/>
      <c r="CL648" s="2001"/>
      <c r="CM648" s="2001">
        <f t="shared" ref="CM648:CM657" si="33">IF(J786="5 Bedrooms",O786,0)</f>
        <v>0</v>
      </c>
      <c r="CN648" s="2001"/>
      <c r="CO648" s="2001"/>
      <c r="CP648" s="2001"/>
      <c r="CQ648" s="2001"/>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535" t="e">
        <f t="shared" si="22"/>
        <v>#VALUE!</v>
      </c>
      <c r="DY648" s="2535"/>
      <c r="DZ648" s="2535"/>
      <c r="EA648" s="2535"/>
      <c r="EB648" s="2535"/>
      <c r="EC648" s="2535" t="e">
        <f t="shared" si="23"/>
        <v>#VALUE!</v>
      </c>
      <c r="ED648" s="2535"/>
      <c r="EE648" s="2535"/>
      <c r="EF648" s="2535"/>
      <c r="EG648" s="2535"/>
      <c r="EH648" s="2535" t="e">
        <f t="shared" si="24"/>
        <v>#VALUE!</v>
      </c>
      <c r="EI648" s="2535"/>
      <c r="EJ648" s="2535"/>
      <c r="EK648" s="2535"/>
      <c r="EL648" s="2535"/>
      <c r="EM648" s="2535">
        <f t="shared" si="25"/>
        <v>404.76190476190476</v>
      </c>
      <c r="EN648" s="2535"/>
      <c r="EO648" s="2535"/>
      <c r="EP648" s="2535"/>
      <c r="EQ648" s="2535"/>
      <c r="ER648" s="2535" t="e">
        <f t="shared" si="26"/>
        <v>#VALUE!</v>
      </c>
      <c r="ES648" s="2535"/>
      <c r="ET648" s="2535"/>
      <c r="EU648" s="2535"/>
      <c r="EV648" s="2535"/>
      <c r="EW648" s="2535" t="e">
        <f t="shared" si="27"/>
        <v>#VALUE!</v>
      </c>
      <c r="EX648" s="2535"/>
      <c r="EY648" s="2535"/>
      <c r="EZ648" s="2535"/>
      <c r="FA648" s="2535"/>
    </row>
    <row r="649" spans="1:157" ht="13.2">
      <c r="B649" s="2153" t="s">
        <v>133</v>
      </c>
      <c r="C649" s="2154"/>
      <c r="D649" s="2154"/>
      <c r="E649" s="2154"/>
      <c r="F649" s="2154"/>
      <c r="G649" s="2154"/>
      <c r="H649" s="2154"/>
      <c r="I649" s="2154"/>
      <c r="J649" s="2154"/>
      <c r="K649" s="2154"/>
      <c r="L649" s="2154"/>
      <c r="M649" s="2154"/>
      <c r="N649" s="2154"/>
      <c r="O649" s="2154"/>
      <c r="P649" s="2154"/>
      <c r="Q649" s="2154"/>
      <c r="R649" s="2154"/>
      <c r="S649" s="2154"/>
      <c r="T649" s="2154"/>
      <c r="U649" s="2154"/>
      <c r="V649" s="2154"/>
      <c r="W649" s="2154"/>
      <c r="X649" s="2154"/>
      <c r="Y649" s="2154"/>
      <c r="Z649" s="2154"/>
      <c r="AA649" s="2154"/>
      <c r="AB649" s="2154"/>
      <c r="AC649" s="2154"/>
      <c r="AD649" s="2154"/>
      <c r="AE649" s="2154"/>
      <c r="AF649" s="2154"/>
      <c r="AG649" s="2154"/>
      <c r="AH649" s="2154"/>
      <c r="AI649" s="2154"/>
      <c r="AJ649" s="2154"/>
      <c r="AK649" s="2154"/>
      <c r="AL649" s="2154"/>
      <c r="AM649" s="2154"/>
      <c r="AN649" s="2156"/>
      <c r="AO649" s="2060">
        <f>SUM(AO637:AR648)</f>
        <v>39346604</v>
      </c>
      <c r="AP649" s="2061"/>
      <c r="AQ649" s="2061"/>
      <c r="AR649" s="2061"/>
      <c r="AS649" s="2062"/>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01">
        <f t="shared" si="29"/>
        <v>0</v>
      </c>
      <c r="BT649" s="2001"/>
      <c r="BU649" s="2001"/>
      <c r="BV649" s="2001"/>
      <c r="BW649" s="2001"/>
      <c r="BX649" s="2001">
        <f t="shared" si="30"/>
        <v>0</v>
      </c>
      <c r="BY649" s="2001"/>
      <c r="BZ649" s="2001"/>
      <c r="CA649" s="2001"/>
      <c r="CB649" s="2001"/>
      <c r="CC649" s="2001">
        <f t="shared" si="31"/>
        <v>0</v>
      </c>
      <c r="CD649" s="2001"/>
      <c r="CE649" s="2001"/>
      <c r="CF649" s="2001"/>
      <c r="CG649" s="2001"/>
      <c r="CH649" s="2001">
        <f t="shared" si="32"/>
        <v>0</v>
      </c>
      <c r="CI649" s="2001"/>
      <c r="CJ649" s="2001"/>
      <c r="CK649" s="2001"/>
      <c r="CL649" s="2001"/>
      <c r="CM649" s="2001">
        <f t="shared" si="33"/>
        <v>0</v>
      </c>
      <c r="CN649" s="2001"/>
      <c r="CO649" s="2001"/>
      <c r="CP649" s="2001"/>
      <c r="CQ649" s="2001"/>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535" t="e">
        <f t="shared" si="22"/>
        <v>#VALUE!</v>
      </c>
      <c r="DY649" s="2535"/>
      <c r="DZ649" s="2535"/>
      <c r="EA649" s="2535"/>
      <c r="EB649" s="2535"/>
      <c r="EC649" s="2535" t="e">
        <f t="shared" si="23"/>
        <v>#VALUE!</v>
      </c>
      <c r="ED649" s="2535"/>
      <c r="EE649" s="2535"/>
      <c r="EF649" s="2535"/>
      <c r="EG649" s="2535"/>
      <c r="EH649" s="2535" t="e">
        <f t="shared" si="24"/>
        <v>#VALUE!</v>
      </c>
      <c r="EI649" s="2535"/>
      <c r="EJ649" s="2535"/>
      <c r="EK649" s="2535"/>
      <c r="EL649" s="2535"/>
      <c r="EM649" s="2535">
        <f t="shared" si="25"/>
        <v>760</v>
      </c>
      <c r="EN649" s="2535"/>
      <c r="EO649" s="2535"/>
      <c r="EP649" s="2535"/>
      <c r="EQ649" s="2535"/>
      <c r="ER649" s="2535" t="e">
        <f t="shared" si="26"/>
        <v>#VALUE!</v>
      </c>
      <c r="ES649" s="2535"/>
      <c r="ET649" s="2535"/>
      <c r="EU649" s="2535"/>
      <c r="EV649" s="2535"/>
      <c r="EW649" s="2535" t="e">
        <f t="shared" si="27"/>
        <v>#VALUE!</v>
      </c>
      <c r="EX649" s="2535"/>
      <c r="EY649" s="2535"/>
      <c r="EZ649" s="2535"/>
      <c r="FA649" s="2535"/>
    </row>
    <row r="650" spans="1:157" ht="12.75" customHeight="1">
      <c r="B650" s="2153" t="s">
        <v>275</v>
      </c>
      <c r="C650" s="2154"/>
      <c r="D650" s="2154"/>
      <c r="E650" s="2154"/>
      <c r="F650" s="2154"/>
      <c r="G650" s="2154"/>
      <c r="H650" s="2154"/>
      <c r="I650" s="2154"/>
      <c r="J650" s="2154"/>
      <c r="K650" s="2154"/>
      <c r="L650" s="2154"/>
      <c r="M650" s="2154"/>
      <c r="N650" s="2154"/>
      <c r="O650" s="2154"/>
      <c r="P650" s="2154"/>
      <c r="Q650" s="2154"/>
      <c r="R650" s="2154"/>
      <c r="S650" s="2154"/>
      <c r="T650" s="2154"/>
      <c r="U650" s="2154"/>
      <c r="V650" s="2154"/>
      <c r="W650" s="2154"/>
      <c r="X650" s="2154"/>
      <c r="Y650" s="2154"/>
      <c r="Z650" s="2154"/>
      <c r="AA650" s="2154"/>
      <c r="AB650" s="2154"/>
      <c r="AC650" s="2154"/>
      <c r="AD650" s="2154"/>
      <c r="AE650" s="2154"/>
      <c r="AF650" s="2154"/>
      <c r="AG650" s="2154"/>
      <c r="AH650" s="2154"/>
      <c r="AI650" s="2154"/>
      <c r="AJ650" s="2154"/>
      <c r="AK650" s="2154"/>
      <c r="AL650" s="2154"/>
      <c r="AM650" s="2154"/>
      <c r="AN650" s="2156"/>
      <c r="AO650" s="2018">
        <v>25859455</v>
      </c>
      <c r="AP650" s="2019"/>
      <c r="AQ650" s="2019"/>
      <c r="AR650" s="2019"/>
      <c r="AS650" s="2020"/>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01">
        <f t="shared" si="29"/>
        <v>0</v>
      </c>
      <c r="BT650" s="2001"/>
      <c r="BU650" s="2001"/>
      <c r="BV650" s="2001"/>
      <c r="BW650" s="2001"/>
      <c r="BX650" s="2001">
        <f t="shared" si="30"/>
        <v>0</v>
      </c>
      <c r="BY650" s="2001"/>
      <c r="BZ650" s="2001"/>
      <c r="CA650" s="2001"/>
      <c r="CB650" s="2001"/>
      <c r="CC650" s="2001">
        <f t="shared" si="31"/>
        <v>0</v>
      </c>
      <c r="CD650" s="2001"/>
      <c r="CE650" s="2001"/>
      <c r="CF650" s="2001"/>
      <c r="CG650" s="2001"/>
      <c r="CH650" s="2001">
        <f t="shared" si="32"/>
        <v>0</v>
      </c>
      <c r="CI650" s="2001"/>
      <c r="CJ650" s="2001"/>
      <c r="CK650" s="2001"/>
      <c r="CL650" s="2001"/>
      <c r="CM650" s="2001">
        <f t="shared" si="33"/>
        <v>0</v>
      </c>
      <c r="CN650" s="2001"/>
      <c r="CO650" s="2001"/>
      <c r="CP650" s="2001"/>
      <c r="CQ650" s="2001"/>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535" t="e">
        <f t="shared" si="22"/>
        <v>#VALUE!</v>
      </c>
      <c r="DY650" s="2535"/>
      <c r="DZ650" s="2535"/>
      <c r="EA650" s="2535"/>
      <c r="EB650" s="2535"/>
      <c r="EC650" s="2535" t="e">
        <f t="shared" si="23"/>
        <v>#VALUE!</v>
      </c>
      <c r="ED650" s="2535"/>
      <c r="EE650" s="2535"/>
      <c r="EF650" s="2535"/>
      <c r="EG650" s="2535"/>
      <c r="EH650" s="2535" t="e">
        <f t="shared" si="24"/>
        <v>#VALUE!</v>
      </c>
      <c r="EI650" s="2535"/>
      <c r="EJ650" s="2535"/>
      <c r="EK650" s="2535"/>
      <c r="EL650" s="2535"/>
      <c r="EM650" s="2535" t="e">
        <f t="shared" si="25"/>
        <v>#VALUE!</v>
      </c>
      <c r="EN650" s="2535"/>
      <c r="EO650" s="2535"/>
      <c r="EP650" s="2535"/>
      <c r="EQ650" s="2535"/>
      <c r="ER650" s="2535" t="e">
        <f t="shared" si="26"/>
        <v>#VALUE!</v>
      </c>
      <c r="ES650" s="2535"/>
      <c r="ET650" s="2535"/>
      <c r="EU650" s="2535"/>
      <c r="EV650" s="2535"/>
      <c r="EW650" s="2535" t="e">
        <f t="shared" si="27"/>
        <v>#VALUE!</v>
      </c>
      <c r="EX650" s="2535"/>
      <c r="EY650" s="2535"/>
      <c r="EZ650" s="2535"/>
      <c r="FA650" s="2535"/>
    </row>
    <row r="651" spans="1:157" ht="12.75" customHeight="1">
      <c r="B651" s="2364" t="s">
        <v>276</v>
      </c>
      <c r="C651" s="2155"/>
      <c r="D651" s="2155"/>
      <c r="E651" s="2155"/>
      <c r="F651" s="2155"/>
      <c r="G651" s="2155"/>
      <c r="H651" s="2155"/>
      <c r="I651" s="2155"/>
      <c r="J651" s="2155"/>
      <c r="K651" s="2155"/>
      <c r="L651" s="2155"/>
      <c r="M651" s="2155"/>
      <c r="N651" s="2155"/>
      <c r="O651" s="2155"/>
      <c r="P651" s="2155"/>
      <c r="Q651" s="2155"/>
      <c r="R651" s="2155"/>
      <c r="S651" s="2155"/>
      <c r="T651" s="2155"/>
      <c r="U651" s="2155"/>
      <c r="V651" s="2155"/>
      <c r="W651" s="2155"/>
      <c r="X651" s="2155"/>
      <c r="Y651" s="2155"/>
      <c r="Z651" s="2155"/>
      <c r="AA651" s="2155"/>
      <c r="AB651" s="2155"/>
      <c r="AC651" s="2155"/>
      <c r="AD651" s="2155"/>
      <c r="AE651" s="2155"/>
      <c r="AF651" s="2155"/>
      <c r="AG651" s="2155"/>
      <c r="AH651" s="2155"/>
      <c r="AI651" s="2155"/>
      <c r="AJ651" s="2155"/>
      <c r="AK651" s="2155"/>
      <c r="AL651" s="2155"/>
      <c r="AM651" s="2155"/>
      <c r="AN651" s="2365"/>
      <c r="AO651" s="2060">
        <f>AO649+AO650</f>
        <v>65206059</v>
      </c>
      <c r="AP651" s="2061"/>
      <c r="AQ651" s="2061"/>
      <c r="AR651" s="2061"/>
      <c r="AS651" s="2062"/>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01">
        <f t="shared" si="29"/>
        <v>0</v>
      </c>
      <c r="BT651" s="2001"/>
      <c r="BU651" s="2001"/>
      <c r="BV651" s="2001"/>
      <c r="BW651" s="2001"/>
      <c r="BX651" s="2001">
        <f t="shared" si="30"/>
        <v>0</v>
      </c>
      <c r="BY651" s="2001"/>
      <c r="BZ651" s="2001"/>
      <c r="CA651" s="2001"/>
      <c r="CB651" s="2001"/>
      <c r="CC651" s="2001">
        <f t="shared" si="31"/>
        <v>0</v>
      </c>
      <c r="CD651" s="2001"/>
      <c r="CE651" s="2001"/>
      <c r="CF651" s="2001"/>
      <c r="CG651" s="2001"/>
      <c r="CH651" s="2001">
        <f t="shared" si="32"/>
        <v>0</v>
      </c>
      <c r="CI651" s="2001"/>
      <c r="CJ651" s="2001"/>
      <c r="CK651" s="2001"/>
      <c r="CL651" s="2001"/>
      <c r="CM651" s="2001">
        <f t="shared" si="33"/>
        <v>0</v>
      </c>
      <c r="CN651" s="2001"/>
      <c r="CO651" s="2001"/>
      <c r="CP651" s="2001"/>
      <c r="CQ651" s="2001"/>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535" t="e">
        <f t="shared" si="22"/>
        <v>#VALUE!</v>
      </c>
      <c r="DY651" s="2535"/>
      <c r="DZ651" s="2535"/>
      <c r="EA651" s="2535"/>
      <c r="EB651" s="2535"/>
      <c r="EC651" s="2535" t="e">
        <f t="shared" si="23"/>
        <v>#VALUE!</v>
      </c>
      <c r="ED651" s="2535"/>
      <c r="EE651" s="2535"/>
      <c r="EF651" s="2535"/>
      <c r="EG651" s="2535"/>
      <c r="EH651" s="2535" t="e">
        <f t="shared" si="24"/>
        <v>#VALUE!</v>
      </c>
      <c r="EI651" s="2535"/>
      <c r="EJ651" s="2535"/>
      <c r="EK651" s="2535"/>
      <c r="EL651" s="2535"/>
      <c r="EM651" s="2535" t="e">
        <f t="shared" si="25"/>
        <v>#VALUE!</v>
      </c>
      <c r="EN651" s="2535"/>
      <c r="EO651" s="2535"/>
      <c r="EP651" s="2535"/>
      <c r="EQ651" s="2535"/>
      <c r="ER651" s="2535" t="e">
        <f t="shared" si="26"/>
        <v>#VALUE!</v>
      </c>
      <c r="ES651" s="2535"/>
      <c r="ET651" s="2535"/>
      <c r="EU651" s="2535"/>
      <c r="EV651" s="2535"/>
      <c r="EW651" s="2535" t="e">
        <f t="shared" si="27"/>
        <v>#VALUE!</v>
      </c>
      <c r="EX651" s="2535"/>
      <c r="EY651" s="2535"/>
      <c r="EZ651" s="2535"/>
      <c r="FA651" s="2535"/>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01">
        <f t="shared" si="29"/>
        <v>0</v>
      </c>
      <c r="BT652" s="2001"/>
      <c r="BU652" s="2001"/>
      <c r="BV652" s="2001"/>
      <c r="BW652" s="2001"/>
      <c r="BX652" s="2001">
        <f t="shared" si="30"/>
        <v>0</v>
      </c>
      <c r="BY652" s="2001"/>
      <c r="BZ652" s="2001"/>
      <c r="CA652" s="2001"/>
      <c r="CB652" s="2001"/>
      <c r="CC652" s="2001">
        <f t="shared" si="31"/>
        <v>0</v>
      </c>
      <c r="CD652" s="2001"/>
      <c r="CE652" s="2001"/>
      <c r="CF652" s="2001"/>
      <c r="CG652" s="2001"/>
      <c r="CH652" s="2001">
        <f t="shared" si="32"/>
        <v>0</v>
      </c>
      <c r="CI652" s="2001"/>
      <c r="CJ652" s="2001"/>
      <c r="CK652" s="2001"/>
      <c r="CL652" s="2001"/>
      <c r="CM652" s="2001">
        <f t="shared" si="33"/>
        <v>0</v>
      </c>
      <c r="CN652" s="2001"/>
      <c r="CO652" s="2001"/>
      <c r="CP652" s="2001"/>
      <c r="CQ652" s="2001"/>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535" t="e">
        <f t="shared" si="22"/>
        <v>#VALUE!</v>
      </c>
      <c r="DY652" s="2535"/>
      <c r="DZ652" s="2535"/>
      <c r="EA652" s="2535"/>
      <c r="EB652" s="2535"/>
      <c r="EC652" s="2535" t="e">
        <f t="shared" si="23"/>
        <v>#VALUE!</v>
      </c>
      <c r="ED652" s="2535"/>
      <c r="EE652" s="2535"/>
      <c r="EF652" s="2535"/>
      <c r="EG652" s="2535"/>
      <c r="EH652" s="2535" t="e">
        <f t="shared" si="24"/>
        <v>#VALUE!</v>
      </c>
      <c r="EI652" s="2535"/>
      <c r="EJ652" s="2535"/>
      <c r="EK652" s="2535"/>
      <c r="EL652" s="2535"/>
      <c r="EM652" s="2535" t="e">
        <f t="shared" si="25"/>
        <v>#VALUE!</v>
      </c>
      <c r="EN652" s="2535"/>
      <c r="EO652" s="2535"/>
      <c r="EP652" s="2535"/>
      <c r="EQ652" s="2535"/>
      <c r="ER652" s="2535" t="e">
        <f t="shared" si="26"/>
        <v>#VALUE!</v>
      </c>
      <c r="ES652" s="2535"/>
      <c r="ET652" s="2535"/>
      <c r="EU652" s="2535"/>
      <c r="EV652" s="2535"/>
      <c r="EW652" s="2535" t="e">
        <f t="shared" si="27"/>
        <v>#VALUE!</v>
      </c>
      <c r="EX652" s="2535"/>
      <c r="EY652" s="2535"/>
      <c r="EZ652" s="2535"/>
      <c r="FA652" s="2535"/>
    </row>
    <row r="653" spans="1:157" ht="13.2">
      <c r="A653" s="87" t="s">
        <v>117</v>
      </c>
      <c r="B653" s="12" t="s">
        <v>497</v>
      </c>
      <c r="G653" s="2030" t="str">
        <f>C637</f>
        <v>Citibank, N.A.</v>
      </c>
      <c r="H653" s="2030"/>
      <c r="I653" s="2030"/>
      <c r="J653" s="2030"/>
      <c r="K653" s="2030"/>
      <c r="L653" s="2030"/>
      <c r="M653" s="2030"/>
      <c r="N653" s="2030"/>
      <c r="O653" s="2030"/>
      <c r="P653" s="2030"/>
      <c r="Q653" s="2030"/>
      <c r="R653" s="2030"/>
      <c r="S653" s="14"/>
      <c r="T653" s="87" t="s">
        <v>118</v>
      </c>
      <c r="U653" s="12" t="s">
        <v>497</v>
      </c>
      <c r="Z653" s="2030" t="str">
        <f>C638</f>
        <v>Sonoma County CDC</v>
      </c>
      <c r="AA653" s="2030"/>
      <c r="AB653" s="2030"/>
      <c r="AC653" s="2030"/>
      <c r="AD653" s="2030"/>
      <c r="AE653" s="2030"/>
      <c r="AF653" s="2030"/>
      <c r="AG653" s="2030"/>
      <c r="AH653" s="2030"/>
      <c r="AI653" s="2030"/>
      <c r="AJ653" s="2030"/>
      <c r="AK653" s="2030"/>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01">
        <f t="shared" si="29"/>
        <v>0</v>
      </c>
      <c r="BT653" s="2001"/>
      <c r="BU653" s="2001"/>
      <c r="BV653" s="2001"/>
      <c r="BW653" s="2001"/>
      <c r="BX653" s="2001">
        <f t="shared" si="30"/>
        <v>0</v>
      </c>
      <c r="BY653" s="2001"/>
      <c r="BZ653" s="2001"/>
      <c r="CA653" s="2001"/>
      <c r="CB653" s="2001"/>
      <c r="CC653" s="2001">
        <f t="shared" si="31"/>
        <v>0</v>
      </c>
      <c r="CD653" s="2001"/>
      <c r="CE653" s="2001"/>
      <c r="CF653" s="2001"/>
      <c r="CG653" s="2001"/>
      <c r="CH653" s="2001">
        <f t="shared" si="32"/>
        <v>0</v>
      </c>
      <c r="CI653" s="2001"/>
      <c r="CJ653" s="2001"/>
      <c r="CK653" s="2001"/>
      <c r="CL653" s="2001"/>
      <c r="CM653" s="2001">
        <f t="shared" si="33"/>
        <v>0</v>
      </c>
      <c r="CN653" s="2001"/>
      <c r="CO653" s="2001"/>
      <c r="CP653" s="2001"/>
      <c r="CQ653" s="2001"/>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535" t="e">
        <f t="shared" si="22"/>
        <v>#VALUE!</v>
      </c>
      <c r="DY653" s="2535"/>
      <c r="DZ653" s="2535"/>
      <c r="EA653" s="2535"/>
      <c r="EB653" s="2535"/>
      <c r="EC653" s="2535" t="e">
        <f t="shared" si="23"/>
        <v>#VALUE!</v>
      </c>
      <c r="ED653" s="2535"/>
      <c r="EE653" s="2535"/>
      <c r="EF653" s="2535"/>
      <c r="EG653" s="2535"/>
      <c r="EH653" s="2535" t="e">
        <f t="shared" si="24"/>
        <v>#VALUE!</v>
      </c>
      <c r="EI653" s="2535"/>
      <c r="EJ653" s="2535"/>
      <c r="EK653" s="2535"/>
      <c r="EL653" s="2535"/>
      <c r="EM653" s="2535" t="e">
        <f t="shared" si="25"/>
        <v>#VALUE!</v>
      </c>
      <c r="EN653" s="2535"/>
      <c r="EO653" s="2535"/>
      <c r="EP653" s="2535"/>
      <c r="EQ653" s="2535"/>
      <c r="ER653" s="2535" t="e">
        <f t="shared" si="26"/>
        <v>#VALUE!</v>
      </c>
      <c r="ES653" s="2535"/>
      <c r="ET653" s="2535"/>
      <c r="EU653" s="2535"/>
      <c r="EV653" s="2535"/>
      <c r="EW653" s="2535" t="e">
        <f t="shared" si="27"/>
        <v>#VALUE!</v>
      </c>
      <c r="EX653" s="2535"/>
      <c r="EY653" s="2535"/>
      <c r="EZ653" s="2535"/>
      <c r="FA653" s="2535"/>
    </row>
    <row r="654" spans="1:157" ht="13.2">
      <c r="A654" s="35"/>
      <c r="B654" s="12" t="s">
        <v>90</v>
      </c>
      <c r="G654" s="2021" t="s">
        <v>2561</v>
      </c>
      <c r="H654" s="2021"/>
      <c r="I654" s="2021"/>
      <c r="J654" s="2021"/>
      <c r="K654" s="2021"/>
      <c r="L654" s="2021"/>
      <c r="M654" s="2021"/>
      <c r="N654" s="2021"/>
      <c r="O654" s="2021"/>
      <c r="P654" s="2021"/>
      <c r="Q654" s="2021"/>
      <c r="R654" s="2021"/>
      <c r="S654" s="14"/>
      <c r="T654" s="35"/>
      <c r="U654" s="12" t="s">
        <v>90</v>
      </c>
      <c r="Z654" s="2029" t="s">
        <v>2585</v>
      </c>
      <c r="AA654" s="2021"/>
      <c r="AB654" s="2021"/>
      <c r="AC654" s="2021"/>
      <c r="AD654" s="2021"/>
      <c r="AE654" s="2021"/>
      <c r="AF654" s="2021"/>
      <c r="AG654" s="2021"/>
      <c r="AH654" s="2021"/>
      <c r="AI654" s="2021"/>
      <c r="AJ654" s="2021"/>
      <c r="AK654" s="2021"/>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01">
        <f t="shared" si="29"/>
        <v>0</v>
      </c>
      <c r="BT654" s="2001"/>
      <c r="BU654" s="2001"/>
      <c r="BV654" s="2001"/>
      <c r="BW654" s="2001"/>
      <c r="BX654" s="2001">
        <f t="shared" si="30"/>
        <v>0</v>
      </c>
      <c r="BY654" s="2001"/>
      <c r="BZ654" s="2001"/>
      <c r="CA654" s="2001"/>
      <c r="CB654" s="2001"/>
      <c r="CC654" s="2001">
        <f t="shared" si="31"/>
        <v>0</v>
      </c>
      <c r="CD654" s="2001"/>
      <c r="CE654" s="2001"/>
      <c r="CF654" s="2001"/>
      <c r="CG654" s="2001"/>
      <c r="CH654" s="2001">
        <f t="shared" si="32"/>
        <v>0</v>
      </c>
      <c r="CI654" s="2001"/>
      <c r="CJ654" s="2001"/>
      <c r="CK654" s="2001"/>
      <c r="CL654" s="2001"/>
      <c r="CM654" s="2001">
        <f t="shared" si="33"/>
        <v>0</v>
      </c>
      <c r="CN654" s="2001"/>
      <c r="CO654" s="2001"/>
      <c r="CP654" s="2001"/>
      <c r="CQ654" s="2001"/>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535" t="e">
        <f t="shared" si="22"/>
        <v>#VALUE!</v>
      </c>
      <c r="DY654" s="2535"/>
      <c r="DZ654" s="2535"/>
      <c r="EA654" s="2535"/>
      <c r="EB654" s="2535"/>
      <c r="EC654" s="2535" t="e">
        <f t="shared" si="23"/>
        <v>#VALUE!</v>
      </c>
      <c r="ED654" s="2535"/>
      <c r="EE654" s="2535"/>
      <c r="EF654" s="2535"/>
      <c r="EG654" s="2535"/>
      <c r="EH654" s="2535" t="e">
        <f t="shared" si="24"/>
        <v>#VALUE!</v>
      </c>
      <c r="EI654" s="2535"/>
      <c r="EJ654" s="2535"/>
      <c r="EK654" s="2535"/>
      <c r="EL654" s="2535"/>
      <c r="EM654" s="2535" t="e">
        <f t="shared" si="25"/>
        <v>#VALUE!</v>
      </c>
      <c r="EN654" s="2535"/>
      <c r="EO654" s="2535"/>
      <c r="EP654" s="2535"/>
      <c r="EQ654" s="2535"/>
      <c r="ER654" s="2535" t="e">
        <f t="shared" si="26"/>
        <v>#VALUE!</v>
      </c>
      <c r="ES654" s="2535"/>
      <c r="ET654" s="2535"/>
      <c r="EU654" s="2535"/>
      <c r="EV654" s="2535"/>
      <c r="EW654" s="2535" t="e">
        <f t="shared" si="27"/>
        <v>#VALUE!</v>
      </c>
      <c r="EX654" s="2535"/>
      <c r="EY654" s="2535"/>
      <c r="EZ654" s="2535"/>
      <c r="FA654" s="2535"/>
    </row>
    <row r="655" spans="1:157" ht="13.2">
      <c r="A655" s="35"/>
      <c r="B655" s="12" t="s">
        <v>616</v>
      </c>
      <c r="G655" s="2021" t="s">
        <v>2562</v>
      </c>
      <c r="H655" s="2021"/>
      <c r="I655" s="2021"/>
      <c r="J655" s="2021"/>
      <c r="K655" s="2021"/>
      <c r="L655" s="2021"/>
      <c r="M655" s="2021"/>
      <c r="N655" s="2021"/>
      <c r="O655" s="2021"/>
      <c r="P655" s="2021"/>
      <c r="Q655" s="2021"/>
      <c r="R655" s="2021"/>
      <c r="S655" s="88"/>
      <c r="T655" s="35"/>
      <c r="U655" s="12" t="s">
        <v>616</v>
      </c>
      <c r="Z655" s="2056" t="s">
        <v>2586</v>
      </c>
      <c r="AA655" s="2059"/>
      <c r="AB655" s="2059"/>
      <c r="AC655" s="2059"/>
      <c r="AD655" s="2059"/>
      <c r="AE655" s="2059"/>
      <c r="AF655" s="2059"/>
      <c r="AG655" s="2059"/>
      <c r="AH655" s="2059"/>
      <c r="AI655" s="2059"/>
      <c r="AJ655" s="2059"/>
      <c r="AK655" s="2059"/>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01">
        <f t="shared" si="29"/>
        <v>0</v>
      </c>
      <c r="BT655" s="2001"/>
      <c r="BU655" s="2001"/>
      <c r="BV655" s="2001"/>
      <c r="BW655" s="2001"/>
      <c r="BX655" s="2001">
        <f t="shared" si="30"/>
        <v>0</v>
      </c>
      <c r="BY655" s="2001"/>
      <c r="BZ655" s="2001"/>
      <c r="CA655" s="2001"/>
      <c r="CB655" s="2001"/>
      <c r="CC655" s="2001">
        <f t="shared" si="31"/>
        <v>0</v>
      </c>
      <c r="CD655" s="2001"/>
      <c r="CE655" s="2001"/>
      <c r="CF655" s="2001"/>
      <c r="CG655" s="2001"/>
      <c r="CH655" s="2001">
        <f t="shared" si="32"/>
        <v>0</v>
      </c>
      <c r="CI655" s="2001"/>
      <c r="CJ655" s="2001"/>
      <c r="CK655" s="2001"/>
      <c r="CL655" s="2001"/>
      <c r="CM655" s="2001">
        <f t="shared" si="33"/>
        <v>0</v>
      </c>
      <c r="CN655" s="2001"/>
      <c r="CO655" s="2001"/>
      <c r="CP655" s="2001"/>
      <c r="CQ655" s="2001"/>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535" t="e">
        <f t="shared" si="22"/>
        <v>#VALUE!</v>
      </c>
      <c r="DY655" s="2535"/>
      <c r="DZ655" s="2535"/>
      <c r="EA655" s="2535"/>
      <c r="EB655" s="2535"/>
      <c r="EC655" s="2535" t="e">
        <f t="shared" si="23"/>
        <v>#VALUE!</v>
      </c>
      <c r="ED655" s="2535"/>
      <c r="EE655" s="2535"/>
      <c r="EF655" s="2535"/>
      <c r="EG655" s="2535"/>
      <c r="EH655" s="2535" t="e">
        <f t="shared" si="24"/>
        <v>#VALUE!</v>
      </c>
      <c r="EI655" s="2535"/>
      <c r="EJ655" s="2535"/>
      <c r="EK655" s="2535"/>
      <c r="EL655" s="2535"/>
      <c r="EM655" s="2535" t="e">
        <f t="shared" si="25"/>
        <v>#VALUE!</v>
      </c>
      <c r="EN655" s="2535"/>
      <c r="EO655" s="2535"/>
      <c r="EP655" s="2535"/>
      <c r="EQ655" s="2535"/>
      <c r="ER655" s="2535" t="e">
        <f t="shared" si="26"/>
        <v>#VALUE!</v>
      </c>
      <c r="ES655" s="2535"/>
      <c r="ET655" s="2535"/>
      <c r="EU655" s="2535"/>
      <c r="EV655" s="2535"/>
      <c r="EW655" s="2535" t="e">
        <f t="shared" si="27"/>
        <v>#VALUE!</v>
      </c>
      <c r="EX655" s="2535"/>
      <c r="EY655" s="2535"/>
      <c r="EZ655" s="2535"/>
      <c r="FA655" s="2535"/>
    </row>
    <row r="656" spans="1:157" ht="13.2">
      <c r="A656" s="35"/>
      <c r="B656" s="12" t="s">
        <v>17</v>
      </c>
      <c r="G656" s="2021" t="s">
        <v>2508</v>
      </c>
      <c r="H656" s="2021"/>
      <c r="I656" s="2021"/>
      <c r="J656" s="2021"/>
      <c r="K656" s="2021"/>
      <c r="L656" s="2021"/>
      <c r="M656" s="2021"/>
      <c r="N656" s="2021"/>
      <c r="O656" s="2021"/>
      <c r="P656" s="2021"/>
      <c r="Q656" s="2021"/>
      <c r="R656" s="2021"/>
      <c r="S656" s="14"/>
      <c r="T656" s="35"/>
      <c r="U656" s="12" t="s">
        <v>17</v>
      </c>
      <c r="Z656" s="2059"/>
      <c r="AA656" s="2059"/>
      <c r="AB656" s="2059"/>
      <c r="AC656" s="2059"/>
      <c r="AD656" s="2059"/>
      <c r="AE656" s="2059"/>
      <c r="AF656" s="2059"/>
      <c r="AG656" s="2059"/>
      <c r="AH656" s="2059"/>
      <c r="AI656" s="2059"/>
      <c r="AJ656" s="2059"/>
      <c r="AK656" s="2059"/>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01">
        <f t="shared" si="29"/>
        <v>0</v>
      </c>
      <c r="BT656" s="2001"/>
      <c r="BU656" s="2001"/>
      <c r="BV656" s="2001"/>
      <c r="BW656" s="2001"/>
      <c r="BX656" s="2001">
        <f t="shared" si="30"/>
        <v>0</v>
      </c>
      <c r="BY656" s="2001"/>
      <c r="BZ656" s="2001"/>
      <c r="CA656" s="2001"/>
      <c r="CB656" s="2001"/>
      <c r="CC656" s="2001">
        <f t="shared" si="31"/>
        <v>0</v>
      </c>
      <c r="CD656" s="2001"/>
      <c r="CE656" s="2001"/>
      <c r="CF656" s="2001"/>
      <c r="CG656" s="2001"/>
      <c r="CH656" s="2001">
        <f t="shared" si="32"/>
        <v>0</v>
      </c>
      <c r="CI656" s="2001"/>
      <c r="CJ656" s="2001"/>
      <c r="CK656" s="2001"/>
      <c r="CL656" s="2001"/>
      <c r="CM656" s="2001">
        <f t="shared" si="33"/>
        <v>0</v>
      </c>
      <c r="CN656" s="2001"/>
      <c r="CO656" s="2001"/>
      <c r="CP656" s="2001"/>
      <c r="CQ656" s="2001"/>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535" t="e">
        <f t="shared" si="22"/>
        <v>#VALUE!</v>
      </c>
      <c r="DY656" s="2535"/>
      <c r="DZ656" s="2535"/>
      <c r="EA656" s="2535"/>
      <c r="EB656" s="2535"/>
      <c r="EC656" s="2535" t="e">
        <f t="shared" si="23"/>
        <v>#VALUE!</v>
      </c>
      <c r="ED656" s="2535"/>
      <c r="EE656" s="2535"/>
      <c r="EF656" s="2535"/>
      <c r="EG656" s="2535"/>
      <c r="EH656" s="2535" t="e">
        <f t="shared" si="24"/>
        <v>#VALUE!</v>
      </c>
      <c r="EI656" s="2535"/>
      <c r="EJ656" s="2535"/>
      <c r="EK656" s="2535"/>
      <c r="EL656" s="2535"/>
      <c r="EM656" s="2535" t="e">
        <f t="shared" si="25"/>
        <v>#VALUE!</v>
      </c>
      <c r="EN656" s="2535"/>
      <c r="EO656" s="2535"/>
      <c r="EP656" s="2535"/>
      <c r="EQ656" s="2535"/>
      <c r="ER656" s="2535" t="e">
        <f t="shared" si="26"/>
        <v>#VALUE!</v>
      </c>
      <c r="ES656" s="2535"/>
      <c r="ET656" s="2535"/>
      <c r="EU656" s="2535"/>
      <c r="EV656" s="2535"/>
      <c r="EW656" s="2535" t="e">
        <f t="shared" si="27"/>
        <v>#VALUE!</v>
      </c>
      <c r="EX656" s="2535"/>
      <c r="EY656" s="2535"/>
      <c r="EZ656" s="2535"/>
      <c r="FA656" s="2535"/>
    </row>
    <row r="657" spans="1:157" ht="13.2">
      <c r="A657" s="35"/>
      <c r="B657" s="12" t="s">
        <v>327</v>
      </c>
      <c r="G657" s="2095" t="s">
        <v>2563</v>
      </c>
      <c r="H657" s="2095"/>
      <c r="I657" s="2095"/>
      <c r="J657" s="2095"/>
      <c r="K657" s="2095"/>
      <c r="L657" s="2095"/>
      <c r="O657" s="137" t="s">
        <v>212</v>
      </c>
      <c r="P657" s="2134"/>
      <c r="Q657" s="2134"/>
      <c r="R657" s="2134"/>
      <c r="S657" s="16"/>
      <c r="T657" s="35"/>
      <c r="U657" s="12" t="s">
        <v>327</v>
      </c>
      <c r="Z657" s="2094"/>
      <c r="AA657" s="2094"/>
      <c r="AB657" s="2094"/>
      <c r="AC657" s="2094"/>
      <c r="AD657" s="2094"/>
      <c r="AE657" s="2094"/>
      <c r="AH657" s="137" t="s">
        <v>212</v>
      </c>
      <c r="AI657" s="2134"/>
      <c r="AJ657" s="2134"/>
      <c r="AK657" s="2134"/>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01">
        <f t="shared" si="29"/>
        <v>0</v>
      </c>
      <c r="BT657" s="2001"/>
      <c r="BU657" s="2001"/>
      <c r="BV657" s="2001"/>
      <c r="BW657" s="2001"/>
      <c r="BX657" s="2001">
        <f t="shared" si="30"/>
        <v>0</v>
      </c>
      <c r="BY657" s="2001"/>
      <c r="BZ657" s="2001"/>
      <c r="CA657" s="2001"/>
      <c r="CB657" s="2001"/>
      <c r="CC657" s="2001">
        <f t="shared" si="31"/>
        <v>0</v>
      </c>
      <c r="CD657" s="2001"/>
      <c r="CE657" s="2001"/>
      <c r="CF657" s="2001"/>
      <c r="CG657" s="2001"/>
      <c r="CH657" s="2001">
        <f t="shared" si="32"/>
        <v>0</v>
      </c>
      <c r="CI657" s="2001"/>
      <c r="CJ657" s="2001"/>
      <c r="CK657" s="2001"/>
      <c r="CL657" s="2001"/>
      <c r="CM657" s="2001">
        <f t="shared" si="33"/>
        <v>0</v>
      </c>
      <c r="CN657" s="2001"/>
      <c r="CO657" s="2001"/>
      <c r="CP657" s="2001"/>
      <c r="CQ657" s="2001"/>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535" t="e">
        <f t="shared" si="22"/>
        <v>#VALUE!</v>
      </c>
      <c r="DY657" s="2535"/>
      <c r="DZ657" s="2535"/>
      <c r="EA657" s="2535"/>
      <c r="EB657" s="2535"/>
      <c r="EC657" s="2535" t="e">
        <f t="shared" si="23"/>
        <v>#VALUE!</v>
      </c>
      <c r="ED657" s="2535"/>
      <c r="EE657" s="2535"/>
      <c r="EF657" s="2535"/>
      <c r="EG657" s="2535"/>
      <c r="EH657" s="2535" t="e">
        <f t="shared" si="24"/>
        <v>#VALUE!</v>
      </c>
      <c r="EI657" s="2535"/>
      <c r="EJ657" s="2535"/>
      <c r="EK657" s="2535"/>
      <c r="EL657" s="2535"/>
      <c r="EM657" s="2535" t="e">
        <f t="shared" si="25"/>
        <v>#VALUE!</v>
      </c>
      <c r="EN657" s="2535"/>
      <c r="EO657" s="2535"/>
      <c r="EP657" s="2535"/>
      <c r="EQ657" s="2535"/>
      <c r="ER657" s="2535" t="e">
        <f t="shared" si="26"/>
        <v>#VALUE!</v>
      </c>
      <c r="ES657" s="2535"/>
      <c r="ET657" s="2535"/>
      <c r="EU657" s="2535"/>
      <c r="EV657" s="2535"/>
      <c r="EW657" s="2535" t="e">
        <f t="shared" si="27"/>
        <v>#VALUE!</v>
      </c>
      <c r="EX657" s="2535"/>
      <c r="EY657" s="2535"/>
      <c r="EZ657" s="2535"/>
      <c r="FA657" s="2535"/>
    </row>
    <row r="658" spans="1:157" ht="13.2">
      <c r="A658" s="35"/>
      <c r="B658" s="12" t="s">
        <v>18</v>
      </c>
      <c r="H658" s="2029" t="s">
        <v>2538</v>
      </c>
      <c r="I658" s="2021"/>
      <c r="J658" s="2021"/>
      <c r="K658" s="2021"/>
      <c r="L658" s="2021"/>
      <c r="M658" s="2021"/>
      <c r="N658" s="2021"/>
      <c r="O658" s="2021"/>
      <c r="P658" s="2021"/>
      <c r="Q658" s="2021"/>
      <c r="R658" s="2021"/>
      <c r="S658" s="14"/>
      <c r="T658" s="35"/>
      <c r="U658" s="12" t="s">
        <v>18</v>
      </c>
      <c r="AA658" s="2029" t="s">
        <v>2536</v>
      </c>
      <c r="AB658" s="2021"/>
      <c r="AC658" s="2021"/>
      <c r="AD658" s="2021"/>
      <c r="AE658" s="2021"/>
      <c r="AF658" s="2021"/>
      <c r="AG658" s="2021"/>
      <c r="AH658" s="2021"/>
      <c r="AI658" s="2021"/>
      <c r="AJ658" s="2021"/>
      <c r="AK658" s="2021"/>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05">
        <f>SUM(BS648:BW657)</f>
        <v>0</v>
      </c>
      <c r="BT658" s="2006"/>
      <c r="BU658" s="2006"/>
      <c r="BV658" s="2006"/>
      <c r="BW658" s="2007"/>
      <c r="BX658" s="2005">
        <f>SUM(BX648:CB657)</f>
        <v>0</v>
      </c>
      <c r="BY658" s="2006"/>
      <c r="BZ658" s="2006"/>
      <c r="CA658" s="2006"/>
      <c r="CB658" s="2007"/>
      <c r="CC658" s="2005">
        <f>SUM(CC648:CG657)</f>
        <v>0</v>
      </c>
      <c r="CD658" s="2006"/>
      <c r="CE658" s="2006"/>
      <c r="CF658" s="2006"/>
      <c r="CG658" s="2007"/>
      <c r="CH658" s="2005">
        <f>SUM(CH648:CL657)</f>
        <v>0</v>
      </c>
      <c r="CI658" s="2006"/>
      <c r="CJ658" s="2006"/>
      <c r="CK658" s="2006"/>
      <c r="CL658" s="2007"/>
      <c r="CM658" s="2005">
        <f>SUM(CM648:CQ657)</f>
        <v>0</v>
      </c>
      <c r="CN658" s="2006"/>
      <c r="CO658" s="2006"/>
      <c r="CP658" s="2006"/>
      <c r="CQ658" s="2007"/>
      <c r="CR658" s="1823"/>
      <c r="CS658" s="2556">
        <f>SUM(CS648:CW657)</f>
        <v>0</v>
      </c>
      <c r="CT658" s="2556"/>
      <c r="CU658" s="2556"/>
      <c r="CV658" s="2556"/>
      <c r="CW658" s="2556"/>
      <c r="CX658" s="2556">
        <f>SUM(CX648:DB657)</f>
        <v>0</v>
      </c>
      <c r="CY658" s="2556"/>
      <c r="CZ658" s="2556"/>
      <c r="DA658" s="2556"/>
      <c r="DB658" s="2556"/>
      <c r="DC658" s="2556">
        <f>SUM(DC648:DG657)</f>
        <v>0</v>
      </c>
      <c r="DD658" s="2556"/>
      <c r="DE658" s="2556"/>
      <c r="DF658" s="2556"/>
      <c r="DG658" s="2556"/>
      <c r="DH658" s="2556">
        <f>SUM(DH648:DL657)</f>
        <v>0</v>
      </c>
      <c r="DI658" s="2556"/>
      <c r="DJ658" s="2556"/>
      <c r="DK658" s="2556"/>
      <c r="DL658" s="2556"/>
      <c r="DM658" s="2556">
        <f>SUM(DM648:DQ657)</f>
        <v>0</v>
      </c>
      <c r="DN658" s="2556"/>
      <c r="DO658" s="2556"/>
      <c r="DP658" s="2556"/>
      <c r="DQ658" s="2556"/>
      <c r="DR658" s="2556">
        <f>SUM(DR648:DV657)</f>
        <v>0</v>
      </c>
      <c r="DS658" s="2556"/>
      <c r="DT658" s="2556"/>
      <c r="DU658" s="2556"/>
      <c r="DV658" s="2556"/>
      <c r="DX658" s="2535" t="e">
        <f t="shared" si="22"/>
        <v>#VALUE!</v>
      </c>
      <c r="DY658" s="2535"/>
      <c r="DZ658" s="2535"/>
      <c r="EA658" s="2535"/>
      <c r="EB658" s="2535"/>
      <c r="EC658" s="2535" t="e">
        <f t="shared" si="23"/>
        <v>#VALUE!</v>
      </c>
      <c r="ED658" s="2535"/>
      <c r="EE658" s="2535"/>
      <c r="EF658" s="2535"/>
      <c r="EG658" s="2535"/>
      <c r="EH658" s="2535" t="e">
        <f t="shared" si="24"/>
        <v>#VALUE!</v>
      </c>
      <c r="EI658" s="2535"/>
      <c r="EJ658" s="2535"/>
      <c r="EK658" s="2535"/>
      <c r="EL658" s="2535"/>
      <c r="EM658" s="2535" t="e">
        <f t="shared" si="25"/>
        <v>#VALUE!</v>
      </c>
      <c r="EN658" s="2535"/>
      <c r="EO658" s="2535"/>
      <c r="EP658" s="2535"/>
      <c r="EQ658" s="2535"/>
      <c r="ER658" s="2535" t="e">
        <f t="shared" si="26"/>
        <v>#VALUE!</v>
      </c>
      <c r="ES658" s="2535"/>
      <c r="ET658" s="2535"/>
      <c r="EU658" s="2535"/>
      <c r="EV658" s="2535"/>
      <c r="EW658" s="2535" t="e">
        <f t="shared" si="27"/>
        <v>#VALUE!</v>
      </c>
      <c r="EX658" s="2535"/>
      <c r="EY658" s="2535"/>
      <c r="EZ658" s="2535"/>
      <c r="FA658" s="2535"/>
    </row>
    <row r="659" spans="1:157" ht="13.2">
      <c r="A659" s="35"/>
      <c r="B659" s="12" t="s">
        <v>20</v>
      </c>
      <c r="N659" s="2022" t="s">
        <v>579</v>
      </c>
      <c r="O659" s="2022"/>
      <c r="T659" s="35"/>
      <c r="U659" s="12" t="s">
        <v>20</v>
      </c>
      <c r="AG659" s="2022" t="s">
        <v>579</v>
      </c>
      <c r="AH659" s="2022"/>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5" t="e">
        <f t="shared" si="22"/>
        <v>#VALUE!</v>
      </c>
      <c r="DY659" s="2535"/>
      <c r="DZ659" s="2535"/>
      <c r="EA659" s="2535"/>
      <c r="EB659" s="2535"/>
      <c r="EC659" s="2535" t="e">
        <f t="shared" si="23"/>
        <v>#VALUE!</v>
      </c>
      <c r="ED659" s="2535"/>
      <c r="EE659" s="2535"/>
      <c r="EF659" s="2535"/>
      <c r="EG659" s="2535"/>
      <c r="EH659" s="2535" t="e">
        <f t="shared" si="24"/>
        <v>#VALUE!</v>
      </c>
      <c r="EI659" s="2535"/>
      <c r="EJ659" s="2535"/>
      <c r="EK659" s="2535"/>
      <c r="EL659" s="2535"/>
      <c r="EM659" s="2535" t="e">
        <f t="shared" si="25"/>
        <v>#VALUE!</v>
      </c>
      <c r="EN659" s="2535"/>
      <c r="EO659" s="2535"/>
      <c r="EP659" s="2535"/>
      <c r="EQ659" s="2535"/>
      <c r="ER659" s="2535" t="e">
        <f t="shared" si="26"/>
        <v>#VALUE!</v>
      </c>
      <c r="ES659" s="2535"/>
      <c r="ET659" s="2535"/>
      <c r="EU659" s="2535"/>
      <c r="EV659" s="2535"/>
      <c r="EW659" s="2535" t="e">
        <f t="shared" si="27"/>
        <v>#VALUE!</v>
      </c>
      <c r="EX659" s="2535"/>
      <c r="EY659" s="2535"/>
      <c r="EZ659" s="2535"/>
      <c r="FA659" s="2535"/>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35">
        <f>SUM(CS658:DV658)</f>
        <v>0</v>
      </c>
      <c r="DS660" s="2535"/>
      <c r="DT660" s="2535"/>
      <c r="DU660" s="2535"/>
      <c r="DV660" s="2535"/>
      <c r="DX660" s="2535" t="e">
        <f t="shared" si="22"/>
        <v>#VALUE!</v>
      </c>
      <c r="DY660" s="2535"/>
      <c r="DZ660" s="2535"/>
      <c r="EA660" s="2535"/>
      <c r="EB660" s="2535"/>
      <c r="EC660" s="2535" t="e">
        <f t="shared" si="23"/>
        <v>#VALUE!</v>
      </c>
      <c r="ED660" s="2535"/>
      <c r="EE660" s="2535"/>
      <c r="EF660" s="2535"/>
      <c r="EG660" s="2535"/>
      <c r="EH660" s="2535" t="e">
        <f t="shared" si="24"/>
        <v>#VALUE!</v>
      </c>
      <c r="EI660" s="2535"/>
      <c r="EJ660" s="2535"/>
      <c r="EK660" s="2535"/>
      <c r="EL660" s="2535"/>
      <c r="EM660" s="2535" t="e">
        <f t="shared" si="25"/>
        <v>#VALUE!</v>
      </c>
      <c r="EN660" s="2535"/>
      <c r="EO660" s="2535"/>
      <c r="EP660" s="2535"/>
      <c r="EQ660" s="2535"/>
      <c r="ER660" s="2535" t="e">
        <f t="shared" si="26"/>
        <v>#VALUE!</v>
      </c>
      <c r="ES660" s="2535"/>
      <c r="ET660" s="2535"/>
      <c r="EU660" s="2535"/>
      <c r="EV660" s="2535"/>
      <c r="EW660" s="2535" t="e">
        <f t="shared" si="27"/>
        <v>#VALUE!</v>
      </c>
      <c r="EX660" s="2535"/>
      <c r="EY660" s="2535"/>
      <c r="EZ660" s="2535"/>
      <c r="FA660" s="2535"/>
    </row>
    <row r="661" spans="1:157" ht="13.2">
      <c r="A661" s="87" t="s">
        <v>124</v>
      </c>
      <c r="B661" s="12" t="s">
        <v>497</v>
      </c>
      <c r="G661" s="2030" t="str">
        <f>C639</f>
        <v>USA Multi-Family Development, Inc.</v>
      </c>
      <c r="H661" s="2030"/>
      <c r="I661" s="2030"/>
      <c r="J661" s="2030"/>
      <c r="K661" s="2030"/>
      <c r="L661" s="2030"/>
      <c r="M661" s="2030"/>
      <c r="N661" s="2030"/>
      <c r="O661" s="2030"/>
      <c r="P661" s="2030"/>
      <c r="Q661" s="2030"/>
      <c r="R661" s="2030"/>
      <c r="T661" s="87" t="s">
        <v>617</v>
      </c>
      <c r="U661" s="12" t="s">
        <v>497</v>
      </c>
      <c r="Z661" s="2030" t="str">
        <f>C640</f>
        <v xml:space="preserve">NOI prior to Conversion </v>
      </c>
      <c r="AA661" s="2030"/>
      <c r="AB661" s="2030"/>
      <c r="AC661" s="2030"/>
      <c r="AD661" s="2030"/>
      <c r="AE661" s="2030"/>
      <c r="AF661" s="2030"/>
      <c r="AG661" s="2030"/>
      <c r="AH661" s="2030"/>
      <c r="AI661" s="2030"/>
      <c r="AJ661" s="2030"/>
      <c r="AK661" s="2030"/>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35" t="e">
        <f t="shared" si="22"/>
        <v>#VALUE!</v>
      </c>
      <c r="DY661" s="2535"/>
      <c r="DZ661" s="2535"/>
      <c r="EA661" s="2535"/>
      <c r="EB661" s="2535"/>
      <c r="EC661" s="2535" t="e">
        <f t="shared" si="23"/>
        <v>#VALUE!</v>
      </c>
      <c r="ED661" s="2535"/>
      <c r="EE661" s="2535"/>
      <c r="EF661" s="2535"/>
      <c r="EG661" s="2535"/>
      <c r="EH661" s="2535" t="e">
        <f t="shared" si="24"/>
        <v>#VALUE!</v>
      </c>
      <c r="EI661" s="2535"/>
      <c r="EJ661" s="2535"/>
      <c r="EK661" s="2535"/>
      <c r="EL661" s="2535"/>
      <c r="EM661" s="2535" t="e">
        <f t="shared" si="25"/>
        <v>#VALUE!</v>
      </c>
      <c r="EN661" s="2535"/>
      <c r="EO661" s="2535"/>
      <c r="EP661" s="2535"/>
      <c r="EQ661" s="2535"/>
      <c r="ER661" s="2535" t="e">
        <f t="shared" si="26"/>
        <v>#VALUE!</v>
      </c>
      <c r="ES661" s="2535"/>
      <c r="ET661" s="2535"/>
      <c r="EU661" s="2535"/>
      <c r="EV661" s="2535"/>
      <c r="EW661" s="2535" t="e">
        <f t="shared" si="27"/>
        <v>#VALUE!</v>
      </c>
      <c r="EX661" s="2535"/>
      <c r="EY661" s="2535"/>
      <c r="EZ661" s="2535"/>
      <c r="FA661" s="2535"/>
    </row>
    <row r="662" spans="1:157" ht="13.2">
      <c r="A662" s="35"/>
      <c r="B662" s="12" t="s">
        <v>90</v>
      </c>
      <c r="G662" s="2029" t="s">
        <v>2535</v>
      </c>
      <c r="H662" s="2021"/>
      <c r="I662" s="2021"/>
      <c r="J662" s="2021"/>
      <c r="K662" s="2021"/>
      <c r="L662" s="2021"/>
      <c r="M662" s="2021"/>
      <c r="N662" s="2021"/>
      <c r="O662" s="2021"/>
      <c r="P662" s="2021"/>
      <c r="Q662" s="2021"/>
      <c r="R662" s="2021"/>
      <c r="T662" s="35"/>
      <c r="U662" s="12" t="s">
        <v>90</v>
      </c>
      <c r="Z662" s="2029" t="s">
        <v>2535</v>
      </c>
      <c r="AA662" s="2021"/>
      <c r="AB662" s="2021"/>
      <c r="AC662" s="2021"/>
      <c r="AD662" s="2021"/>
      <c r="AE662" s="2021"/>
      <c r="AF662" s="2021"/>
      <c r="AG662" s="2021"/>
      <c r="AH662" s="2021"/>
      <c r="AI662" s="2021"/>
      <c r="AJ662" s="2021"/>
      <c r="AK662" s="202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5" t="e">
        <f t="shared" si="22"/>
        <v>#VALUE!</v>
      </c>
      <c r="DY662" s="2535"/>
      <c r="DZ662" s="2535"/>
      <c r="EA662" s="2535"/>
      <c r="EB662" s="2535"/>
      <c r="EC662" s="2535" t="e">
        <f t="shared" si="23"/>
        <v>#VALUE!</v>
      </c>
      <c r="ED662" s="2535"/>
      <c r="EE662" s="2535"/>
      <c r="EF662" s="2535"/>
      <c r="EG662" s="2535"/>
      <c r="EH662" s="2535" t="e">
        <f t="shared" si="24"/>
        <v>#VALUE!</v>
      </c>
      <c r="EI662" s="2535"/>
      <c r="EJ662" s="2535"/>
      <c r="EK662" s="2535"/>
      <c r="EL662" s="2535"/>
      <c r="EM662" s="2535" t="e">
        <f t="shared" si="25"/>
        <v>#VALUE!</v>
      </c>
      <c r="EN662" s="2535"/>
      <c r="EO662" s="2535"/>
      <c r="EP662" s="2535"/>
      <c r="EQ662" s="2535"/>
      <c r="ER662" s="2535" t="e">
        <f t="shared" si="26"/>
        <v>#VALUE!</v>
      </c>
      <c r="ES662" s="2535"/>
      <c r="ET662" s="2535"/>
      <c r="EU662" s="2535"/>
      <c r="EV662" s="2535"/>
      <c r="EW662" s="2535" t="e">
        <f t="shared" si="27"/>
        <v>#VALUE!</v>
      </c>
      <c r="EX662" s="2535"/>
      <c r="EY662" s="2535"/>
      <c r="EZ662" s="2535"/>
      <c r="FA662" s="2535"/>
    </row>
    <row r="663" spans="1:157" ht="13.2">
      <c r="A663" s="35"/>
      <c r="B663" s="12" t="s">
        <v>616</v>
      </c>
      <c r="G663" s="2056" t="s">
        <v>2470</v>
      </c>
      <c r="H663" s="2059"/>
      <c r="I663" s="2059"/>
      <c r="J663" s="2059"/>
      <c r="K663" s="2059"/>
      <c r="L663" s="2059"/>
      <c r="M663" s="2059"/>
      <c r="N663" s="2059"/>
      <c r="O663" s="2059"/>
      <c r="P663" s="2059"/>
      <c r="Q663" s="2059"/>
      <c r="R663" s="2059"/>
      <c r="T663" s="35"/>
      <c r="U663" s="12" t="s">
        <v>616</v>
      </c>
      <c r="Z663" s="2056" t="s">
        <v>2470</v>
      </c>
      <c r="AA663" s="2059"/>
      <c r="AB663" s="2059"/>
      <c r="AC663" s="2059"/>
      <c r="AD663" s="2059"/>
      <c r="AE663" s="2059"/>
      <c r="AF663" s="2059"/>
      <c r="AG663" s="2059"/>
      <c r="AH663" s="2059"/>
      <c r="AI663" s="2059"/>
      <c r="AJ663" s="2059"/>
      <c r="AK663" s="2059"/>
      <c r="AZ663" s="61"/>
      <c r="BA663" s="61"/>
      <c r="BB663" s="61"/>
      <c r="BC663" s="61"/>
      <c r="BD663" s="61"/>
      <c r="BE663" s="61"/>
      <c r="BF663" s="61"/>
      <c r="BG663" s="61"/>
      <c r="BH663" s="61"/>
      <c r="BI663" s="61"/>
      <c r="BJ663" s="61"/>
      <c r="BK663" s="61"/>
      <c r="BL663" s="61"/>
      <c r="BM663" s="61"/>
      <c r="BN663" s="2005">
        <f>BN635+BN644+BN658</f>
        <v>0</v>
      </c>
      <c r="BO663" s="2006"/>
      <c r="BP663" s="2006"/>
      <c r="BQ663" s="2006"/>
      <c r="BR663" s="2007"/>
      <c r="BS663" s="2005">
        <f>BS635+BS644+BS658</f>
        <v>64</v>
      </c>
      <c r="BT663" s="2006"/>
      <c r="BU663" s="2006"/>
      <c r="BV663" s="2006"/>
      <c r="BW663" s="2007"/>
      <c r="BX663" s="2005">
        <f>BX635+BX644+BX658</f>
        <v>58</v>
      </c>
      <c r="BY663" s="2006"/>
      <c r="BZ663" s="2006"/>
      <c r="CA663" s="2006"/>
      <c r="CB663" s="2007"/>
      <c r="CC663" s="2005">
        <f>CC635+CC644+CC658</f>
        <v>42</v>
      </c>
      <c r="CD663" s="2006"/>
      <c r="CE663" s="2006"/>
      <c r="CF663" s="2006"/>
      <c r="CG663" s="2007"/>
      <c r="CH663" s="2005">
        <f>CH635+CH644+CH658</f>
        <v>0</v>
      </c>
      <c r="CI663" s="2006"/>
      <c r="CJ663" s="2006"/>
      <c r="CK663" s="2006"/>
      <c r="CL663" s="2007"/>
      <c r="CM663" s="2011">
        <f>CM658+CM644+CM635</f>
        <v>0</v>
      </c>
      <c r="CN663" s="2169"/>
      <c r="CO663" s="2169"/>
      <c r="CP663" s="2169"/>
      <c r="CQ663" s="2012"/>
      <c r="CR663" s="177"/>
      <c r="CS663" s="1472">
        <f>CS637+CS661</f>
        <v>304</v>
      </c>
      <c r="CT663" s="134" t="s">
        <v>2457</v>
      </c>
      <c r="CU663" s="58"/>
      <c r="CV663" s="58"/>
      <c r="CW663" s="58"/>
      <c r="CX663" s="58"/>
      <c r="CY663" s="58"/>
      <c r="CZ663" s="58"/>
      <c r="DA663" s="58"/>
      <c r="DB663" s="58"/>
      <c r="DC663" s="58"/>
      <c r="DD663" s="58"/>
      <c r="DE663" s="58"/>
      <c r="DF663" s="58"/>
      <c r="DX663" s="2535">
        <f>SUMIF(DX638:EB662,"&gt;0")</f>
        <v>0</v>
      </c>
      <c r="DY663" s="2535"/>
      <c r="DZ663" s="2535"/>
      <c r="EA663" s="2535"/>
      <c r="EB663" s="2535"/>
      <c r="EC663" s="2535">
        <f>SUMIF(EC638:EG662,"&gt;0")</f>
        <v>1212.375</v>
      </c>
      <c r="ED663" s="2535"/>
      <c r="EE663" s="2535"/>
      <c r="EF663" s="2535"/>
      <c r="EG663" s="2535"/>
      <c r="EH663" s="2535">
        <f>SUMIF(EH638:EL662,"&gt;0")</f>
        <v>1411.4035087719299</v>
      </c>
      <c r="EI663" s="2535"/>
      <c r="EJ663" s="2535"/>
      <c r="EK663" s="2535"/>
      <c r="EL663" s="2535"/>
      <c r="EM663" s="2535">
        <f>SUMIF(EM638:EQ662,"&gt;0")</f>
        <v>1629.7619047619048</v>
      </c>
      <c r="EN663" s="2535"/>
      <c r="EO663" s="2535"/>
      <c r="EP663" s="2535"/>
      <c r="EQ663" s="2535"/>
      <c r="ER663" s="2535">
        <f>SUMIF(ER638:EV662,"&gt;0")</f>
        <v>0</v>
      </c>
      <c r="ES663" s="2535"/>
      <c r="ET663" s="2535"/>
      <c r="EU663" s="2535"/>
      <c r="EV663" s="2535"/>
      <c r="EW663" s="2535">
        <f>SUMIF(EW638:FA662,"&gt;0")</f>
        <v>0</v>
      </c>
      <c r="EX663" s="2535"/>
      <c r="EY663" s="2535"/>
      <c r="EZ663" s="2535"/>
      <c r="FA663" s="2535"/>
    </row>
    <row r="664" spans="1:157" ht="13.2">
      <c r="A664" s="35"/>
      <c r="B664" s="12" t="s">
        <v>17</v>
      </c>
      <c r="G664" s="2056" t="s">
        <v>2471</v>
      </c>
      <c r="H664" s="2059"/>
      <c r="I664" s="2059"/>
      <c r="J664" s="2059"/>
      <c r="K664" s="2059"/>
      <c r="L664" s="2059"/>
      <c r="M664" s="2059"/>
      <c r="N664" s="2059"/>
      <c r="O664" s="2059"/>
      <c r="P664" s="2059"/>
      <c r="Q664" s="2059"/>
      <c r="R664" s="2059"/>
      <c r="T664" s="35"/>
      <c r="U664" s="12" t="s">
        <v>17</v>
      </c>
      <c r="Z664" s="2056" t="s">
        <v>2471</v>
      </c>
      <c r="AA664" s="2059"/>
      <c r="AB664" s="2059"/>
      <c r="AC664" s="2059"/>
      <c r="AD664" s="2059"/>
      <c r="AE664" s="2059"/>
      <c r="AF664" s="2059"/>
      <c r="AG664" s="2059"/>
      <c r="AH664" s="2059"/>
      <c r="AI664" s="2059"/>
      <c r="AJ664" s="2059"/>
      <c r="AK664" s="205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95" t="s">
        <v>2570</v>
      </c>
      <c r="H665" s="2095"/>
      <c r="I665" s="2095"/>
      <c r="J665" s="2095"/>
      <c r="K665" s="2095"/>
      <c r="L665" s="2095"/>
      <c r="O665" s="137" t="s">
        <v>212</v>
      </c>
      <c r="P665" s="2134"/>
      <c r="Q665" s="2134"/>
      <c r="R665" s="2134"/>
      <c r="T665" s="35"/>
      <c r="U665" s="12" t="s">
        <v>327</v>
      </c>
      <c r="Z665" s="2095" t="s">
        <v>2570</v>
      </c>
      <c r="AA665" s="2095"/>
      <c r="AB665" s="2095"/>
      <c r="AC665" s="2095"/>
      <c r="AD665" s="2095"/>
      <c r="AE665" s="2095"/>
      <c r="AH665" s="137" t="s">
        <v>212</v>
      </c>
      <c r="AI665" s="2134"/>
      <c r="AJ665" s="2134"/>
      <c r="AK665" s="21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t="s">
        <v>2141</v>
      </c>
      <c r="I666" s="2021"/>
      <c r="J666" s="2021"/>
      <c r="K666" s="2021"/>
      <c r="L666" s="2021"/>
      <c r="M666" s="2021"/>
      <c r="N666" s="2021"/>
      <c r="O666" s="2021"/>
      <c r="P666" s="2021"/>
      <c r="Q666" s="2021"/>
      <c r="R666" s="2021"/>
      <c r="T666" s="35"/>
      <c r="U666" s="12" t="s">
        <v>18</v>
      </c>
      <c r="AA666" s="2029" t="s">
        <v>2537</v>
      </c>
      <c r="AB666" s="2021"/>
      <c r="AC666" s="2021"/>
      <c r="AD666" s="2021"/>
      <c r="AE666" s="2021"/>
      <c r="AF666" s="2021"/>
      <c r="AG666" s="2021"/>
      <c r="AH666" s="2021"/>
      <c r="AI666" s="2021"/>
      <c r="AJ666" s="2021"/>
      <c r="AK666" s="202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22" t="s">
        <v>579</v>
      </c>
      <c r="O667" s="2022"/>
      <c r="T667" s="35"/>
      <c r="U667" s="12" t="s">
        <v>20</v>
      </c>
      <c r="AG667" s="2022" t="s">
        <v>579</v>
      </c>
      <c r="AH667" s="2022"/>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030">
        <f>C641</f>
        <v>0</v>
      </c>
      <c r="H669" s="2030"/>
      <c r="I669" s="2030"/>
      <c r="J669" s="2030"/>
      <c r="K669" s="2030"/>
      <c r="L669" s="2030"/>
      <c r="M669" s="2030"/>
      <c r="N669" s="2030"/>
      <c r="O669" s="2030"/>
      <c r="P669" s="2030"/>
      <c r="Q669" s="2030"/>
      <c r="R669" s="2030"/>
      <c r="T669" s="87" t="s">
        <v>620</v>
      </c>
      <c r="U669" s="12" t="s">
        <v>497</v>
      </c>
      <c r="Z669" s="2030">
        <f>C642</f>
        <v>0</v>
      </c>
      <c r="AA669" s="2030"/>
      <c r="AB669" s="2030"/>
      <c r="AC669" s="2030"/>
      <c r="AD669" s="2030"/>
      <c r="AE669" s="2030"/>
      <c r="AF669" s="2030"/>
      <c r="AG669" s="2030"/>
      <c r="AH669" s="2030"/>
      <c r="AI669" s="2030"/>
      <c r="AJ669" s="2030"/>
      <c r="AK669" s="2030"/>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21"/>
      <c r="H670" s="2021"/>
      <c r="I670" s="2021"/>
      <c r="J670" s="2021"/>
      <c r="K670" s="2021"/>
      <c r="L670" s="2021"/>
      <c r="M670" s="2021"/>
      <c r="N670" s="2021"/>
      <c r="O670" s="2021"/>
      <c r="P670" s="2021"/>
      <c r="Q670" s="2021"/>
      <c r="R670" s="2021"/>
      <c r="T670" s="35"/>
      <c r="U670" s="12" t="s">
        <v>90</v>
      </c>
      <c r="Z670" s="2021"/>
      <c r="AA670" s="2021"/>
      <c r="AB670" s="2021"/>
      <c r="AC670" s="2021"/>
      <c r="AD670" s="2021"/>
      <c r="AE670" s="2021"/>
      <c r="AF670" s="2021"/>
      <c r="AG670" s="2021"/>
      <c r="AH670" s="2021"/>
      <c r="AI670" s="2021"/>
      <c r="AJ670" s="2021"/>
      <c r="AK670" s="2021"/>
      <c r="AZ670" s="58"/>
      <c r="BA670" s="447">
        <f t="shared" ref="BA670:BA694" si="40">IF($G728=0,"N/A",VLOOKUP($T$189,TC_Rent,(MATCH($B728,bedrooms,FALSE))))</f>
        <v>2130</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2021"/>
      <c r="H671" s="2021"/>
      <c r="I671" s="2021"/>
      <c r="J671" s="2021"/>
      <c r="K671" s="2021"/>
      <c r="L671" s="2021"/>
      <c r="M671" s="2021"/>
      <c r="N671" s="2021"/>
      <c r="O671" s="2021"/>
      <c r="P671" s="2021"/>
      <c r="Q671" s="2021"/>
      <c r="R671" s="2021"/>
      <c r="T671" s="35"/>
      <c r="U671" s="12" t="s">
        <v>616</v>
      </c>
      <c r="Z671" s="2059"/>
      <c r="AA671" s="2059"/>
      <c r="AB671" s="2059"/>
      <c r="AC671" s="2059"/>
      <c r="AD671" s="2059"/>
      <c r="AE671" s="2059"/>
      <c r="AF671" s="2059"/>
      <c r="AG671" s="2059"/>
      <c r="AH671" s="2059"/>
      <c r="AI671" s="2059"/>
      <c r="AJ671" s="2059"/>
      <c r="AK671" s="2059"/>
      <c r="AZ671" s="58"/>
      <c r="BA671" s="447">
        <f t="shared" si="40"/>
        <v>2130</v>
      </c>
      <c r="BB671" s="58"/>
      <c r="BC671" s="58"/>
      <c r="BD671" s="58"/>
      <c r="BE671" s="58"/>
      <c r="BF671" s="383"/>
      <c r="BG671" s="457">
        <f t="shared" ref="BG671:BG695" si="41">G728</f>
        <v>6</v>
      </c>
      <c r="BH671" s="461">
        <f>BG671/$BG$696</f>
        <v>3.6809815950920248E-2</v>
      </c>
      <c r="BI671" s="462">
        <f t="shared" ref="BI671:BI695" si="42">IF(BH671=0," ",BH671*AH728)</f>
        <v>1.1042944785276074E-2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21"/>
      <c r="H672" s="2021"/>
      <c r="I672" s="2021"/>
      <c r="J672" s="2021"/>
      <c r="K672" s="2021"/>
      <c r="L672" s="2021"/>
      <c r="M672" s="2021"/>
      <c r="N672" s="2021"/>
      <c r="O672" s="2021"/>
      <c r="P672" s="2021"/>
      <c r="Q672" s="2021"/>
      <c r="R672" s="2021"/>
      <c r="T672" s="35"/>
      <c r="U672" s="12" t="s">
        <v>17</v>
      </c>
      <c r="Z672" s="2059"/>
      <c r="AA672" s="2059"/>
      <c r="AB672" s="2059"/>
      <c r="AC672" s="2059"/>
      <c r="AD672" s="2059"/>
      <c r="AE672" s="2059"/>
      <c r="AF672" s="2059"/>
      <c r="AG672" s="2059"/>
      <c r="AH672" s="2059"/>
      <c r="AI672" s="2059"/>
      <c r="AJ672" s="2059"/>
      <c r="AK672" s="2059"/>
      <c r="AZ672" s="58"/>
      <c r="BA672" s="447">
        <f t="shared" si="40"/>
        <v>2130</v>
      </c>
      <c r="BB672" s="58"/>
      <c r="BC672" s="58"/>
      <c r="BD672" s="58"/>
      <c r="BE672" s="58"/>
      <c r="BF672" s="383"/>
      <c r="BG672" s="458">
        <f t="shared" si="41"/>
        <v>16</v>
      </c>
      <c r="BH672" s="461">
        <f t="shared" ref="BH672:BH695" si="43">BG672/$BG$696</f>
        <v>9.815950920245399E-2</v>
      </c>
      <c r="BI672" s="462">
        <f t="shared" si="42"/>
        <v>4.9079754601226995E-2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94"/>
      <c r="H673" s="2094"/>
      <c r="I673" s="2094"/>
      <c r="J673" s="2094"/>
      <c r="K673" s="2094"/>
      <c r="L673" s="2094"/>
      <c r="O673" s="137" t="s">
        <v>212</v>
      </c>
      <c r="P673" s="2134"/>
      <c r="Q673" s="2134"/>
      <c r="R673" s="2134"/>
      <c r="T673" s="35"/>
      <c r="U673" s="12" t="s">
        <v>327</v>
      </c>
      <c r="Z673" s="2094"/>
      <c r="AA673" s="2094"/>
      <c r="AB673" s="2094"/>
      <c r="AC673" s="2094"/>
      <c r="AD673" s="2094"/>
      <c r="AE673" s="2094"/>
      <c r="AH673" s="137" t="s">
        <v>212</v>
      </c>
      <c r="AI673" s="2134"/>
      <c r="AJ673" s="2134"/>
      <c r="AK673" s="2134"/>
      <c r="AZ673" s="58"/>
      <c r="BA673" s="447">
        <f t="shared" si="40"/>
        <v>2130</v>
      </c>
      <c r="BB673" s="58"/>
      <c r="BC673" s="58"/>
      <c r="BD673" s="58"/>
      <c r="BE673" s="58"/>
      <c r="BF673" s="383"/>
      <c r="BG673" s="458">
        <f t="shared" si="41"/>
        <v>16</v>
      </c>
      <c r="BH673" s="461">
        <f t="shared" si="43"/>
        <v>9.815950920245399E-2</v>
      </c>
      <c r="BI673" s="462">
        <f t="shared" si="42"/>
        <v>5.8895705521472393E-2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21"/>
      <c r="I674" s="2021"/>
      <c r="J674" s="2021"/>
      <c r="K674" s="2021"/>
      <c r="L674" s="2021"/>
      <c r="M674" s="2021"/>
      <c r="N674" s="2021"/>
      <c r="O674" s="2021"/>
      <c r="P674" s="2021"/>
      <c r="Q674" s="2021"/>
      <c r="R674" s="2021"/>
      <c r="T674" s="35"/>
      <c r="U674" s="12" t="s">
        <v>18</v>
      </c>
      <c r="AA674" s="2021"/>
      <c r="AB674" s="2021"/>
      <c r="AC674" s="2021"/>
      <c r="AD674" s="2021"/>
      <c r="AE674" s="2021"/>
      <c r="AF674" s="2021"/>
      <c r="AG674" s="2021"/>
      <c r="AH674" s="2021"/>
      <c r="AI674" s="2021"/>
      <c r="AJ674" s="2021"/>
      <c r="AK674" s="2021"/>
      <c r="AZ674" s="58"/>
      <c r="BA674" s="447">
        <f t="shared" si="40"/>
        <v>2556</v>
      </c>
      <c r="BB674" s="58"/>
      <c r="BC674" s="58"/>
      <c r="BD674" s="58"/>
      <c r="BE674" s="58"/>
      <c r="BF674" s="383"/>
      <c r="BG674" s="458">
        <f t="shared" si="41"/>
        <v>26</v>
      </c>
      <c r="BH674" s="461">
        <f t="shared" si="43"/>
        <v>0.15950920245398773</v>
      </c>
      <c r="BI674" s="462">
        <f t="shared" si="42"/>
        <v>0.1116564417177914</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22" t="s">
        <v>707</v>
      </c>
      <c r="O675" s="2022"/>
      <c r="T675" s="35"/>
      <c r="U675" s="12" t="s">
        <v>20</v>
      </c>
      <c r="AG675" s="2022" t="s">
        <v>707</v>
      </c>
      <c r="AH675" s="2022"/>
      <c r="AZ675" s="58"/>
      <c r="BA675" s="447">
        <f t="shared" si="40"/>
        <v>2556</v>
      </c>
      <c r="BB675" s="58"/>
      <c r="BC675" s="58"/>
      <c r="BD675" s="58"/>
      <c r="BE675" s="58"/>
      <c r="BF675" s="383"/>
      <c r="BG675" s="458">
        <f t="shared" si="41"/>
        <v>6</v>
      </c>
      <c r="BH675" s="461">
        <f t="shared" si="43"/>
        <v>3.6809815950920248E-2</v>
      </c>
      <c r="BI675" s="462">
        <f t="shared" si="42"/>
        <v>1.1042944785276074E-2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2556</v>
      </c>
      <c r="BB676" s="58"/>
      <c r="BC676" s="58"/>
      <c r="BD676" s="58"/>
      <c r="BE676" s="58"/>
      <c r="BF676" s="383"/>
      <c r="BG676" s="458">
        <f t="shared" si="41"/>
        <v>16</v>
      </c>
      <c r="BH676" s="461">
        <f t="shared" si="43"/>
        <v>9.815950920245399E-2</v>
      </c>
      <c r="BI676" s="462">
        <f t="shared" si="42"/>
        <v>4.9079754601226995E-2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030">
        <f>C643</f>
        <v>0</v>
      </c>
      <c r="H677" s="2030"/>
      <c r="I677" s="2030"/>
      <c r="J677" s="2030"/>
      <c r="K677" s="2030"/>
      <c r="L677" s="2030"/>
      <c r="M677" s="2030"/>
      <c r="N677" s="2030"/>
      <c r="O677" s="2030"/>
      <c r="P677" s="2030"/>
      <c r="Q677" s="2030"/>
      <c r="R677" s="2030"/>
      <c r="T677" s="87" t="s">
        <v>489</v>
      </c>
      <c r="U677" s="12" t="s">
        <v>497</v>
      </c>
      <c r="Z677" s="2030">
        <f>C644</f>
        <v>0</v>
      </c>
      <c r="AA677" s="2030"/>
      <c r="AB677" s="2030"/>
      <c r="AC677" s="2030"/>
      <c r="AD677" s="2030"/>
      <c r="AE677" s="2030"/>
      <c r="AF677" s="2030"/>
      <c r="AG677" s="2030"/>
      <c r="AH677" s="2030"/>
      <c r="AI677" s="2030"/>
      <c r="AJ677" s="2030"/>
      <c r="AK677" s="2030"/>
      <c r="AZ677" s="58"/>
      <c r="BA677" s="447">
        <f t="shared" si="40"/>
        <v>2556</v>
      </c>
      <c r="BB677" s="58"/>
      <c r="BC677" s="58"/>
      <c r="BD677" s="58"/>
      <c r="BE677" s="58"/>
      <c r="BF677" s="383"/>
      <c r="BG677" s="458">
        <f t="shared" si="41"/>
        <v>16</v>
      </c>
      <c r="BH677" s="461">
        <f t="shared" si="43"/>
        <v>9.815950920245399E-2</v>
      </c>
      <c r="BI677" s="462">
        <f t="shared" si="42"/>
        <v>5.8895705521472393E-2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21"/>
      <c r="H678" s="2021"/>
      <c r="I678" s="2021"/>
      <c r="J678" s="2021"/>
      <c r="K678" s="2021"/>
      <c r="L678" s="2021"/>
      <c r="M678" s="2021"/>
      <c r="N678" s="2021"/>
      <c r="O678" s="2021"/>
      <c r="P678" s="2021"/>
      <c r="Q678" s="2021"/>
      <c r="R678" s="2021"/>
      <c r="T678" s="35"/>
      <c r="U678" s="12" t="s">
        <v>90</v>
      </c>
      <c r="Z678" s="2021"/>
      <c r="AA678" s="2021"/>
      <c r="AB678" s="2021"/>
      <c r="AC678" s="2021"/>
      <c r="AD678" s="2021"/>
      <c r="AE678" s="2021"/>
      <c r="AF678" s="2021"/>
      <c r="AG678" s="2021"/>
      <c r="AH678" s="2021"/>
      <c r="AI678" s="2021"/>
      <c r="AJ678" s="2021"/>
      <c r="AK678" s="2021"/>
      <c r="AZ678" s="58"/>
      <c r="BA678" s="447">
        <f t="shared" si="40"/>
        <v>2952</v>
      </c>
      <c r="BB678" s="58"/>
      <c r="BC678" s="58"/>
      <c r="BD678" s="58"/>
      <c r="BE678" s="58"/>
      <c r="BF678" s="383"/>
      <c r="BG678" s="458">
        <f t="shared" si="41"/>
        <v>19</v>
      </c>
      <c r="BH678" s="461">
        <f t="shared" si="43"/>
        <v>0.1165644171779141</v>
      </c>
      <c r="BI678" s="462">
        <f t="shared" si="42"/>
        <v>8.1595092024539864E-2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2021"/>
      <c r="H679" s="2021"/>
      <c r="I679" s="2021"/>
      <c r="J679" s="2021"/>
      <c r="K679" s="2021"/>
      <c r="L679" s="2021"/>
      <c r="M679" s="2021"/>
      <c r="N679" s="2021"/>
      <c r="O679" s="2021"/>
      <c r="P679" s="2021"/>
      <c r="Q679" s="2021"/>
      <c r="R679" s="2021"/>
      <c r="T679" s="35"/>
      <c r="U679" s="12" t="s">
        <v>616</v>
      </c>
      <c r="Z679" s="2059"/>
      <c r="AA679" s="2059"/>
      <c r="AB679" s="2059"/>
      <c r="AC679" s="2059"/>
      <c r="AD679" s="2059"/>
      <c r="AE679" s="2059"/>
      <c r="AF679" s="2059"/>
      <c r="AG679" s="2059"/>
      <c r="AH679" s="2059"/>
      <c r="AI679" s="2059"/>
      <c r="AJ679" s="2059"/>
      <c r="AK679" s="2059"/>
      <c r="AZ679" s="58"/>
      <c r="BA679" s="447">
        <f t="shared" si="40"/>
        <v>2952</v>
      </c>
      <c r="BB679" s="58"/>
      <c r="BC679" s="58"/>
      <c r="BD679" s="58"/>
      <c r="BE679" s="58"/>
      <c r="BF679" s="383"/>
      <c r="BG679" s="458">
        <f t="shared" si="41"/>
        <v>5</v>
      </c>
      <c r="BH679" s="461">
        <f t="shared" si="43"/>
        <v>3.0674846625766871E-2</v>
      </c>
      <c r="BI679" s="462">
        <f t="shared" si="42"/>
        <v>9.2024539877300603E-3</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21"/>
      <c r="H680" s="2021"/>
      <c r="I680" s="2021"/>
      <c r="J680" s="2021"/>
      <c r="K680" s="2021"/>
      <c r="L680" s="2021"/>
      <c r="M680" s="2021"/>
      <c r="N680" s="2021"/>
      <c r="O680" s="2021"/>
      <c r="P680" s="2021"/>
      <c r="Q680" s="2021"/>
      <c r="R680" s="2021"/>
      <c r="T680" s="35"/>
      <c r="U680" s="12" t="s">
        <v>17</v>
      </c>
      <c r="Z680" s="2059"/>
      <c r="AA680" s="2059"/>
      <c r="AB680" s="2059"/>
      <c r="AC680" s="2059"/>
      <c r="AD680" s="2059"/>
      <c r="AE680" s="2059"/>
      <c r="AF680" s="2059"/>
      <c r="AG680" s="2059"/>
      <c r="AH680" s="2059"/>
      <c r="AI680" s="2059"/>
      <c r="AJ680" s="2059"/>
      <c r="AK680" s="2059"/>
      <c r="AZ680" s="58"/>
      <c r="BA680" s="447">
        <f t="shared" si="40"/>
        <v>2952</v>
      </c>
      <c r="BB680" s="58"/>
      <c r="BC680" s="58"/>
      <c r="BD680" s="58"/>
      <c r="BE680" s="58"/>
      <c r="BF680" s="383"/>
      <c r="BG680" s="458">
        <f t="shared" si="41"/>
        <v>11</v>
      </c>
      <c r="BH680" s="461">
        <f t="shared" si="43"/>
        <v>6.7484662576687116E-2</v>
      </c>
      <c r="BI680" s="462">
        <f t="shared" si="42"/>
        <v>3.3742331288343558E-2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94"/>
      <c r="H681" s="2094"/>
      <c r="I681" s="2094"/>
      <c r="J681" s="2094"/>
      <c r="K681" s="2094"/>
      <c r="L681" s="2094"/>
      <c r="O681" s="137" t="s">
        <v>212</v>
      </c>
      <c r="P681" s="2134"/>
      <c r="Q681" s="2134"/>
      <c r="R681" s="2134"/>
      <c r="T681" s="35"/>
      <c r="U681" s="12" t="s">
        <v>327</v>
      </c>
      <c r="Z681" s="2094"/>
      <c r="AA681" s="2094"/>
      <c r="AB681" s="2094"/>
      <c r="AC681" s="2094"/>
      <c r="AD681" s="2094"/>
      <c r="AE681" s="2094"/>
      <c r="AH681" s="137" t="s">
        <v>212</v>
      </c>
      <c r="AI681" s="2134"/>
      <c r="AJ681" s="2134"/>
      <c r="AK681" s="2134"/>
      <c r="AZ681" s="58"/>
      <c r="BA681" s="447">
        <f t="shared" si="40"/>
        <v>2952</v>
      </c>
      <c r="BB681" s="58"/>
      <c r="BC681" s="58"/>
      <c r="BD681" s="58"/>
      <c r="BE681" s="58"/>
      <c r="BF681" s="383"/>
      <c r="BG681" s="458">
        <f t="shared" si="41"/>
        <v>10</v>
      </c>
      <c r="BH681" s="461">
        <f t="shared" si="43"/>
        <v>6.1349693251533742E-2</v>
      </c>
      <c r="BI681" s="462">
        <f t="shared" si="42"/>
        <v>3.6809815950920241E-2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21"/>
      <c r="I682" s="2021"/>
      <c r="J682" s="2021"/>
      <c r="K682" s="2021"/>
      <c r="L682" s="2021"/>
      <c r="M682" s="2021"/>
      <c r="N682" s="2021"/>
      <c r="O682" s="2021"/>
      <c r="P682" s="2021"/>
      <c r="Q682" s="2021"/>
      <c r="R682" s="2021"/>
      <c r="T682" s="35"/>
      <c r="U682" s="12" t="s">
        <v>18</v>
      </c>
      <c r="AA682" s="2021"/>
      <c r="AB682" s="2021"/>
      <c r="AC682" s="2021"/>
      <c r="AD682" s="2021"/>
      <c r="AE682" s="2021"/>
      <c r="AF682" s="2021"/>
      <c r="AG682" s="2021"/>
      <c r="AH682" s="2021"/>
      <c r="AI682" s="2021"/>
      <c r="AJ682" s="2021"/>
      <c r="AK682" s="2021"/>
      <c r="AZ682" s="58"/>
      <c r="BA682" s="447" t="str">
        <f t="shared" si="40"/>
        <v>N/A</v>
      </c>
      <c r="BB682" s="58"/>
      <c r="BC682" s="58"/>
      <c r="BD682" s="58"/>
      <c r="BE682" s="58"/>
      <c r="BF682" s="383"/>
      <c r="BG682" s="458">
        <f t="shared" si="41"/>
        <v>16</v>
      </c>
      <c r="BH682" s="461">
        <f t="shared" si="43"/>
        <v>9.815950920245399E-2</v>
      </c>
      <c r="BI682" s="462">
        <f t="shared" si="42"/>
        <v>6.8711656441717783E-2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22" t="s">
        <v>707</v>
      </c>
      <c r="O683" s="2022"/>
      <c r="T683" s="35"/>
      <c r="U683" s="12" t="s">
        <v>20</v>
      </c>
      <c r="AG683" s="2022" t="s">
        <v>707</v>
      </c>
      <c r="AH683" s="2022"/>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030">
        <f>C645</f>
        <v>0</v>
      </c>
      <c r="H685" s="2030"/>
      <c r="I685" s="2030"/>
      <c r="J685" s="2030"/>
      <c r="K685" s="2030"/>
      <c r="L685" s="2030"/>
      <c r="M685" s="2030"/>
      <c r="N685" s="2030"/>
      <c r="O685" s="2030"/>
      <c r="P685" s="2030"/>
      <c r="Q685" s="2030"/>
      <c r="R685" s="2030"/>
      <c r="T685" s="87" t="s">
        <v>682</v>
      </c>
      <c r="U685" s="12" t="s">
        <v>497</v>
      </c>
      <c r="Z685" s="2030">
        <f>C646</f>
        <v>0</v>
      </c>
      <c r="AA685" s="2030"/>
      <c r="AB685" s="2030"/>
      <c r="AC685" s="2030"/>
      <c r="AD685" s="2030"/>
      <c r="AE685" s="2030"/>
      <c r="AF685" s="2030"/>
      <c r="AG685" s="2030"/>
      <c r="AH685" s="2030"/>
      <c r="AI685" s="2030"/>
      <c r="AJ685" s="2030"/>
      <c r="AK685" s="2030"/>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21"/>
      <c r="H686" s="2021"/>
      <c r="I686" s="2021"/>
      <c r="J686" s="2021"/>
      <c r="K686" s="2021"/>
      <c r="L686" s="2021"/>
      <c r="M686" s="2021"/>
      <c r="N686" s="2021"/>
      <c r="O686" s="2021"/>
      <c r="P686" s="2021"/>
      <c r="Q686" s="2021"/>
      <c r="R686" s="2021"/>
      <c r="T686" s="35"/>
      <c r="U686" s="12" t="s">
        <v>90</v>
      </c>
      <c r="Z686" s="2021"/>
      <c r="AA686" s="2021"/>
      <c r="AB686" s="2021"/>
      <c r="AC686" s="2021"/>
      <c r="AD686" s="2021"/>
      <c r="AE686" s="2021"/>
      <c r="AF686" s="2021"/>
      <c r="AG686" s="2021"/>
      <c r="AH686" s="2021"/>
      <c r="AI686" s="2021"/>
      <c r="AJ686" s="2021"/>
      <c r="AK686" s="202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2021"/>
      <c r="H687" s="2021"/>
      <c r="I687" s="2021"/>
      <c r="J687" s="2021"/>
      <c r="K687" s="2021"/>
      <c r="L687" s="2021"/>
      <c r="M687" s="2021"/>
      <c r="N687" s="2021"/>
      <c r="O687" s="2021"/>
      <c r="P687" s="2021"/>
      <c r="Q687" s="2021"/>
      <c r="R687" s="2021"/>
      <c r="T687" s="35"/>
      <c r="U687" s="12" t="s">
        <v>616</v>
      </c>
      <c r="Z687" s="2059"/>
      <c r="AA687" s="2059"/>
      <c r="AB687" s="2059"/>
      <c r="AC687" s="2059"/>
      <c r="AD687" s="2059"/>
      <c r="AE687" s="2059"/>
      <c r="AF687" s="2059"/>
      <c r="AG687" s="2059"/>
      <c r="AH687" s="2059"/>
      <c r="AI687" s="2059"/>
      <c r="AJ687" s="2059"/>
      <c r="AK687" s="2059"/>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21"/>
      <c r="H688" s="2021"/>
      <c r="I688" s="2021"/>
      <c r="J688" s="2021"/>
      <c r="K688" s="2021"/>
      <c r="L688" s="2021"/>
      <c r="M688" s="2021"/>
      <c r="N688" s="2021"/>
      <c r="O688" s="2021"/>
      <c r="P688" s="2021"/>
      <c r="Q688" s="2021"/>
      <c r="R688" s="2021"/>
      <c r="T688" s="35"/>
      <c r="U688" s="12" t="s">
        <v>17</v>
      </c>
      <c r="Z688" s="2059"/>
      <c r="AA688" s="2059"/>
      <c r="AB688" s="2059"/>
      <c r="AC688" s="2059"/>
      <c r="AD688" s="2059"/>
      <c r="AE688" s="2059"/>
      <c r="AF688" s="2059"/>
      <c r="AG688" s="2059"/>
      <c r="AH688" s="2059"/>
      <c r="AI688" s="2059"/>
      <c r="AJ688" s="2059"/>
      <c r="AK688" s="2059"/>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94"/>
      <c r="H689" s="2094"/>
      <c r="I689" s="2094"/>
      <c r="J689" s="2094"/>
      <c r="K689" s="2094"/>
      <c r="L689" s="2094"/>
      <c r="O689" s="137" t="s">
        <v>212</v>
      </c>
      <c r="P689" s="2134"/>
      <c r="Q689" s="2134"/>
      <c r="R689" s="2134"/>
      <c r="T689" s="35"/>
      <c r="U689" s="12" t="s">
        <v>327</v>
      </c>
      <c r="Z689" s="2094"/>
      <c r="AA689" s="2094"/>
      <c r="AB689" s="2094"/>
      <c r="AC689" s="2094"/>
      <c r="AD689" s="2094"/>
      <c r="AE689" s="2094"/>
      <c r="AH689" s="137" t="s">
        <v>212</v>
      </c>
      <c r="AI689" s="2134"/>
      <c r="AJ689" s="2134"/>
      <c r="AK689" s="2134"/>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21"/>
      <c r="I690" s="2021"/>
      <c r="J690" s="2021"/>
      <c r="K690" s="2021"/>
      <c r="L690" s="2021"/>
      <c r="M690" s="2021"/>
      <c r="N690" s="2021"/>
      <c r="O690" s="2021"/>
      <c r="P690" s="2021"/>
      <c r="Q690" s="2021"/>
      <c r="R690" s="2021"/>
      <c r="T690" s="35"/>
      <c r="U690" s="12" t="s">
        <v>18</v>
      </c>
      <c r="AA690" s="2021"/>
      <c r="AB690" s="2021"/>
      <c r="AC690" s="2021"/>
      <c r="AD690" s="2021"/>
      <c r="AE690" s="2021"/>
      <c r="AF690" s="2021"/>
      <c r="AG690" s="2021"/>
      <c r="AH690" s="2021"/>
      <c r="AI690" s="2021"/>
      <c r="AJ690" s="2021"/>
      <c r="AK690" s="202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22" t="s">
        <v>707</v>
      </c>
      <c r="O691" s="2022"/>
      <c r="T691" s="35"/>
      <c r="U691" s="12" t="s">
        <v>20</v>
      </c>
      <c r="AG691" s="2022" t="s">
        <v>707</v>
      </c>
      <c r="AH691" s="2022"/>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497</v>
      </c>
      <c r="G693" s="2030">
        <f>C647</f>
        <v>0</v>
      </c>
      <c r="H693" s="2030"/>
      <c r="I693" s="2030"/>
      <c r="J693" s="2030"/>
      <c r="K693" s="2030"/>
      <c r="L693" s="2030"/>
      <c r="M693" s="2030"/>
      <c r="N693" s="2030"/>
      <c r="O693" s="2030"/>
      <c r="P693" s="2030"/>
      <c r="Q693" s="2030"/>
      <c r="R693" s="2030"/>
      <c r="T693" s="87" t="s">
        <v>375</v>
      </c>
      <c r="U693" s="12" t="s">
        <v>497</v>
      </c>
      <c r="Z693" s="2030">
        <f>C648</f>
        <v>0</v>
      </c>
      <c r="AA693" s="2030"/>
      <c r="AB693" s="2030"/>
      <c r="AC693" s="2030"/>
      <c r="AD693" s="2030"/>
      <c r="AE693" s="2030"/>
      <c r="AF693" s="2030"/>
      <c r="AG693" s="2030"/>
      <c r="AH693" s="2030"/>
      <c r="AI693" s="2030"/>
      <c r="AJ693" s="2030"/>
      <c r="AK693" s="203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21"/>
      <c r="H694" s="2021"/>
      <c r="I694" s="2021"/>
      <c r="J694" s="2021"/>
      <c r="K694" s="2021"/>
      <c r="L694" s="2021"/>
      <c r="M694" s="2021"/>
      <c r="N694" s="2021"/>
      <c r="O694" s="2021"/>
      <c r="P694" s="2021"/>
      <c r="Q694" s="2021"/>
      <c r="R694" s="2021"/>
      <c r="T694" s="35"/>
      <c r="U694" s="12" t="s">
        <v>90</v>
      </c>
      <c r="Z694" s="2021"/>
      <c r="AA694" s="2021"/>
      <c r="AB694" s="2021"/>
      <c r="AC694" s="2021"/>
      <c r="AD694" s="2021"/>
      <c r="AE694" s="2021"/>
      <c r="AF694" s="2021"/>
      <c r="AG694" s="2021"/>
      <c r="AH694" s="2021"/>
      <c r="AI694" s="2021"/>
      <c r="AJ694" s="2021"/>
      <c r="AK694" s="202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2021"/>
      <c r="H695" s="2021"/>
      <c r="I695" s="2021"/>
      <c r="J695" s="2021"/>
      <c r="K695" s="2021"/>
      <c r="L695" s="2021"/>
      <c r="M695" s="2021"/>
      <c r="N695" s="2021"/>
      <c r="O695" s="2021"/>
      <c r="P695" s="2021"/>
      <c r="Q695" s="2021"/>
      <c r="R695" s="2021"/>
      <c r="U695" s="12" t="s">
        <v>616</v>
      </c>
      <c r="Z695" s="2059"/>
      <c r="AA695" s="2059"/>
      <c r="AB695" s="2059"/>
      <c r="AC695" s="2059"/>
      <c r="AD695" s="2059"/>
      <c r="AE695" s="2059"/>
      <c r="AF695" s="2059"/>
      <c r="AG695" s="2059"/>
      <c r="AH695" s="2059"/>
      <c r="AI695" s="2059"/>
      <c r="AJ695" s="2059"/>
      <c r="AK695" s="2059"/>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21"/>
      <c r="H696" s="2021"/>
      <c r="I696" s="2021"/>
      <c r="J696" s="2021"/>
      <c r="K696" s="2021"/>
      <c r="L696" s="2021"/>
      <c r="M696" s="2021"/>
      <c r="N696" s="2021"/>
      <c r="O696" s="2021"/>
      <c r="P696" s="2021"/>
      <c r="Q696" s="2021"/>
      <c r="R696" s="2021"/>
      <c r="U696" s="12" t="s">
        <v>17</v>
      </c>
      <c r="Z696" s="2059"/>
      <c r="AA696" s="2059"/>
      <c r="AB696" s="2059"/>
      <c r="AC696" s="2059"/>
      <c r="AD696" s="2059"/>
      <c r="AE696" s="2059"/>
      <c r="AF696" s="2059"/>
      <c r="AG696" s="2059"/>
      <c r="AH696" s="2059"/>
      <c r="AI696" s="2059"/>
      <c r="AJ696" s="2059"/>
      <c r="AK696" s="2059"/>
      <c r="AZ696" s="58"/>
      <c r="BA696" s="58"/>
      <c r="BB696" s="58"/>
      <c r="BC696" s="58"/>
      <c r="BD696" s="58"/>
      <c r="BF696" s="454" t="s">
        <v>971</v>
      </c>
      <c r="BG696" s="463">
        <f>SUM(BG671:BG695)</f>
        <v>163</v>
      </c>
      <c r="BH696" s="464">
        <f>SUM(BH671:BH695)</f>
        <v>1</v>
      </c>
      <c r="BI696" s="464">
        <f>SUM(BI671:BI695)</f>
        <v>0.57975460122699385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94"/>
      <c r="H697" s="2094"/>
      <c r="I697" s="2094"/>
      <c r="J697" s="2094"/>
      <c r="K697" s="2094"/>
      <c r="L697" s="2094"/>
      <c r="O697" s="137" t="s">
        <v>212</v>
      </c>
      <c r="P697" s="2134"/>
      <c r="Q697" s="2134"/>
      <c r="R697" s="2134"/>
      <c r="U697" s="12" t="s">
        <v>327</v>
      </c>
      <c r="Z697" s="2094"/>
      <c r="AA697" s="2094"/>
      <c r="AB697" s="2094"/>
      <c r="AC697" s="2094"/>
      <c r="AD697" s="2094"/>
      <c r="AE697" s="2094"/>
      <c r="AH697" s="137" t="s">
        <v>212</v>
      </c>
      <c r="AI697" s="2134"/>
      <c r="AJ697" s="2134"/>
      <c r="AK697" s="2134"/>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21"/>
      <c r="I698" s="2021"/>
      <c r="J698" s="2021"/>
      <c r="K698" s="2021"/>
      <c r="L698" s="2021"/>
      <c r="M698" s="2021"/>
      <c r="N698" s="2021"/>
      <c r="O698" s="2021"/>
      <c r="P698" s="2021"/>
      <c r="Q698" s="2021"/>
      <c r="R698" s="2021"/>
      <c r="U698" s="12" t="s">
        <v>18</v>
      </c>
      <c r="AA698" s="2021"/>
      <c r="AB698" s="2021"/>
      <c r="AC698" s="2021"/>
      <c r="AD698" s="2021"/>
      <c r="AE698" s="2021"/>
      <c r="AF698" s="2021"/>
      <c r="AG698" s="2021"/>
      <c r="AH698" s="2021"/>
      <c r="AI698" s="2021"/>
      <c r="AJ698" s="2021"/>
      <c r="AK698" s="202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22" t="s">
        <v>707</v>
      </c>
      <c r="O699" s="2022"/>
      <c r="U699" s="12" t="s">
        <v>20</v>
      </c>
      <c r="AG699" s="2022" t="s">
        <v>707</v>
      </c>
      <c r="AH699" s="2022"/>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2" t="s">
        <v>579</v>
      </c>
      <c r="AF703" s="202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3.6809815950920248E-2</v>
      </c>
      <c r="BI703" s="462">
        <f t="shared" ref="BI703:BI727" si="45">IF(BH703=0," ",BH703*AM728)</f>
        <v>1.1042944785276074E-2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2" t="s">
        <v>579</v>
      </c>
      <c r="AF704" s="202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16</v>
      </c>
      <c r="BH704" s="461">
        <f t="shared" ref="BH704:BH727" si="46">BG704/$BG$728</f>
        <v>9.815950920245399E-2</v>
      </c>
      <c r="BI704" s="462">
        <f t="shared" si="45"/>
        <v>4.9079754601226995E-2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04">
        <v>44232</v>
      </c>
      <c r="AF705" s="2204"/>
      <c r="AG705" s="2204"/>
      <c r="AH705" s="2204"/>
      <c r="AI705" s="220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16</v>
      </c>
      <c r="BH705" s="461">
        <f t="shared" si="46"/>
        <v>9.815950920245399E-2</v>
      </c>
      <c r="BI705" s="462">
        <f t="shared" si="45"/>
        <v>5.8895705521472393E-2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44314</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26</v>
      </c>
      <c r="BH706" s="461">
        <f t="shared" si="46"/>
        <v>0.15950920245398773</v>
      </c>
      <c r="BI706" s="462">
        <f t="shared" si="45"/>
        <v>0.1116564417177914</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6</v>
      </c>
      <c r="BH707" s="461">
        <f t="shared" si="46"/>
        <v>3.6809815950920248E-2</v>
      </c>
      <c r="BI707" s="462">
        <f t="shared" si="45"/>
        <v>1.1045825052564878E-2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04">
        <v>44484</v>
      </c>
      <c r="AF708" s="2204"/>
      <c r="AG708" s="2204"/>
      <c r="AH708" s="2204"/>
      <c r="AI708" s="220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16</v>
      </c>
      <c r="BH708" s="461">
        <f t="shared" si="46"/>
        <v>9.815950920245399E-2</v>
      </c>
      <c r="BI708" s="462">
        <f t="shared" si="45"/>
        <v>4.9079754601226995E-2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04">
        <v>0.5302</v>
      </c>
      <c r="AF709" s="2404"/>
      <c r="AG709" s="2404"/>
      <c r="AH709" s="2404"/>
      <c r="AI709" s="240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16</v>
      </c>
      <c r="BH709" s="461">
        <f t="shared" si="46"/>
        <v>9.815950920245399E-2</v>
      </c>
      <c r="BI709" s="462">
        <f t="shared" si="45"/>
        <v>5.8911066947012682E-2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30" t="str">
        <f>H334</f>
        <v>California Municipal Finance Agency</v>
      </c>
      <c r="X710" s="2030"/>
      <c r="Y710" s="2030"/>
      <c r="Z710" s="2030"/>
      <c r="AA710" s="2030"/>
      <c r="AB710" s="2030"/>
      <c r="AC710" s="2030"/>
      <c r="AD710" s="2030"/>
      <c r="AE710" s="2030"/>
      <c r="AF710" s="2030"/>
      <c r="AG710" s="2030"/>
      <c r="AH710" s="2030"/>
      <c r="AI710" s="2030"/>
      <c r="AJ710" s="2030"/>
      <c r="AK710" s="203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19</v>
      </c>
      <c r="BH710" s="461">
        <f t="shared" si="46"/>
        <v>0.1165644171779141</v>
      </c>
      <c r="BI710" s="462">
        <f t="shared" si="45"/>
        <v>8.1585971178125327E-2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5</v>
      </c>
      <c r="BH711" s="461">
        <f t="shared" si="46"/>
        <v>3.0674846625766871E-2</v>
      </c>
      <c r="BI711" s="462">
        <f t="shared" si="45"/>
        <v>9.2066104710126859E-3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2" t="s">
        <v>707</v>
      </c>
      <c r="AF712" s="202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11</v>
      </c>
      <c r="BH712" s="461">
        <f t="shared" si="46"/>
        <v>6.7484662576687116E-2</v>
      </c>
      <c r="BI712" s="462">
        <f t="shared" si="45"/>
        <v>3.3742331288343558E-2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1"/>
      <c r="X713" s="2021"/>
      <c r="Y713" s="2021"/>
      <c r="Z713" s="2021"/>
      <c r="AA713" s="2021"/>
      <c r="AB713" s="2021"/>
      <c r="AC713" s="2021"/>
      <c r="AD713" s="2021"/>
      <c r="AE713" s="2021"/>
      <c r="AF713" s="2021"/>
      <c r="AG713" s="2021"/>
      <c r="AH713" s="2021"/>
      <c r="AI713" s="2021"/>
      <c r="AJ713" s="2021"/>
      <c r="AK713" s="202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10</v>
      </c>
      <c r="BH713" s="461">
        <f t="shared" si="46"/>
        <v>6.1349693251533742E-2</v>
      </c>
      <c r="BI713" s="462">
        <f t="shared" si="45"/>
        <v>3.6805659467637621E-2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21"/>
      <c r="K714" s="2021"/>
      <c r="L714" s="2021"/>
      <c r="M714" s="2021"/>
      <c r="N714" s="2021"/>
      <c r="O714" s="2021"/>
      <c r="P714" s="2021"/>
      <c r="Q714" s="2021"/>
      <c r="R714" s="2021"/>
      <c r="S714" s="2021"/>
      <c r="T714" s="2021"/>
      <c r="U714" s="2021"/>
      <c r="V714" s="2021"/>
      <c r="W714" s="2021"/>
      <c r="X714" s="202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16</v>
      </c>
      <c r="BH714" s="461">
        <f t="shared" si="46"/>
        <v>9.815950920245399E-2</v>
      </c>
      <c r="BI714" s="462">
        <f t="shared" si="45"/>
        <v>6.8698355695213389E-2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94"/>
      <c r="K715" s="2094"/>
      <c r="L715" s="2094"/>
      <c r="M715" s="2094"/>
      <c r="N715" s="2094"/>
      <c r="O715" s="2094"/>
      <c r="P715" s="7" t="s">
        <v>212</v>
      </c>
      <c r="Q715" s="7"/>
      <c r="R715" s="2134"/>
      <c r="S715" s="2134"/>
      <c r="T715" s="21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2021" t="s">
        <v>318</v>
      </c>
      <c r="X716" s="2021"/>
      <c r="Y716" s="2021"/>
      <c r="Z716" s="2021"/>
      <c r="AA716" s="2021"/>
      <c r="AB716" s="2021"/>
      <c r="AC716" s="2021"/>
      <c r="AD716" s="2021"/>
      <c r="AE716" s="2021"/>
      <c r="AF716" s="2021"/>
      <c r="AG716" s="2021"/>
      <c r="AH716" s="2021"/>
      <c r="AI716" s="2021"/>
      <c r="AJ716" s="2021"/>
      <c r="AK716" s="202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21" t="s">
        <v>345</v>
      </c>
      <c r="F717" s="2021"/>
      <c r="G717" s="2021"/>
      <c r="H717" s="2021"/>
      <c r="I717" s="2021"/>
      <c r="J717" s="2021"/>
      <c r="K717" s="2021"/>
      <c r="L717" s="2021"/>
      <c r="M717" s="2021"/>
      <c r="N717" s="2021"/>
      <c r="O717" s="2021"/>
      <c r="P717" s="2021"/>
      <c r="Q717" s="2021"/>
      <c r="R717" s="2021"/>
      <c r="S717" s="2021"/>
      <c r="T717" s="2021"/>
      <c r="U717" s="2021"/>
      <c r="V717" s="2021"/>
      <c r="W717" s="2021"/>
      <c r="X717" s="2021"/>
      <c r="Y717" s="2021"/>
      <c r="Z717" s="2021"/>
      <c r="AA717" s="2021"/>
      <c r="AB717" s="2021"/>
      <c r="AC717" s="2021"/>
      <c r="AD717" s="2021"/>
      <c r="AE717" s="2021"/>
      <c r="AF717" s="2021"/>
      <c r="AG717" s="2021"/>
      <c r="AH717" s="2021"/>
      <c r="AI717" s="2021"/>
      <c r="AJ717" s="2021"/>
      <c r="AK717" s="202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409</v>
      </c>
      <c r="C724" s="2117"/>
      <c r="D724" s="2117"/>
      <c r="E724" s="2117"/>
      <c r="F724" s="2118"/>
      <c r="G724" s="2116" t="s">
        <v>293</v>
      </c>
      <c r="H724" s="2117"/>
      <c r="I724" s="2117"/>
      <c r="J724" s="2118"/>
      <c r="K724" s="2260" t="s">
        <v>2171</v>
      </c>
      <c r="L724" s="2261"/>
      <c r="M724" s="2261"/>
      <c r="N724" s="2262"/>
      <c r="O724" s="2116" t="s">
        <v>479</v>
      </c>
      <c r="P724" s="2117"/>
      <c r="Q724" s="2117"/>
      <c r="R724" s="2117"/>
      <c r="S724" s="2118"/>
      <c r="T724" s="2116" t="s">
        <v>294</v>
      </c>
      <c r="U724" s="2117"/>
      <c r="V724" s="2117"/>
      <c r="W724" s="2117"/>
      <c r="X724" s="2118"/>
      <c r="Y724" s="2116" t="s">
        <v>295</v>
      </c>
      <c r="Z724" s="2117"/>
      <c r="AA724" s="2117"/>
      <c r="AB724" s="2118"/>
      <c r="AC724" s="2116" t="s">
        <v>296</v>
      </c>
      <c r="AD724" s="2117"/>
      <c r="AE724" s="2117"/>
      <c r="AF724" s="2117"/>
      <c r="AG724" s="2118"/>
      <c r="AH724" s="2116" t="s">
        <v>410</v>
      </c>
      <c r="AI724" s="2117"/>
      <c r="AJ724" s="2117"/>
      <c r="AK724" s="2117"/>
      <c r="AL724" s="2118"/>
      <c r="AM724" s="2116" t="s">
        <v>683</v>
      </c>
      <c r="AN724" s="2117"/>
      <c r="AO724" s="211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9"/>
      <c r="C725" s="2120"/>
      <c r="D725" s="2120"/>
      <c r="E725" s="2120"/>
      <c r="F725" s="2121"/>
      <c r="G725" s="2119"/>
      <c r="H725" s="2120"/>
      <c r="I725" s="2120"/>
      <c r="J725" s="2121"/>
      <c r="K725" s="2263"/>
      <c r="L725" s="2264"/>
      <c r="M725" s="2264"/>
      <c r="N725" s="2265"/>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9"/>
      <c r="C726" s="2120"/>
      <c r="D726" s="2120"/>
      <c r="E726" s="2120"/>
      <c r="F726" s="2121"/>
      <c r="G726" s="2119"/>
      <c r="H726" s="2120"/>
      <c r="I726" s="2120"/>
      <c r="J726" s="2121"/>
      <c r="K726" s="2263"/>
      <c r="L726" s="2264"/>
      <c r="M726" s="2264"/>
      <c r="N726" s="2265"/>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2"/>
      <c r="C727" s="2123"/>
      <c r="D727" s="2123"/>
      <c r="E727" s="2123"/>
      <c r="F727" s="2124"/>
      <c r="G727" s="2122"/>
      <c r="H727" s="2123"/>
      <c r="I727" s="2123"/>
      <c r="J727" s="2124"/>
      <c r="K727" s="2263"/>
      <c r="L727" s="2264"/>
      <c r="M727" s="2264"/>
      <c r="N727" s="2265"/>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11" t="s">
        <v>336</v>
      </c>
      <c r="C728" s="2112"/>
      <c r="D728" s="2112"/>
      <c r="E728" s="2112"/>
      <c r="F728" s="2162"/>
      <c r="G728" s="2274">
        <v>6</v>
      </c>
      <c r="H728" s="2275"/>
      <c r="I728" s="2275"/>
      <c r="J728" s="2276"/>
      <c r="K728" s="2144">
        <v>596</v>
      </c>
      <c r="L728" s="2145"/>
      <c r="M728" s="2145"/>
      <c r="N728" s="2146"/>
      <c r="O728" s="2106">
        <v>600</v>
      </c>
      <c r="P728" s="2107"/>
      <c r="Q728" s="2107"/>
      <c r="R728" s="2107"/>
      <c r="S728" s="2108"/>
      <c r="T728" s="2251">
        <f t="shared" ref="T728:T752" si="47">G728*O728</f>
        <v>3600</v>
      </c>
      <c r="U728" s="2252"/>
      <c r="V728" s="2252"/>
      <c r="W728" s="2252"/>
      <c r="X728" s="2253"/>
      <c r="Y728" s="2106">
        <v>39</v>
      </c>
      <c r="Z728" s="2107"/>
      <c r="AA728" s="2107"/>
      <c r="AB728" s="2108"/>
      <c r="AC728" s="2251">
        <f t="shared" ref="AC728:AC752" si="48">O728+Y728</f>
        <v>639</v>
      </c>
      <c r="AD728" s="2252"/>
      <c r="AE728" s="2252"/>
      <c r="AF728" s="2252"/>
      <c r="AG728" s="2253"/>
      <c r="AH728" s="2257">
        <v>0.3</v>
      </c>
      <c r="AI728" s="2258"/>
      <c r="AJ728" s="2258"/>
      <c r="AK728" s="2258"/>
      <c r="AL728" s="2259"/>
      <c r="AM728" s="2277">
        <f t="shared" ref="AM728:AM752" si="49">IF($AH728&gt;0,($AC728/$BA670), " ")</f>
        <v>0.3</v>
      </c>
      <c r="AN728" s="2278"/>
      <c r="AO728" s="2279"/>
      <c r="AP728" s="239"/>
      <c r="AQ728" s="239"/>
      <c r="AR728" s="239"/>
      <c r="AS728" s="239"/>
      <c r="AT728" s="239"/>
      <c r="AU728" s="239"/>
      <c r="AV728" s="239"/>
      <c r="AW728" s="239"/>
      <c r="AX728" s="239"/>
      <c r="AY728" s="239"/>
      <c r="AZ728" s="58"/>
      <c r="BA728" s="58"/>
      <c r="BB728" s="58"/>
      <c r="BC728" s="58"/>
      <c r="BD728" s="58"/>
      <c r="BE728" s="58"/>
      <c r="BF728" s="58"/>
      <c r="BG728" s="1422">
        <f>SUM(BG703:BG727)</f>
        <v>163</v>
      </c>
      <c r="BH728" s="464">
        <f>SUM(BH703:BH727)</f>
        <v>1</v>
      </c>
      <c r="BI728" s="464">
        <f>SUM(BI703:BI727)</f>
        <v>0.57975042132690402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11" t="s">
        <v>336</v>
      </c>
      <c r="C729" s="2112"/>
      <c r="D729" s="2112"/>
      <c r="E729" s="2112"/>
      <c r="F729" s="2162"/>
      <c r="G729" s="2274">
        <v>16</v>
      </c>
      <c r="H729" s="2275"/>
      <c r="I729" s="2275"/>
      <c r="J729" s="2276"/>
      <c r="K729" s="2144">
        <v>596</v>
      </c>
      <c r="L729" s="2145"/>
      <c r="M729" s="2145"/>
      <c r="N729" s="2146"/>
      <c r="O729" s="2106">
        <v>1026</v>
      </c>
      <c r="P729" s="2107"/>
      <c r="Q729" s="2107"/>
      <c r="R729" s="2107"/>
      <c r="S729" s="2108"/>
      <c r="T729" s="2251">
        <f t="shared" si="47"/>
        <v>16416</v>
      </c>
      <c r="U729" s="2252"/>
      <c r="V729" s="2252"/>
      <c r="W729" s="2252"/>
      <c r="X729" s="2253"/>
      <c r="Y729" s="2106">
        <v>39</v>
      </c>
      <c r="Z729" s="2107"/>
      <c r="AA729" s="2107"/>
      <c r="AB729" s="2108"/>
      <c r="AC729" s="2251">
        <f t="shared" si="48"/>
        <v>1065</v>
      </c>
      <c r="AD729" s="2252"/>
      <c r="AE729" s="2252"/>
      <c r="AF729" s="2252"/>
      <c r="AG729" s="2253"/>
      <c r="AH729" s="2257">
        <v>0.5</v>
      </c>
      <c r="AI729" s="2258"/>
      <c r="AJ729" s="2258"/>
      <c r="AK729" s="2258"/>
      <c r="AL729" s="2259"/>
      <c r="AM729" s="2277">
        <f t="shared" si="49"/>
        <v>0.5</v>
      </c>
      <c r="AN729" s="2278"/>
      <c r="AO729" s="227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11" t="s">
        <v>336</v>
      </c>
      <c r="C730" s="2112"/>
      <c r="D730" s="2112"/>
      <c r="E730" s="2112"/>
      <c r="F730" s="2162"/>
      <c r="G730" s="2274">
        <v>16</v>
      </c>
      <c r="H730" s="2275"/>
      <c r="I730" s="2275"/>
      <c r="J730" s="2276"/>
      <c r="K730" s="2144">
        <v>596</v>
      </c>
      <c r="L730" s="2145"/>
      <c r="M730" s="2145"/>
      <c r="N730" s="2146"/>
      <c r="O730" s="2106">
        <v>1239</v>
      </c>
      <c r="P730" s="2107"/>
      <c r="Q730" s="2107"/>
      <c r="R730" s="2107"/>
      <c r="S730" s="2108"/>
      <c r="T730" s="2251">
        <f t="shared" si="47"/>
        <v>19824</v>
      </c>
      <c r="U730" s="2252"/>
      <c r="V730" s="2252"/>
      <c r="W730" s="2252"/>
      <c r="X730" s="2253"/>
      <c r="Y730" s="2106">
        <v>39</v>
      </c>
      <c r="Z730" s="2107"/>
      <c r="AA730" s="2107"/>
      <c r="AB730" s="2108"/>
      <c r="AC730" s="2251">
        <f t="shared" si="48"/>
        <v>1278</v>
      </c>
      <c r="AD730" s="2252"/>
      <c r="AE730" s="2252"/>
      <c r="AF730" s="2252"/>
      <c r="AG730" s="2253"/>
      <c r="AH730" s="2257">
        <v>0.6</v>
      </c>
      <c r="AI730" s="2258"/>
      <c r="AJ730" s="2258"/>
      <c r="AK730" s="2258"/>
      <c r="AL730" s="2259"/>
      <c r="AM730" s="2277">
        <f t="shared" si="49"/>
        <v>0.6</v>
      </c>
      <c r="AN730" s="2278"/>
      <c r="AO730" s="227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11" t="s">
        <v>336</v>
      </c>
      <c r="C731" s="2112"/>
      <c r="D731" s="2112"/>
      <c r="E731" s="2112"/>
      <c r="F731" s="2162"/>
      <c r="G731" s="2274">
        <v>26</v>
      </c>
      <c r="H731" s="2275"/>
      <c r="I731" s="2275"/>
      <c r="J731" s="2276"/>
      <c r="K731" s="2144">
        <v>596</v>
      </c>
      <c r="L731" s="2145"/>
      <c r="M731" s="2145"/>
      <c r="N731" s="2146"/>
      <c r="O731" s="2106">
        <v>1452</v>
      </c>
      <c r="P731" s="2107"/>
      <c r="Q731" s="2107"/>
      <c r="R731" s="2107"/>
      <c r="S731" s="2108"/>
      <c r="T731" s="2251">
        <f t="shared" si="47"/>
        <v>37752</v>
      </c>
      <c r="U731" s="2252"/>
      <c r="V731" s="2252"/>
      <c r="W731" s="2252"/>
      <c r="X731" s="2253"/>
      <c r="Y731" s="2106">
        <v>39</v>
      </c>
      <c r="Z731" s="2107"/>
      <c r="AA731" s="2107"/>
      <c r="AB731" s="2108"/>
      <c r="AC731" s="2251">
        <f t="shared" si="48"/>
        <v>1491</v>
      </c>
      <c r="AD731" s="2252"/>
      <c r="AE731" s="2252"/>
      <c r="AF731" s="2252"/>
      <c r="AG731" s="2253"/>
      <c r="AH731" s="2257">
        <v>0.7</v>
      </c>
      <c r="AI731" s="2258"/>
      <c r="AJ731" s="2258"/>
      <c r="AK731" s="2258"/>
      <c r="AL731" s="2259"/>
      <c r="AM731" s="2277">
        <f t="shared" si="49"/>
        <v>0.7</v>
      </c>
      <c r="AN731" s="2278"/>
      <c r="AO731" s="227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11" t="s">
        <v>168</v>
      </c>
      <c r="C732" s="2112"/>
      <c r="D732" s="2112"/>
      <c r="E732" s="2112"/>
      <c r="F732" s="2162"/>
      <c r="G732" s="2274">
        <v>6</v>
      </c>
      <c r="H732" s="2275"/>
      <c r="I732" s="2275"/>
      <c r="J732" s="2276"/>
      <c r="K732" s="2144">
        <v>840</v>
      </c>
      <c r="L732" s="2145"/>
      <c r="M732" s="2145"/>
      <c r="N732" s="2146"/>
      <c r="O732" s="2106">
        <v>712</v>
      </c>
      <c r="P732" s="2107"/>
      <c r="Q732" s="2107"/>
      <c r="R732" s="2107"/>
      <c r="S732" s="2108"/>
      <c r="T732" s="2251">
        <f t="shared" si="47"/>
        <v>4272</v>
      </c>
      <c r="U732" s="2252"/>
      <c r="V732" s="2252"/>
      <c r="W732" s="2252"/>
      <c r="X732" s="2253"/>
      <c r="Y732" s="2106">
        <v>55</v>
      </c>
      <c r="Z732" s="2107"/>
      <c r="AA732" s="2107"/>
      <c r="AB732" s="2108"/>
      <c r="AC732" s="2251">
        <f t="shared" si="48"/>
        <v>767</v>
      </c>
      <c r="AD732" s="2252"/>
      <c r="AE732" s="2252"/>
      <c r="AF732" s="2252"/>
      <c r="AG732" s="2253"/>
      <c r="AH732" s="2257">
        <v>0.3</v>
      </c>
      <c r="AI732" s="2258"/>
      <c r="AJ732" s="2258"/>
      <c r="AK732" s="2258"/>
      <c r="AL732" s="2259"/>
      <c r="AM732" s="2277">
        <f t="shared" si="49"/>
        <v>0.30007824726134585</v>
      </c>
      <c r="AN732" s="2278"/>
      <c r="AO732" s="227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11" t="s">
        <v>168</v>
      </c>
      <c r="C733" s="2112"/>
      <c r="D733" s="2112"/>
      <c r="E733" s="2112"/>
      <c r="F733" s="2162"/>
      <c r="G733" s="2274">
        <v>16</v>
      </c>
      <c r="H733" s="2275"/>
      <c r="I733" s="2275"/>
      <c r="J733" s="2276"/>
      <c r="K733" s="2144">
        <v>840</v>
      </c>
      <c r="L733" s="2145"/>
      <c r="M733" s="2145"/>
      <c r="N733" s="2146"/>
      <c r="O733" s="2106">
        <v>1223</v>
      </c>
      <c r="P733" s="2107"/>
      <c r="Q733" s="2107"/>
      <c r="R733" s="2107"/>
      <c r="S733" s="2108"/>
      <c r="T733" s="2251">
        <f t="shared" si="47"/>
        <v>19568</v>
      </c>
      <c r="U733" s="2252"/>
      <c r="V733" s="2252"/>
      <c r="W733" s="2252"/>
      <c r="X733" s="2253"/>
      <c r="Y733" s="2106">
        <v>55</v>
      </c>
      <c r="Z733" s="2107"/>
      <c r="AA733" s="2107"/>
      <c r="AB733" s="2108"/>
      <c r="AC733" s="2251">
        <f t="shared" si="48"/>
        <v>1278</v>
      </c>
      <c r="AD733" s="2252"/>
      <c r="AE733" s="2252"/>
      <c r="AF733" s="2252"/>
      <c r="AG733" s="2253"/>
      <c r="AH733" s="2257">
        <v>0.5</v>
      </c>
      <c r="AI733" s="2258"/>
      <c r="AJ733" s="2258"/>
      <c r="AK733" s="2258"/>
      <c r="AL733" s="2259"/>
      <c r="AM733" s="2277">
        <f t="shared" si="49"/>
        <v>0.5</v>
      </c>
      <c r="AN733" s="2278"/>
      <c r="AO733" s="227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11" t="s">
        <v>168</v>
      </c>
      <c r="C734" s="2112"/>
      <c r="D734" s="2112"/>
      <c r="E734" s="2112"/>
      <c r="F734" s="2162"/>
      <c r="G734" s="2274">
        <v>16</v>
      </c>
      <c r="H734" s="2275"/>
      <c r="I734" s="2275"/>
      <c r="J734" s="2276"/>
      <c r="K734" s="2144">
        <v>840</v>
      </c>
      <c r="L734" s="2145"/>
      <c r="M734" s="2145"/>
      <c r="N734" s="2146"/>
      <c r="O734" s="2106">
        <v>1479</v>
      </c>
      <c r="P734" s="2107"/>
      <c r="Q734" s="2107"/>
      <c r="R734" s="2107"/>
      <c r="S734" s="2108"/>
      <c r="T734" s="2251">
        <f t="shared" si="47"/>
        <v>23664</v>
      </c>
      <c r="U734" s="2252"/>
      <c r="V734" s="2252"/>
      <c r="W734" s="2252"/>
      <c r="X734" s="2253"/>
      <c r="Y734" s="2106">
        <v>55</v>
      </c>
      <c r="Z734" s="2107"/>
      <c r="AA734" s="2107"/>
      <c r="AB734" s="2108"/>
      <c r="AC734" s="2251">
        <f t="shared" si="48"/>
        <v>1534</v>
      </c>
      <c r="AD734" s="2252"/>
      <c r="AE734" s="2252"/>
      <c r="AF734" s="2252"/>
      <c r="AG734" s="2253"/>
      <c r="AH734" s="2257">
        <v>0.6</v>
      </c>
      <c r="AI734" s="2258"/>
      <c r="AJ734" s="2258"/>
      <c r="AK734" s="2258"/>
      <c r="AL734" s="2259"/>
      <c r="AM734" s="2277">
        <f t="shared" si="49"/>
        <v>0.60015649452269171</v>
      </c>
      <c r="AN734" s="2278"/>
      <c r="AO734" s="227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11" t="s">
        <v>168</v>
      </c>
      <c r="C735" s="2112"/>
      <c r="D735" s="2112"/>
      <c r="E735" s="2112"/>
      <c r="F735" s="2162"/>
      <c r="G735" s="2274">
        <v>19</v>
      </c>
      <c r="H735" s="2275"/>
      <c r="I735" s="2275"/>
      <c r="J735" s="2276"/>
      <c r="K735" s="2144">
        <v>840</v>
      </c>
      <c r="L735" s="2145"/>
      <c r="M735" s="2145"/>
      <c r="N735" s="2146"/>
      <c r="O735" s="2106">
        <v>1734</v>
      </c>
      <c r="P735" s="2107"/>
      <c r="Q735" s="2107"/>
      <c r="R735" s="2107"/>
      <c r="S735" s="2108"/>
      <c r="T735" s="2251">
        <f t="shared" si="47"/>
        <v>32946</v>
      </c>
      <c r="U735" s="2252"/>
      <c r="V735" s="2252"/>
      <c r="W735" s="2252"/>
      <c r="X735" s="2253"/>
      <c r="Y735" s="2106">
        <v>55</v>
      </c>
      <c r="Z735" s="2107"/>
      <c r="AA735" s="2107"/>
      <c r="AB735" s="2108"/>
      <c r="AC735" s="2251">
        <f t="shared" si="48"/>
        <v>1789</v>
      </c>
      <c r="AD735" s="2252"/>
      <c r="AE735" s="2252"/>
      <c r="AF735" s="2252"/>
      <c r="AG735" s="2253"/>
      <c r="AH735" s="2257">
        <v>0.7</v>
      </c>
      <c r="AI735" s="2258"/>
      <c r="AJ735" s="2258"/>
      <c r="AK735" s="2258"/>
      <c r="AL735" s="2259"/>
      <c r="AM735" s="2277">
        <f t="shared" si="49"/>
        <v>0.6999217527386542</v>
      </c>
      <c r="AN735" s="2278"/>
      <c r="AO735" s="227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11" t="s">
        <v>169</v>
      </c>
      <c r="C736" s="2112"/>
      <c r="D736" s="2112"/>
      <c r="E736" s="2112"/>
      <c r="F736" s="2162"/>
      <c r="G736" s="2274">
        <v>5</v>
      </c>
      <c r="H736" s="2275"/>
      <c r="I736" s="2275"/>
      <c r="J736" s="2276"/>
      <c r="K736" s="2144">
        <v>1125</v>
      </c>
      <c r="L736" s="2145"/>
      <c r="M736" s="2145"/>
      <c r="N736" s="2146"/>
      <c r="O736" s="2106">
        <v>815</v>
      </c>
      <c r="P736" s="2107"/>
      <c r="Q736" s="2107"/>
      <c r="R736" s="2107"/>
      <c r="S736" s="2108"/>
      <c r="T736" s="2251">
        <f t="shared" si="47"/>
        <v>4075</v>
      </c>
      <c r="U736" s="2252"/>
      <c r="V736" s="2252"/>
      <c r="W736" s="2252"/>
      <c r="X736" s="2253"/>
      <c r="Y736" s="2106">
        <v>71</v>
      </c>
      <c r="Z736" s="2107"/>
      <c r="AA736" s="2107"/>
      <c r="AB736" s="2108"/>
      <c r="AC736" s="2251">
        <f t="shared" si="48"/>
        <v>886</v>
      </c>
      <c r="AD736" s="2252"/>
      <c r="AE736" s="2252"/>
      <c r="AF736" s="2252"/>
      <c r="AG736" s="2253"/>
      <c r="AH736" s="2257">
        <v>0.3</v>
      </c>
      <c r="AI736" s="2258"/>
      <c r="AJ736" s="2258"/>
      <c r="AK736" s="2258"/>
      <c r="AL736" s="2259"/>
      <c r="AM736" s="2277">
        <f t="shared" si="49"/>
        <v>0.30013550135501355</v>
      </c>
      <c r="AN736" s="2278"/>
      <c r="AO736" s="227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11" t="s">
        <v>169</v>
      </c>
      <c r="C737" s="2112"/>
      <c r="D737" s="2112"/>
      <c r="E737" s="2112"/>
      <c r="F737" s="2162"/>
      <c r="G737" s="2274">
        <v>11</v>
      </c>
      <c r="H737" s="2275"/>
      <c r="I737" s="2275"/>
      <c r="J737" s="2276"/>
      <c r="K737" s="2144">
        <v>1125</v>
      </c>
      <c r="L737" s="2145"/>
      <c r="M737" s="2145"/>
      <c r="N737" s="2146"/>
      <c r="O737" s="2106">
        <v>1405</v>
      </c>
      <c r="P737" s="2107"/>
      <c r="Q737" s="2107"/>
      <c r="R737" s="2107"/>
      <c r="S737" s="2108"/>
      <c r="T737" s="2251">
        <f t="shared" si="47"/>
        <v>15455</v>
      </c>
      <c r="U737" s="2252"/>
      <c r="V737" s="2252"/>
      <c r="W737" s="2252"/>
      <c r="X737" s="2253"/>
      <c r="Y737" s="2106">
        <v>71</v>
      </c>
      <c r="Z737" s="2107"/>
      <c r="AA737" s="2107"/>
      <c r="AB737" s="2108"/>
      <c r="AC737" s="2251">
        <f t="shared" si="48"/>
        <v>1476</v>
      </c>
      <c r="AD737" s="2252"/>
      <c r="AE737" s="2252"/>
      <c r="AF737" s="2252"/>
      <c r="AG737" s="2253"/>
      <c r="AH737" s="2257">
        <v>0.5</v>
      </c>
      <c r="AI737" s="2258"/>
      <c r="AJ737" s="2258"/>
      <c r="AK737" s="2258"/>
      <c r="AL737" s="2259"/>
      <c r="AM737" s="2277">
        <f t="shared" si="49"/>
        <v>0.5</v>
      </c>
      <c r="AN737" s="2278"/>
      <c r="AO737" s="227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11" t="s">
        <v>169</v>
      </c>
      <c r="C738" s="2112"/>
      <c r="D738" s="2112"/>
      <c r="E738" s="2112"/>
      <c r="F738" s="2162"/>
      <c r="G738" s="2274">
        <v>10</v>
      </c>
      <c r="H738" s="2275"/>
      <c r="I738" s="2275"/>
      <c r="J738" s="2276"/>
      <c r="K738" s="2144">
        <v>1125</v>
      </c>
      <c r="L738" s="2145"/>
      <c r="M738" s="2145"/>
      <c r="N738" s="2146"/>
      <c r="O738" s="2106">
        <v>1700</v>
      </c>
      <c r="P738" s="2107"/>
      <c r="Q738" s="2107"/>
      <c r="R738" s="2107"/>
      <c r="S738" s="2108"/>
      <c r="T738" s="2251">
        <f t="shared" si="47"/>
        <v>17000</v>
      </c>
      <c r="U738" s="2252"/>
      <c r="V738" s="2252"/>
      <c r="W738" s="2252"/>
      <c r="X738" s="2253"/>
      <c r="Y738" s="2106">
        <v>71</v>
      </c>
      <c r="Z738" s="2107"/>
      <c r="AA738" s="2107"/>
      <c r="AB738" s="2108"/>
      <c r="AC738" s="2251">
        <f t="shared" si="48"/>
        <v>1771</v>
      </c>
      <c r="AD738" s="2252"/>
      <c r="AE738" s="2252"/>
      <c r="AF738" s="2252"/>
      <c r="AG738" s="2253"/>
      <c r="AH738" s="2257">
        <v>0.6</v>
      </c>
      <c r="AI738" s="2258"/>
      <c r="AJ738" s="2258"/>
      <c r="AK738" s="2258"/>
      <c r="AL738" s="2259"/>
      <c r="AM738" s="2277">
        <f t="shared" si="49"/>
        <v>0.59993224932249323</v>
      </c>
      <c r="AN738" s="2278"/>
      <c r="AO738" s="227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11" t="s">
        <v>169</v>
      </c>
      <c r="C739" s="2112"/>
      <c r="D739" s="2112"/>
      <c r="E739" s="2112"/>
      <c r="F739" s="2162"/>
      <c r="G739" s="2274">
        <v>16</v>
      </c>
      <c r="H739" s="2275"/>
      <c r="I739" s="2275"/>
      <c r="J739" s="2276"/>
      <c r="K739" s="2144">
        <v>1125</v>
      </c>
      <c r="L739" s="2145"/>
      <c r="M739" s="2145"/>
      <c r="N739" s="2146"/>
      <c r="O739" s="2106">
        <v>1995</v>
      </c>
      <c r="P739" s="2107"/>
      <c r="Q739" s="2107"/>
      <c r="R739" s="2107"/>
      <c r="S739" s="2108"/>
      <c r="T739" s="2251">
        <f t="shared" si="47"/>
        <v>31920</v>
      </c>
      <c r="U739" s="2252"/>
      <c r="V739" s="2252"/>
      <c r="W739" s="2252"/>
      <c r="X739" s="2253"/>
      <c r="Y739" s="2106">
        <v>71</v>
      </c>
      <c r="Z739" s="2107"/>
      <c r="AA739" s="2107"/>
      <c r="AB739" s="2108"/>
      <c r="AC739" s="2251">
        <f t="shared" si="48"/>
        <v>2066</v>
      </c>
      <c r="AD739" s="2252"/>
      <c r="AE739" s="2252"/>
      <c r="AF739" s="2252"/>
      <c r="AG739" s="2253"/>
      <c r="AH739" s="2257">
        <v>0.7</v>
      </c>
      <c r="AI739" s="2258"/>
      <c r="AJ739" s="2258"/>
      <c r="AK739" s="2258"/>
      <c r="AL739" s="2259"/>
      <c r="AM739" s="2277">
        <f t="shared" si="49"/>
        <v>0.69986449864498645</v>
      </c>
      <c r="AN739" s="2278"/>
      <c r="AO739" s="227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11"/>
      <c r="C740" s="2112"/>
      <c r="D740" s="2112"/>
      <c r="E740" s="2112"/>
      <c r="F740" s="2162"/>
      <c r="G740" s="2274"/>
      <c r="H740" s="2275"/>
      <c r="I740" s="2275"/>
      <c r="J740" s="2276"/>
      <c r="K740" s="2144"/>
      <c r="L740" s="2145"/>
      <c r="M740" s="2145"/>
      <c r="N740" s="2146"/>
      <c r="O740" s="2106"/>
      <c r="P740" s="2107"/>
      <c r="Q740" s="2107"/>
      <c r="R740" s="2107"/>
      <c r="S740" s="2108"/>
      <c r="T740" s="2251">
        <f t="shared" si="47"/>
        <v>0</v>
      </c>
      <c r="U740" s="2252"/>
      <c r="V740" s="2252"/>
      <c r="W740" s="2252"/>
      <c r="X740" s="2253"/>
      <c r="Y740" s="2106">
        <v>0</v>
      </c>
      <c r="Z740" s="2107"/>
      <c r="AA740" s="2107"/>
      <c r="AB740" s="2108"/>
      <c r="AC740" s="2251">
        <f t="shared" si="48"/>
        <v>0</v>
      </c>
      <c r="AD740" s="2252"/>
      <c r="AE740" s="2252"/>
      <c r="AF740" s="2252"/>
      <c r="AG740" s="2253"/>
      <c r="AH740" s="2257">
        <v>0</v>
      </c>
      <c r="AI740" s="2258"/>
      <c r="AJ740" s="2258"/>
      <c r="AK740" s="2258"/>
      <c r="AL740" s="2259"/>
      <c r="AM740" s="2277" t="str">
        <f t="shared" si="49"/>
        <v xml:space="preserve"> </v>
      </c>
      <c r="AN740" s="2278"/>
      <c r="AO740" s="227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11"/>
      <c r="C741" s="2112"/>
      <c r="D741" s="2112"/>
      <c r="E741" s="2112"/>
      <c r="F741" s="2162"/>
      <c r="G741" s="2274"/>
      <c r="H741" s="2275"/>
      <c r="I741" s="2275"/>
      <c r="J741" s="2276"/>
      <c r="K741" s="2144"/>
      <c r="L741" s="2145"/>
      <c r="M741" s="2145"/>
      <c r="N741" s="2146"/>
      <c r="O741" s="2106"/>
      <c r="P741" s="2107"/>
      <c r="Q741" s="2107"/>
      <c r="R741" s="2107"/>
      <c r="S741" s="2108"/>
      <c r="T741" s="2251">
        <f t="shared" si="47"/>
        <v>0</v>
      </c>
      <c r="U741" s="2252"/>
      <c r="V741" s="2252"/>
      <c r="W741" s="2252"/>
      <c r="X741" s="2253"/>
      <c r="Y741" s="2106">
        <v>0</v>
      </c>
      <c r="Z741" s="2107"/>
      <c r="AA741" s="2107"/>
      <c r="AB741" s="2108"/>
      <c r="AC741" s="2251">
        <f t="shared" si="48"/>
        <v>0</v>
      </c>
      <c r="AD741" s="2252"/>
      <c r="AE741" s="2252"/>
      <c r="AF741" s="2252"/>
      <c r="AG741" s="2253"/>
      <c r="AH741" s="2257">
        <v>0</v>
      </c>
      <c r="AI741" s="2258"/>
      <c r="AJ741" s="2258"/>
      <c r="AK741" s="2258"/>
      <c r="AL741" s="2259"/>
      <c r="AM741" s="2277" t="str">
        <f t="shared" si="49"/>
        <v xml:space="preserve"> </v>
      </c>
      <c r="AN741" s="2278"/>
      <c r="AO741" s="227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11"/>
      <c r="C742" s="2112"/>
      <c r="D742" s="2112"/>
      <c r="E742" s="2112"/>
      <c r="F742" s="2162"/>
      <c r="G742" s="2274"/>
      <c r="H742" s="2275"/>
      <c r="I742" s="2275"/>
      <c r="J742" s="2276"/>
      <c r="K742" s="2144"/>
      <c r="L742" s="2145"/>
      <c r="M742" s="2145"/>
      <c r="N742" s="2146"/>
      <c r="O742" s="2106"/>
      <c r="P742" s="2107"/>
      <c r="Q742" s="2107"/>
      <c r="R742" s="2107"/>
      <c r="S742" s="2108"/>
      <c r="T742" s="2251">
        <f t="shared" si="47"/>
        <v>0</v>
      </c>
      <c r="U742" s="2252"/>
      <c r="V742" s="2252"/>
      <c r="W742" s="2252"/>
      <c r="X742" s="2253"/>
      <c r="Y742" s="2106">
        <v>0</v>
      </c>
      <c r="Z742" s="2107"/>
      <c r="AA742" s="2107"/>
      <c r="AB742" s="2108"/>
      <c r="AC742" s="2251">
        <f t="shared" si="48"/>
        <v>0</v>
      </c>
      <c r="AD742" s="2252"/>
      <c r="AE742" s="2252"/>
      <c r="AF742" s="2252"/>
      <c r="AG742" s="2253"/>
      <c r="AH742" s="2257">
        <v>0</v>
      </c>
      <c r="AI742" s="2258"/>
      <c r="AJ742" s="2258"/>
      <c r="AK742" s="2258"/>
      <c r="AL742" s="2259"/>
      <c r="AM742" s="2277" t="str">
        <f t="shared" si="49"/>
        <v xml:space="preserve"> </v>
      </c>
      <c r="AN742" s="2278"/>
      <c r="AO742" s="227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11"/>
      <c r="C743" s="2112"/>
      <c r="D743" s="2112"/>
      <c r="E743" s="2112"/>
      <c r="F743" s="2162"/>
      <c r="G743" s="2274"/>
      <c r="H743" s="2275"/>
      <c r="I743" s="2275"/>
      <c r="J743" s="2276"/>
      <c r="K743" s="2144"/>
      <c r="L743" s="2145"/>
      <c r="M743" s="2145"/>
      <c r="N743" s="2146"/>
      <c r="O743" s="2106"/>
      <c r="P743" s="2107"/>
      <c r="Q743" s="2107"/>
      <c r="R743" s="2107"/>
      <c r="S743" s="2108"/>
      <c r="T743" s="2251">
        <f t="shared" si="47"/>
        <v>0</v>
      </c>
      <c r="U743" s="2252"/>
      <c r="V743" s="2252"/>
      <c r="W743" s="2252"/>
      <c r="X743" s="2253"/>
      <c r="Y743" s="2106">
        <v>0</v>
      </c>
      <c r="Z743" s="2107"/>
      <c r="AA743" s="2107"/>
      <c r="AB743" s="2108"/>
      <c r="AC743" s="2251">
        <f t="shared" si="48"/>
        <v>0</v>
      </c>
      <c r="AD743" s="2252"/>
      <c r="AE743" s="2252"/>
      <c r="AF743" s="2252"/>
      <c r="AG743" s="2253"/>
      <c r="AH743" s="2257">
        <v>0</v>
      </c>
      <c r="AI743" s="2258"/>
      <c r="AJ743" s="2258"/>
      <c r="AK743" s="2258"/>
      <c r="AL743" s="2259"/>
      <c r="AM743" s="2277" t="str">
        <f t="shared" si="49"/>
        <v xml:space="preserve"> </v>
      </c>
      <c r="AN743" s="2278"/>
      <c r="AO743" s="227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11"/>
      <c r="C744" s="2112"/>
      <c r="D744" s="2112"/>
      <c r="E744" s="2112"/>
      <c r="F744" s="2162"/>
      <c r="G744" s="2274"/>
      <c r="H744" s="2275"/>
      <c r="I744" s="2275"/>
      <c r="J744" s="2276"/>
      <c r="K744" s="2144"/>
      <c r="L744" s="2145"/>
      <c r="M744" s="2145"/>
      <c r="N744" s="2146"/>
      <c r="O744" s="2106"/>
      <c r="P744" s="2107"/>
      <c r="Q744" s="2107"/>
      <c r="R744" s="2107"/>
      <c r="S744" s="2108"/>
      <c r="T744" s="2251">
        <f t="shared" si="47"/>
        <v>0</v>
      </c>
      <c r="U744" s="2252"/>
      <c r="V744" s="2252"/>
      <c r="W744" s="2252"/>
      <c r="X744" s="2253"/>
      <c r="Y744" s="2106">
        <v>0</v>
      </c>
      <c r="Z744" s="2107"/>
      <c r="AA744" s="2107"/>
      <c r="AB744" s="2108"/>
      <c r="AC744" s="2251">
        <f t="shared" si="48"/>
        <v>0</v>
      </c>
      <c r="AD744" s="2252"/>
      <c r="AE744" s="2252"/>
      <c r="AF744" s="2252"/>
      <c r="AG744" s="2253"/>
      <c r="AH744" s="2257">
        <v>0</v>
      </c>
      <c r="AI744" s="2258"/>
      <c r="AJ744" s="2258"/>
      <c r="AK744" s="2258"/>
      <c r="AL744" s="2259"/>
      <c r="AM744" s="2277" t="str">
        <f t="shared" si="49"/>
        <v xml:space="preserve"> </v>
      </c>
      <c r="AN744" s="2278"/>
      <c r="AO744" s="227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11"/>
      <c r="C745" s="2112"/>
      <c r="D745" s="2112"/>
      <c r="E745" s="2112"/>
      <c r="F745" s="2162"/>
      <c r="G745" s="2274"/>
      <c r="H745" s="2275"/>
      <c r="I745" s="2275"/>
      <c r="J745" s="2276"/>
      <c r="K745" s="2144"/>
      <c r="L745" s="2145"/>
      <c r="M745" s="2145"/>
      <c r="N745" s="2146"/>
      <c r="O745" s="2106"/>
      <c r="P745" s="2107"/>
      <c r="Q745" s="2107"/>
      <c r="R745" s="2107"/>
      <c r="S745" s="2108"/>
      <c r="T745" s="2251">
        <f t="shared" si="47"/>
        <v>0</v>
      </c>
      <c r="U745" s="2252"/>
      <c r="V745" s="2252"/>
      <c r="W745" s="2252"/>
      <c r="X745" s="2253"/>
      <c r="Y745" s="2106">
        <v>0</v>
      </c>
      <c r="Z745" s="2107"/>
      <c r="AA745" s="2107"/>
      <c r="AB745" s="2108"/>
      <c r="AC745" s="2251">
        <f t="shared" si="48"/>
        <v>0</v>
      </c>
      <c r="AD745" s="2252"/>
      <c r="AE745" s="2252"/>
      <c r="AF745" s="2252"/>
      <c r="AG745" s="2253"/>
      <c r="AH745" s="2257">
        <v>0</v>
      </c>
      <c r="AI745" s="2258"/>
      <c r="AJ745" s="2258"/>
      <c r="AK745" s="2258"/>
      <c r="AL745" s="2259"/>
      <c r="AM745" s="2277" t="str">
        <f t="shared" si="49"/>
        <v xml:space="preserve"> </v>
      </c>
      <c r="AN745" s="2278"/>
      <c r="AO745" s="227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11"/>
      <c r="C746" s="2112"/>
      <c r="D746" s="2112"/>
      <c r="E746" s="2112"/>
      <c r="F746" s="2162"/>
      <c r="G746" s="2274"/>
      <c r="H746" s="2275"/>
      <c r="I746" s="2275"/>
      <c r="J746" s="2276"/>
      <c r="K746" s="2144"/>
      <c r="L746" s="2145"/>
      <c r="M746" s="2145"/>
      <c r="N746" s="2146"/>
      <c r="O746" s="2106"/>
      <c r="P746" s="2107"/>
      <c r="Q746" s="2107"/>
      <c r="R746" s="2107"/>
      <c r="S746" s="2108"/>
      <c r="T746" s="2251">
        <f t="shared" si="47"/>
        <v>0</v>
      </c>
      <c r="U746" s="2252"/>
      <c r="V746" s="2252"/>
      <c r="W746" s="2252"/>
      <c r="X746" s="2253"/>
      <c r="Y746" s="2106">
        <v>0</v>
      </c>
      <c r="Z746" s="2107"/>
      <c r="AA746" s="2107"/>
      <c r="AB746" s="2108"/>
      <c r="AC746" s="2251">
        <f t="shared" si="48"/>
        <v>0</v>
      </c>
      <c r="AD746" s="2252"/>
      <c r="AE746" s="2252"/>
      <c r="AF746" s="2252"/>
      <c r="AG746" s="2253"/>
      <c r="AH746" s="2257">
        <v>0</v>
      </c>
      <c r="AI746" s="2258"/>
      <c r="AJ746" s="2258"/>
      <c r="AK746" s="2258"/>
      <c r="AL746" s="2259"/>
      <c r="AM746" s="2277" t="str">
        <f t="shared" si="49"/>
        <v xml:space="preserve"> </v>
      </c>
      <c r="AN746" s="2278"/>
      <c r="AO746" s="227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11"/>
      <c r="C747" s="2112"/>
      <c r="D747" s="2112"/>
      <c r="E747" s="2112"/>
      <c r="F747" s="2162"/>
      <c r="G747" s="2274"/>
      <c r="H747" s="2275"/>
      <c r="I747" s="2275"/>
      <c r="J747" s="2276"/>
      <c r="K747" s="2144"/>
      <c r="L747" s="2145"/>
      <c r="M747" s="2145"/>
      <c r="N747" s="2146"/>
      <c r="O747" s="2106"/>
      <c r="P747" s="2107"/>
      <c r="Q747" s="2107"/>
      <c r="R747" s="2107"/>
      <c r="S747" s="2108"/>
      <c r="T747" s="2251">
        <f t="shared" si="47"/>
        <v>0</v>
      </c>
      <c r="U747" s="2252"/>
      <c r="V747" s="2252"/>
      <c r="W747" s="2252"/>
      <c r="X747" s="2253"/>
      <c r="Y747" s="2106">
        <v>0</v>
      </c>
      <c r="Z747" s="2107"/>
      <c r="AA747" s="2107"/>
      <c r="AB747" s="2108"/>
      <c r="AC747" s="2251">
        <f t="shared" si="48"/>
        <v>0</v>
      </c>
      <c r="AD747" s="2252"/>
      <c r="AE747" s="2252"/>
      <c r="AF747" s="2252"/>
      <c r="AG747" s="2253"/>
      <c r="AH747" s="2257">
        <v>0</v>
      </c>
      <c r="AI747" s="2258"/>
      <c r="AJ747" s="2258"/>
      <c r="AK747" s="2258"/>
      <c r="AL747" s="2259"/>
      <c r="AM747" s="2277" t="str">
        <f t="shared" si="49"/>
        <v xml:space="preserve"> </v>
      </c>
      <c r="AN747" s="2278"/>
      <c r="AO747" s="227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11"/>
      <c r="C748" s="2112"/>
      <c r="D748" s="2112"/>
      <c r="E748" s="2112"/>
      <c r="F748" s="2162"/>
      <c r="G748" s="2274"/>
      <c r="H748" s="2275"/>
      <c r="I748" s="2275"/>
      <c r="J748" s="2276"/>
      <c r="K748" s="2144"/>
      <c r="L748" s="2145"/>
      <c r="M748" s="2145"/>
      <c r="N748" s="2146"/>
      <c r="O748" s="2106"/>
      <c r="P748" s="2107"/>
      <c r="Q748" s="2107"/>
      <c r="R748" s="2107"/>
      <c r="S748" s="2108"/>
      <c r="T748" s="2251">
        <f t="shared" si="47"/>
        <v>0</v>
      </c>
      <c r="U748" s="2252"/>
      <c r="V748" s="2252"/>
      <c r="W748" s="2252"/>
      <c r="X748" s="2253"/>
      <c r="Y748" s="2106">
        <v>0</v>
      </c>
      <c r="Z748" s="2107"/>
      <c r="AA748" s="2107"/>
      <c r="AB748" s="2108"/>
      <c r="AC748" s="2251">
        <f t="shared" si="48"/>
        <v>0</v>
      </c>
      <c r="AD748" s="2252"/>
      <c r="AE748" s="2252"/>
      <c r="AF748" s="2252"/>
      <c r="AG748" s="2253"/>
      <c r="AH748" s="2257">
        <v>0</v>
      </c>
      <c r="AI748" s="2258"/>
      <c r="AJ748" s="2258"/>
      <c r="AK748" s="2258"/>
      <c r="AL748" s="2259"/>
      <c r="AM748" s="2277" t="str">
        <f t="shared" si="49"/>
        <v xml:space="preserve"> </v>
      </c>
      <c r="AN748" s="2278"/>
      <c r="AO748" s="227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11"/>
      <c r="C749" s="2112"/>
      <c r="D749" s="2112"/>
      <c r="E749" s="2112"/>
      <c r="F749" s="2162"/>
      <c r="G749" s="2274"/>
      <c r="H749" s="2275"/>
      <c r="I749" s="2275"/>
      <c r="J749" s="2276"/>
      <c r="K749" s="2144"/>
      <c r="L749" s="2145"/>
      <c r="M749" s="2145"/>
      <c r="N749" s="2146"/>
      <c r="O749" s="2106"/>
      <c r="P749" s="2107"/>
      <c r="Q749" s="2107"/>
      <c r="R749" s="2107"/>
      <c r="S749" s="2108"/>
      <c r="T749" s="2251">
        <f t="shared" si="47"/>
        <v>0</v>
      </c>
      <c r="U749" s="2252"/>
      <c r="V749" s="2252"/>
      <c r="W749" s="2252"/>
      <c r="X749" s="2253"/>
      <c r="Y749" s="2106">
        <v>0</v>
      </c>
      <c r="Z749" s="2107"/>
      <c r="AA749" s="2107"/>
      <c r="AB749" s="2108"/>
      <c r="AC749" s="2251">
        <f t="shared" si="48"/>
        <v>0</v>
      </c>
      <c r="AD749" s="2252"/>
      <c r="AE749" s="2252"/>
      <c r="AF749" s="2252"/>
      <c r="AG749" s="2253"/>
      <c r="AH749" s="2257">
        <v>0</v>
      </c>
      <c r="AI749" s="2258"/>
      <c r="AJ749" s="2258"/>
      <c r="AK749" s="2258"/>
      <c r="AL749" s="2259"/>
      <c r="AM749" s="2277" t="str">
        <f t="shared" si="49"/>
        <v xml:space="preserve"> </v>
      </c>
      <c r="AN749" s="2278"/>
      <c r="AO749" s="227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11"/>
      <c r="C750" s="2112"/>
      <c r="D750" s="2112"/>
      <c r="E750" s="2112"/>
      <c r="F750" s="2162"/>
      <c r="G750" s="2274"/>
      <c r="H750" s="2275"/>
      <c r="I750" s="2275"/>
      <c r="J750" s="2276"/>
      <c r="K750" s="2144"/>
      <c r="L750" s="2145"/>
      <c r="M750" s="2145"/>
      <c r="N750" s="2146"/>
      <c r="O750" s="2106"/>
      <c r="P750" s="2107"/>
      <c r="Q750" s="2107"/>
      <c r="R750" s="2107"/>
      <c r="S750" s="2108"/>
      <c r="T750" s="2251">
        <f t="shared" si="47"/>
        <v>0</v>
      </c>
      <c r="U750" s="2252"/>
      <c r="V750" s="2252"/>
      <c r="W750" s="2252"/>
      <c r="X750" s="2253"/>
      <c r="Y750" s="2106">
        <v>0</v>
      </c>
      <c r="Z750" s="2107"/>
      <c r="AA750" s="2107"/>
      <c r="AB750" s="2108"/>
      <c r="AC750" s="2251">
        <f t="shared" si="48"/>
        <v>0</v>
      </c>
      <c r="AD750" s="2252"/>
      <c r="AE750" s="2252"/>
      <c r="AF750" s="2252"/>
      <c r="AG750" s="2253"/>
      <c r="AH750" s="2257">
        <v>0</v>
      </c>
      <c r="AI750" s="2258"/>
      <c r="AJ750" s="2258"/>
      <c r="AK750" s="2258"/>
      <c r="AL750" s="2259"/>
      <c r="AM750" s="2277" t="str">
        <f t="shared" si="49"/>
        <v xml:space="preserve"> </v>
      </c>
      <c r="AN750" s="2278"/>
      <c r="AO750" s="227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5" customHeight="1">
      <c r="B751" s="2111"/>
      <c r="C751" s="2112"/>
      <c r="D751" s="2112"/>
      <c r="E751" s="2112"/>
      <c r="F751" s="2162"/>
      <c r="G751" s="2274"/>
      <c r="H751" s="2275"/>
      <c r="I751" s="2275"/>
      <c r="J751" s="2276"/>
      <c r="K751" s="2144"/>
      <c r="L751" s="2145"/>
      <c r="M751" s="2145"/>
      <c r="N751" s="2146"/>
      <c r="O751" s="2106"/>
      <c r="P751" s="2107"/>
      <c r="Q751" s="2107"/>
      <c r="R751" s="2107"/>
      <c r="S751" s="2108"/>
      <c r="T751" s="2251">
        <f t="shared" si="47"/>
        <v>0</v>
      </c>
      <c r="U751" s="2252"/>
      <c r="V751" s="2252"/>
      <c r="W751" s="2252"/>
      <c r="X751" s="2253"/>
      <c r="Y751" s="2106">
        <v>0</v>
      </c>
      <c r="Z751" s="2107"/>
      <c r="AA751" s="2107"/>
      <c r="AB751" s="2108"/>
      <c r="AC751" s="2251">
        <f t="shared" si="48"/>
        <v>0</v>
      </c>
      <c r="AD751" s="2252"/>
      <c r="AE751" s="2252"/>
      <c r="AF751" s="2252"/>
      <c r="AG751" s="2253"/>
      <c r="AH751" s="2257">
        <v>0</v>
      </c>
      <c r="AI751" s="2258"/>
      <c r="AJ751" s="2258"/>
      <c r="AK751" s="2258"/>
      <c r="AL751" s="2259"/>
      <c r="AM751" s="2277" t="str">
        <f t="shared" si="49"/>
        <v xml:space="preserve"> </v>
      </c>
      <c r="AN751" s="2278"/>
      <c r="AO751" s="227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11"/>
      <c r="C752" s="2112"/>
      <c r="D752" s="2112"/>
      <c r="E752" s="2112"/>
      <c r="F752" s="2162"/>
      <c r="G752" s="2274"/>
      <c r="H752" s="2275"/>
      <c r="I752" s="2275"/>
      <c r="J752" s="2276"/>
      <c r="K752" s="2144"/>
      <c r="L752" s="2145"/>
      <c r="M752" s="2145"/>
      <c r="N752" s="2146"/>
      <c r="O752" s="2106"/>
      <c r="P752" s="2107"/>
      <c r="Q752" s="2107"/>
      <c r="R752" s="2107"/>
      <c r="S752" s="2108"/>
      <c r="T752" s="2251">
        <f t="shared" si="47"/>
        <v>0</v>
      </c>
      <c r="U752" s="2252"/>
      <c r="V752" s="2252"/>
      <c r="W752" s="2252"/>
      <c r="X752" s="2253"/>
      <c r="Y752" s="2106">
        <v>0</v>
      </c>
      <c r="Z752" s="2107"/>
      <c r="AA752" s="2107"/>
      <c r="AB752" s="2108"/>
      <c r="AC752" s="2251">
        <f t="shared" si="48"/>
        <v>0</v>
      </c>
      <c r="AD752" s="2252"/>
      <c r="AE752" s="2252"/>
      <c r="AF752" s="2252"/>
      <c r="AG752" s="2253"/>
      <c r="AH752" s="2257">
        <v>0</v>
      </c>
      <c r="AI752" s="2258"/>
      <c r="AJ752" s="2258"/>
      <c r="AK752" s="2258"/>
      <c r="AL752" s="2259"/>
      <c r="AM752" s="2277" t="str">
        <f t="shared" si="49"/>
        <v xml:space="preserve"> </v>
      </c>
      <c r="AN752" s="2278"/>
      <c r="AO752" s="227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53" t="s">
        <v>130</v>
      </c>
      <c r="C753" s="2154"/>
      <c r="D753" s="2154"/>
      <c r="E753" s="2154"/>
      <c r="F753" s="2156"/>
      <c r="G753" s="2271">
        <f>SUM(G728:J752)</f>
        <v>163</v>
      </c>
      <c r="H753" s="2272"/>
      <c r="I753" s="2272"/>
      <c r="J753" s="2273"/>
      <c r="O753" s="1587" t="s">
        <v>129</v>
      </c>
      <c r="P753" s="1588"/>
      <c r="Q753" s="1588"/>
      <c r="R753" s="1588"/>
      <c r="S753" s="1589"/>
      <c r="T753" s="2251">
        <f>SUM(T728:X752)</f>
        <v>226492</v>
      </c>
      <c r="U753" s="2252"/>
      <c r="V753" s="2252"/>
      <c r="W753" s="2252"/>
      <c r="X753" s="2253"/>
      <c r="AC753" s="1591" t="s">
        <v>972</v>
      </c>
      <c r="AD753" s="1590"/>
      <c r="AE753" s="1590"/>
      <c r="AF753" s="1590"/>
      <c r="AG753" s="1592"/>
      <c r="AH753" s="2291">
        <f>BI696</f>
        <v>0.57975460122699385</v>
      </c>
      <c r="AI753" s="2292"/>
      <c r="AJ753" s="2292"/>
      <c r="AK753" s="2292"/>
      <c r="AL753" s="2293"/>
      <c r="AM753" s="2291">
        <f>BI728</f>
        <v>0.57975042132690402</v>
      </c>
      <c r="AN753" s="2292"/>
      <c r="AO753" s="2293"/>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0" t="s">
        <v>627</v>
      </c>
      <c r="AG755" s="2270"/>
      <c r="AH755" s="227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95"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409</v>
      </c>
      <c r="K768" s="2117"/>
      <c r="L768" s="2117"/>
      <c r="M768" s="2117"/>
      <c r="N768" s="2118"/>
      <c r="O768" s="2269" t="s">
        <v>293</v>
      </c>
      <c r="P768" s="2269"/>
      <c r="Q768" s="2269"/>
      <c r="R768" s="2269"/>
      <c r="S768" s="2269"/>
      <c r="T768" s="2260" t="s">
        <v>2171</v>
      </c>
      <c r="U768" s="2261"/>
      <c r="V768" s="2261"/>
      <c r="W768" s="2262"/>
      <c r="X768" s="2116" t="s">
        <v>479</v>
      </c>
      <c r="Y768" s="2117"/>
      <c r="Z768" s="2117"/>
      <c r="AA768" s="2117"/>
      <c r="AB768" s="2118"/>
      <c r="AC768" s="2116" t="s">
        <v>294</v>
      </c>
      <c r="AD768" s="2117"/>
      <c r="AE768" s="2117"/>
      <c r="AF768" s="2117"/>
      <c r="AG768" s="211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269"/>
      <c r="P769" s="2269"/>
      <c r="Q769" s="2269"/>
      <c r="R769" s="2269"/>
      <c r="S769" s="2269"/>
      <c r="T769" s="2263"/>
      <c r="U769" s="2264"/>
      <c r="V769" s="2264"/>
      <c r="W769" s="2265"/>
      <c r="X769" s="2119"/>
      <c r="Y769" s="2120"/>
      <c r="Z769" s="2120"/>
      <c r="AA769" s="2120"/>
      <c r="AB769" s="2121"/>
      <c r="AC769" s="2119"/>
      <c r="AD769" s="2120"/>
      <c r="AE769" s="2120"/>
      <c r="AF769" s="2120"/>
      <c r="AG769" s="212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269"/>
      <c r="P770" s="2269"/>
      <c r="Q770" s="2269"/>
      <c r="R770" s="2269"/>
      <c r="S770" s="2269"/>
      <c r="T770" s="2263"/>
      <c r="U770" s="2264"/>
      <c r="V770" s="2264"/>
      <c r="W770" s="2265"/>
      <c r="X770" s="2119"/>
      <c r="Y770" s="2120"/>
      <c r="Z770" s="2120"/>
      <c r="AA770" s="2120"/>
      <c r="AB770" s="2121"/>
      <c r="AC770" s="2119"/>
      <c r="AD770" s="2120"/>
      <c r="AE770" s="2120"/>
      <c r="AF770" s="2120"/>
      <c r="AG770" s="212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269"/>
      <c r="P771" s="2269"/>
      <c r="Q771" s="2269"/>
      <c r="R771" s="2269"/>
      <c r="S771" s="2269"/>
      <c r="T771" s="2266"/>
      <c r="U771" s="2267"/>
      <c r="V771" s="2267"/>
      <c r="W771" s="2268"/>
      <c r="X771" s="2122"/>
      <c r="Y771" s="2123"/>
      <c r="Z771" s="2123"/>
      <c r="AA771" s="2123"/>
      <c r="AB771" s="2124"/>
      <c r="AC771" s="2122"/>
      <c r="AD771" s="2123"/>
      <c r="AE771" s="2123"/>
      <c r="AF771" s="2123"/>
      <c r="AG771" s="212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11" t="s">
        <v>168</v>
      </c>
      <c r="K772" s="2112"/>
      <c r="L772" s="2112"/>
      <c r="M772" s="2112"/>
      <c r="N772" s="2162"/>
      <c r="O772" s="2080">
        <v>1</v>
      </c>
      <c r="P772" s="2080"/>
      <c r="Q772" s="2080"/>
      <c r="R772" s="2080"/>
      <c r="S772" s="2080"/>
      <c r="T772" s="2144">
        <v>897</v>
      </c>
      <c r="U772" s="2145"/>
      <c r="V772" s="2145"/>
      <c r="W772" s="2146"/>
      <c r="X772" s="2106">
        <v>1479</v>
      </c>
      <c r="Y772" s="2107"/>
      <c r="Z772" s="2107"/>
      <c r="AA772" s="2107"/>
      <c r="AB772" s="2108"/>
      <c r="AC772" s="2251">
        <f>X772*O772</f>
        <v>1479</v>
      </c>
      <c r="AD772" s="2252"/>
      <c r="AE772" s="2252"/>
      <c r="AF772" s="2252"/>
      <c r="AG772" s="225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11"/>
      <c r="K773" s="2112"/>
      <c r="L773" s="2112"/>
      <c r="M773" s="2112"/>
      <c r="N773" s="2162"/>
      <c r="O773" s="2080"/>
      <c r="P773" s="2080"/>
      <c r="Q773" s="2080"/>
      <c r="R773" s="2080"/>
      <c r="S773" s="2080"/>
      <c r="T773" s="2144"/>
      <c r="U773" s="2145"/>
      <c r="V773" s="2145"/>
      <c r="W773" s="2146"/>
      <c r="X773" s="2106"/>
      <c r="Y773" s="2107"/>
      <c r="Z773" s="2107"/>
      <c r="AA773" s="2107"/>
      <c r="AB773" s="2108"/>
      <c r="AC773" s="2251">
        <f>X773*O773</f>
        <v>0</v>
      </c>
      <c r="AD773" s="2252"/>
      <c r="AE773" s="2252"/>
      <c r="AF773" s="2252"/>
      <c r="AG773" s="225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11"/>
      <c r="K774" s="2112"/>
      <c r="L774" s="2112"/>
      <c r="M774" s="2112"/>
      <c r="N774" s="2162"/>
      <c r="O774" s="2080"/>
      <c r="P774" s="2080"/>
      <c r="Q774" s="2080"/>
      <c r="R774" s="2080"/>
      <c r="S774" s="2080"/>
      <c r="T774" s="2144"/>
      <c r="U774" s="2145"/>
      <c r="V774" s="2145"/>
      <c r="W774" s="2146"/>
      <c r="X774" s="2106"/>
      <c r="Y774" s="2107"/>
      <c r="Z774" s="2107"/>
      <c r="AA774" s="2107"/>
      <c r="AB774" s="2108"/>
      <c r="AC774" s="2251">
        <f>X774*O774</f>
        <v>0</v>
      </c>
      <c r="AD774" s="2252"/>
      <c r="AE774" s="2252"/>
      <c r="AF774" s="2252"/>
      <c r="AG774" s="225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11"/>
      <c r="K775" s="2112"/>
      <c r="L775" s="2112"/>
      <c r="M775" s="2112"/>
      <c r="N775" s="2162"/>
      <c r="O775" s="2080"/>
      <c r="P775" s="2080"/>
      <c r="Q775" s="2080"/>
      <c r="R775" s="2080"/>
      <c r="S775" s="2080"/>
      <c r="T775" s="2144"/>
      <c r="U775" s="2145"/>
      <c r="V775" s="2145"/>
      <c r="W775" s="2146"/>
      <c r="X775" s="2106"/>
      <c r="Y775" s="2107"/>
      <c r="Z775" s="2107"/>
      <c r="AA775" s="2107"/>
      <c r="AB775" s="2108"/>
      <c r="AC775" s="2251">
        <f>X775*O775</f>
        <v>0</v>
      </c>
      <c r="AD775" s="2252"/>
      <c r="AE775" s="2252"/>
      <c r="AF775" s="2252"/>
      <c r="AG775" s="225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3" t="s">
        <v>130</v>
      </c>
      <c r="K776" s="2154"/>
      <c r="L776" s="2154"/>
      <c r="M776" s="2154"/>
      <c r="N776" s="2156"/>
      <c r="O776" s="2410">
        <f>SUM(O772:S775)</f>
        <v>1</v>
      </c>
      <c r="P776" s="2411"/>
      <c r="Q776" s="2411"/>
      <c r="R776" s="2411"/>
      <c r="S776" s="2412"/>
      <c r="X776" s="2406" t="s">
        <v>129</v>
      </c>
      <c r="Y776" s="2407"/>
      <c r="Z776" s="2407"/>
      <c r="AA776" s="2407"/>
      <c r="AB776" s="2408"/>
      <c r="AC776" s="2251">
        <f>SUM(AC772:AG775)</f>
        <v>1479</v>
      </c>
      <c r="AD776" s="2252"/>
      <c r="AE776" s="2252"/>
      <c r="AF776" s="2252"/>
      <c r="AG776" s="225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6" t="s">
        <v>707</v>
      </c>
      <c r="K778" s="2026"/>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409</v>
      </c>
      <c r="K782" s="2117"/>
      <c r="L782" s="2117"/>
      <c r="M782" s="2117"/>
      <c r="N782" s="2118"/>
      <c r="O782" s="2269" t="s">
        <v>293</v>
      </c>
      <c r="P782" s="2269"/>
      <c r="Q782" s="2269"/>
      <c r="R782" s="2269"/>
      <c r="S782" s="2269"/>
      <c r="T782" s="2260" t="s">
        <v>2171</v>
      </c>
      <c r="U782" s="2261"/>
      <c r="V782" s="2261"/>
      <c r="W782" s="2262"/>
      <c r="X782" s="2116" t="s">
        <v>479</v>
      </c>
      <c r="Y782" s="2117"/>
      <c r="Z782" s="2117"/>
      <c r="AA782" s="2117"/>
      <c r="AB782" s="2118"/>
      <c r="AC782" s="2116" t="s">
        <v>294</v>
      </c>
      <c r="AD782" s="2117"/>
      <c r="AE782" s="2117"/>
      <c r="AF782" s="2117"/>
      <c r="AG782" s="2118"/>
      <c r="AH782" s="2405" t="s">
        <v>2463</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269"/>
      <c r="P783" s="2269"/>
      <c r="Q783" s="2269"/>
      <c r="R783" s="2269"/>
      <c r="S783" s="2269"/>
      <c r="T783" s="2263"/>
      <c r="U783" s="2264"/>
      <c r="V783" s="2264"/>
      <c r="W783" s="2265"/>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269"/>
      <c r="P784" s="2269"/>
      <c r="Q784" s="2269"/>
      <c r="R784" s="2269"/>
      <c r="S784" s="2269"/>
      <c r="T784" s="2263"/>
      <c r="U784" s="2264"/>
      <c r="V784" s="2264"/>
      <c r="W784" s="2265"/>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269"/>
      <c r="P785" s="2269"/>
      <c r="Q785" s="2269"/>
      <c r="R785" s="2269"/>
      <c r="S785" s="2269"/>
      <c r="T785" s="2266"/>
      <c r="U785" s="2267"/>
      <c r="V785" s="2267"/>
      <c r="W785" s="2268"/>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11"/>
      <c r="K786" s="2112"/>
      <c r="L786" s="2112"/>
      <c r="M786" s="2112"/>
      <c r="N786" s="2162"/>
      <c r="O786" s="2080"/>
      <c r="P786" s="2080"/>
      <c r="Q786" s="2080"/>
      <c r="R786" s="2080"/>
      <c r="S786" s="2080"/>
      <c r="T786" s="2144"/>
      <c r="U786" s="2145"/>
      <c r="V786" s="2145"/>
      <c r="W786" s="2146"/>
      <c r="X786" s="2106"/>
      <c r="Y786" s="2107"/>
      <c r="Z786" s="2107"/>
      <c r="AA786" s="2107"/>
      <c r="AB786" s="2108"/>
      <c r="AC786" s="2251">
        <f t="shared" ref="AC786:AC795" si="50">X786*O786</f>
        <v>0</v>
      </c>
      <c r="AD786" s="2252"/>
      <c r="AE786" s="2252"/>
      <c r="AF786" s="2252"/>
      <c r="AG786" s="2253"/>
      <c r="AH786" s="2257"/>
      <c r="AI786" s="2258"/>
      <c r="AJ786" s="2258"/>
      <c r="AK786" s="2258"/>
      <c r="AL786" s="225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11"/>
      <c r="K787" s="2112"/>
      <c r="L787" s="2112"/>
      <c r="M787" s="2112"/>
      <c r="N787" s="2162"/>
      <c r="O787" s="2080"/>
      <c r="P787" s="2080"/>
      <c r="Q787" s="2080"/>
      <c r="R787" s="2080"/>
      <c r="S787" s="2080"/>
      <c r="T787" s="2144"/>
      <c r="U787" s="2145"/>
      <c r="V787" s="2145"/>
      <c r="W787" s="2146"/>
      <c r="X787" s="2106"/>
      <c r="Y787" s="2107"/>
      <c r="Z787" s="2107"/>
      <c r="AA787" s="2107"/>
      <c r="AB787" s="2108"/>
      <c r="AC787" s="2251">
        <f t="shared" si="50"/>
        <v>0</v>
      </c>
      <c r="AD787" s="2252"/>
      <c r="AE787" s="2252"/>
      <c r="AF787" s="2252"/>
      <c r="AG787" s="2253"/>
      <c r="AH787" s="2257"/>
      <c r="AI787" s="2258"/>
      <c r="AJ787" s="2258"/>
      <c r="AK787" s="2258"/>
      <c r="AL787" s="225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11"/>
      <c r="K788" s="2112"/>
      <c r="L788" s="2112"/>
      <c r="M788" s="2112"/>
      <c r="N788" s="2162"/>
      <c r="O788" s="2080"/>
      <c r="P788" s="2080"/>
      <c r="Q788" s="2080"/>
      <c r="R788" s="2080"/>
      <c r="S788" s="2080"/>
      <c r="T788" s="2144"/>
      <c r="U788" s="2145"/>
      <c r="V788" s="2145"/>
      <c r="W788" s="2146"/>
      <c r="X788" s="2106"/>
      <c r="Y788" s="2107"/>
      <c r="Z788" s="2107"/>
      <c r="AA788" s="2107"/>
      <c r="AB788" s="2108"/>
      <c r="AC788" s="2251">
        <f t="shared" si="50"/>
        <v>0</v>
      </c>
      <c r="AD788" s="2252"/>
      <c r="AE788" s="2252"/>
      <c r="AF788" s="2252"/>
      <c r="AG788" s="2253"/>
      <c r="AH788" s="2257"/>
      <c r="AI788" s="2258"/>
      <c r="AJ788" s="2258"/>
      <c r="AK788" s="2258"/>
      <c r="AL788" s="225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11"/>
      <c r="K789" s="2112"/>
      <c r="L789" s="2112"/>
      <c r="M789" s="2112"/>
      <c r="N789" s="2162"/>
      <c r="O789" s="2080"/>
      <c r="P789" s="2080"/>
      <c r="Q789" s="2080"/>
      <c r="R789" s="2080"/>
      <c r="S789" s="2080"/>
      <c r="T789" s="2144"/>
      <c r="U789" s="2145"/>
      <c r="V789" s="2145"/>
      <c r="W789" s="2146"/>
      <c r="X789" s="2106"/>
      <c r="Y789" s="2107"/>
      <c r="Z789" s="2107"/>
      <c r="AA789" s="2107"/>
      <c r="AB789" s="2108"/>
      <c r="AC789" s="2251">
        <f t="shared" si="50"/>
        <v>0</v>
      </c>
      <c r="AD789" s="2252"/>
      <c r="AE789" s="2252"/>
      <c r="AF789" s="2252"/>
      <c r="AG789" s="2253"/>
      <c r="AH789" s="2257"/>
      <c r="AI789" s="2258"/>
      <c r="AJ789" s="2258"/>
      <c r="AK789" s="2258"/>
      <c r="AL789" s="225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11"/>
      <c r="K790" s="2112"/>
      <c r="L790" s="2112"/>
      <c r="M790" s="2112"/>
      <c r="N790" s="2162"/>
      <c r="O790" s="2080"/>
      <c r="P790" s="2080"/>
      <c r="Q790" s="2080"/>
      <c r="R790" s="2080"/>
      <c r="S790" s="2080"/>
      <c r="T790" s="2144"/>
      <c r="U790" s="2145"/>
      <c r="V790" s="2145"/>
      <c r="W790" s="2146"/>
      <c r="X790" s="2106"/>
      <c r="Y790" s="2107"/>
      <c r="Z790" s="2107"/>
      <c r="AA790" s="2107"/>
      <c r="AB790" s="2108"/>
      <c r="AC790" s="2251">
        <f t="shared" si="50"/>
        <v>0</v>
      </c>
      <c r="AD790" s="2252"/>
      <c r="AE790" s="2252"/>
      <c r="AF790" s="2252"/>
      <c r="AG790" s="2253"/>
      <c r="AH790" s="2257"/>
      <c r="AI790" s="2258"/>
      <c r="AJ790" s="2258"/>
      <c r="AK790" s="2258"/>
      <c r="AL790" s="225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11"/>
      <c r="K791" s="2112"/>
      <c r="L791" s="2112"/>
      <c r="M791" s="2112"/>
      <c r="N791" s="2162"/>
      <c r="O791" s="2080"/>
      <c r="P791" s="2080"/>
      <c r="Q791" s="2080"/>
      <c r="R791" s="2080"/>
      <c r="S791" s="2080"/>
      <c r="T791" s="2144"/>
      <c r="U791" s="2145"/>
      <c r="V791" s="2145"/>
      <c r="W791" s="2146"/>
      <c r="X791" s="2106"/>
      <c r="Y791" s="2107"/>
      <c r="Z791" s="2107"/>
      <c r="AA791" s="2107"/>
      <c r="AB791" s="2108"/>
      <c r="AC791" s="2251">
        <f t="shared" si="50"/>
        <v>0</v>
      </c>
      <c r="AD791" s="2252"/>
      <c r="AE791" s="2252"/>
      <c r="AF791" s="2252"/>
      <c r="AG791" s="2253"/>
      <c r="AH791" s="2257"/>
      <c r="AI791" s="2258"/>
      <c r="AJ791" s="2258"/>
      <c r="AK791" s="2258"/>
      <c r="AL791" s="225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11"/>
      <c r="K792" s="2112"/>
      <c r="L792" s="2112"/>
      <c r="M792" s="2112"/>
      <c r="N792" s="2162"/>
      <c r="O792" s="2080"/>
      <c r="P792" s="2080"/>
      <c r="Q792" s="2080"/>
      <c r="R792" s="2080"/>
      <c r="S792" s="2080"/>
      <c r="T792" s="2144"/>
      <c r="U792" s="2145"/>
      <c r="V792" s="2145"/>
      <c r="W792" s="2146"/>
      <c r="X792" s="2106"/>
      <c r="Y792" s="2107"/>
      <c r="Z792" s="2107"/>
      <c r="AA792" s="2107"/>
      <c r="AB792" s="2108"/>
      <c r="AC792" s="2251">
        <f t="shared" si="50"/>
        <v>0</v>
      </c>
      <c r="AD792" s="2252"/>
      <c r="AE792" s="2252"/>
      <c r="AF792" s="2252"/>
      <c r="AG792" s="2253"/>
      <c r="AH792" s="2257"/>
      <c r="AI792" s="2258"/>
      <c r="AJ792" s="2258"/>
      <c r="AK792" s="2258"/>
      <c r="AL792" s="225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11"/>
      <c r="K793" s="2112"/>
      <c r="L793" s="2112"/>
      <c r="M793" s="2112"/>
      <c r="N793" s="2162"/>
      <c r="O793" s="2080"/>
      <c r="P793" s="2080"/>
      <c r="Q793" s="2080"/>
      <c r="R793" s="2080"/>
      <c r="S793" s="2080"/>
      <c r="T793" s="2144"/>
      <c r="U793" s="2145"/>
      <c r="V793" s="2145"/>
      <c r="W793" s="2146"/>
      <c r="X793" s="2106"/>
      <c r="Y793" s="2107"/>
      <c r="Z793" s="2107"/>
      <c r="AA793" s="2107"/>
      <c r="AB793" s="2108"/>
      <c r="AC793" s="2251">
        <f t="shared" si="50"/>
        <v>0</v>
      </c>
      <c r="AD793" s="2252"/>
      <c r="AE793" s="2252"/>
      <c r="AF793" s="2252"/>
      <c r="AG793" s="2253"/>
      <c r="AH793" s="2257"/>
      <c r="AI793" s="2258"/>
      <c r="AJ793" s="2258"/>
      <c r="AK793" s="2258"/>
      <c r="AL793" s="225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11"/>
      <c r="K794" s="2112"/>
      <c r="L794" s="2112"/>
      <c r="M794" s="2112"/>
      <c r="N794" s="2162"/>
      <c r="O794" s="2080"/>
      <c r="P794" s="2080"/>
      <c r="Q794" s="2080"/>
      <c r="R794" s="2080"/>
      <c r="S794" s="2080"/>
      <c r="T794" s="2144"/>
      <c r="U794" s="2145"/>
      <c r="V794" s="2145"/>
      <c r="W794" s="2146"/>
      <c r="X794" s="2106"/>
      <c r="Y794" s="2107"/>
      <c r="Z794" s="2107"/>
      <c r="AA794" s="2107"/>
      <c r="AB794" s="2108"/>
      <c r="AC794" s="2251">
        <f t="shared" si="50"/>
        <v>0</v>
      </c>
      <c r="AD794" s="2252"/>
      <c r="AE794" s="2252"/>
      <c r="AF794" s="2252"/>
      <c r="AG794" s="2253"/>
      <c r="AH794" s="2257"/>
      <c r="AI794" s="2258"/>
      <c r="AJ794" s="2258"/>
      <c r="AK794" s="2258"/>
      <c r="AL794" s="225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11"/>
      <c r="K795" s="2112"/>
      <c r="L795" s="2112"/>
      <c r="M795" s="2112"/>
      <c r="N795" s="2162"/>
      <c r="O795" s="2080"/>
      <c r="P795" s="2080"/>
      <c r="Q795" s="2080"/>
      <c r="R795" s="2080"/>
      <c r="S795" s="2080"/>
      <c r="T795" s="2144"/>
      <c r="U795" s="2145"/>
      <c r="V795" s="2145"/>
      <c r="W795" s="2146"/>
      <c r="X795" s="2106"/>
      <c r="Y795" s="2107"/>
      <c r="Z795" s="2107"/>
      <c r="AA795" s="2107"/>
      <c r="AB795" s="2108"/>
      <c r="AC795" s="2251">
        <f t="shared" si="50"/>
        <v>0</v>
      </c>
      <c r="AD795" s="2252"/>
      <c r="AE795" s="2252"/>
      <c r="AF795" s="2252"/>
      <c r="AG795" s="2253"/>
      <c r="AH795" s="2257"/>
      <c r="AI795" s="2258"/>
      <c r="AJ795" s="2258"/>
      <c r="AK795" s="2258"/>
      <c r="AL795" s="225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3" t="s">
        <v>130</v>
      </c>
      <c r="K796" s="2154"/>
      <c r="L796" s="2154"/>
      <c r="M796" s="2154"/>
      <c r="N796" s="2156"/>
      <c r="O796" s="2254">
        <f>SUM(O786:S795)</f>
        <v>0</v>
      </c>
      <c r="P796" s="2254"/>
      <c r="Q796" s="2254"/>
      <c r="R796" s="2254"/>
      <c r="S796" s="2254"/>
      <c r="X796" s="1604" t="s">
        <v>129</v>
      </c>
      <c r="Y796" s="1605"/>
      <c r="Z796" s="1605"/>
      <c r="AA796" s="1605"/>
      <c r="AB796" s="1606"/>
      <c r="AC796" s="2251">
        <f>SUM(AC786:AG795)</f>
        <v>0</v>
      </c>
      <c r="AD796" s="2252"/>
      <c r="AE796" s="2252"/>
      <c r="AF796" s="2252"/>
      <c r="AG796" s="225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0">
        <f>T753+AC776+AC796</f>
        <v>227971</v>
      </c>
      <c r="Z798" s="2150"/>
      <c r="AA798" s="2150"/>
      <c r="AB798" s="2150"/>
      <c r="AC798" s="21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0">
        <f>(T753+AC776+AC796)*12</f>
        <v>2735652</v>
      </c>
      <c r="Z799" s="2150"/>
      <c r="AA799" s="2150"/>
      <c r="AB799" s="2150"/>
      <c r="AC799" s="2150"/>
      <c r="AZ799" s="58"/>
      <c r="BA799" s="51" t="s">
        <v>668</v>
      </c>
      <c r="BB799" s="51"/>
      <c r="BC799" s="51"/>
      <c r="BD799" s="51"/>
      <c r="BE799" s="51"/>
      <c r="BF799" s="51"/>
      <c r="BG799" s="51"/>
      <c r="BH799" s="51"/>
      <c r="BI799" s="51"/>
      <c r="BJ799" s="51"/>
      <c r="BK799" s="51"/>
      <c r="BL799" s="51"/>
      <c r="BM799" s="51"/>
      <c r="BN799" s="2361" t="s">
        <v>503</v>
      </c>
      <c r="BO799" s="2362"/>
      <c r="BP799" s="58"/>
      <c r="BQ799" s="58"/>
      <c r="BR799" s="58"/>
      <c r="BS799" s="51" t="s">
        <v>670</v>
      </c>
      <c r="BT799" s="51"/>
      <c r="BU799" s="51"/>
      <c r="BV799" s="51"/>
      <c r="BW799" s="51"/>
      <c r="BX799" s="51"/>
      <c r="BY799" s="51"/>
      <c r="BZ799" s="51"/>
      <c r="CA799" s="51"/>
      <c r="CB799" s="2358" t="str">
        <f>T189</f>
        <v>Sonoma</v>
      </c>
      <c r="CC799" s="2359"/>
      <c r="CD799" s="2359"/>
      <c r="CE799" s="2359"/>
      <c r="CF799" s="2359"/>
      <c r="CG799" s="2359"/>
      <c r="CH799" s="236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35"/>
      <c r="AA804" s="2336"/>
      <c r="AB804" s="2336"/>
      <c r="AC804" s="2336"/>
      <c r="AD804" s="2336"/>
      <c r="AE804" s="23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81"/>
      <c r="AA805" s="2336"/>
      <c r="AB805" s="2336"/>
      <c r="AC805" s="2336"/>
      <c r="AD805" s="2336"/>
      <c r="AE805" s="23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7">
        <v>0</v>
      </c>
      <c r="AA806" s="2288"/>
      <c r="AB806" s="2288"/>
      <c r="AC806" s="2288"/>
      <c r="AD806" s="2288"/>
      <c r="AE806" s="228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60">
        <f>'Subsidy Contract Calculation'!I30</f>
        <v>0</v>
      </c>
      <c r="AA807" s="2061"/>
      <c r="AB807" s="2061"/>
      <c r="AC807" s="2061"/>
      <c r="AD807" s="2061"/>
      <c r="AE807" s="206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8">
        <v>0</v>
      </c>
      <c r="AA811" s="2019"/>
      <c r="AB811" s="2019"/>
      <c r="AC811" s="2019"/>
      <c r="AD811" s="2019"/>
      <c r="AE811" s="202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8">
        <v>3936</v>
      </c>
      <c r="AA812" s="2019"/>
      <c r="AB812" s="2019"/>
      <c r="AC812" s="2019"/>
      <c r="AD812" s="2019"/>
      <c r="AE812" s="202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8"/>
      <c r="AA813" s="2019"/>
      <c r="AB813" s="2019"/>
      <c r="AC813" s="2019"/>
      <c r="AD813" s="2019"/>
      <c r="AE813" s="202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4" t="s">
        <v>2516</v>
      </c>
      <c r="Q814" s="2285"/>
      <c r="R814" s="2285"/>
      <c r="S814" s="2285"/>
      <c r="T814" s="2285"/>
      <c r="U814" s="2285"/>
      <c r="V814" s="2285"/>
      <c r="W814" s="2285"/>
      <c r="X814" s="2285"/>
      <c r="Y814" s="2286"/>
      <c r="Z814" s="2018">
        <v>22304</v>
      </c>
      <c r="AA814" s="2019"/>
      <c r="AB814" s="2019"/>
      <c r="AC814" s="2019"/>
      <c r="AD814" s="2019"/>
      <c r="AE814" s="202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60">
        <f>SUM(Z811:AE814)</f>
        <v>26240</v>
      </c>
      <c r="AA815" s="2061"/>
      <c r="AB815" s="2061"/>
      <c r="AC815" s="2061"/>
      <c r="AD815" s="2061"/>
      <c r="AE815" s="206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60">
        <f>Z815+Y799+Z807</f>
        <v>2761892</v>
      </c>
      <c r="AA816" s="2061"/>
      <c r="AB816" s="2061"/>
      <c r="AC816" s="2061"/>
      <c r="AD816" s="2061"/>
      <c r="AE816" s="206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3" t="s">
        <v>131</v>
      </c>
      <c r="N821" s="2413"/>
      <c r="O821" s="2413"/>
      <c r="P821" s="2414"/>
      <c r="Q821" s="2250" t="s">
        <v>300</v>
      </c>
      <c r="R821" s="2250"/>
      <c r="S821" s="2250"/>
      <c r="T821" s="2250"/>
      <c r="U821" s="2250" t="s">
        <v>301</v>
      </c>
      <c r="V821" s="2250"/>
      <c r="W821" s="2250"/>
      <c r="X821" s="2250"/>
      <c r="Y821" s="2250" t="s">
        <v>302</v>
      </c>
      <c r="Z821" s="2250"/>
      <c r="AA821" s="2250"/>
      <c r="AB821" s="2250"/>
      <c r="AC821" s="2250" t="s">
        <v>373</v>
      </c>
      <c r="AD821" s="2250"/>
      <c r="AE821" s="2250"/>
      <c r="AF821" s="2250"/>
      <c r="AG821" s="2388" t="s">
        <v>346</v>
      </c>
      <c r="AH821" s="2388"/>
      <c r="AI821" s="2388"/>
      <c r="AJ821" s="238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5"/>
      <c r="N822" s="2415"/>
      <c r="O822" s="2415"/>
      <c r="P822" s="2416"/>
      <c r="Q822" s="2250"/>
      <c r="R822" s="2250"/>
      <c r="S822" s="2250"/>
      <c r="T822" s="2250"/>
      <c r="U822" s="2250"/>
      <c r="V822" s="2250"/>
      <c r="W822" s="2250"/>
      <c r="X822" s="2250"/>
      <c r="Y822" s="2250"/>
      <c r="Z822" s="2250"/>
      <c r="AA822" s="2250"/>
      <c r="AB822" s="2250"/>
      <c r="AC822" s="2250"/>
      <c r="AD822" s="2250"/>
      <c r="AE822" s="2250"/>
      <c r="AF822" s="2250"/>
      <c r="AG822" s="2388"/>
      <c r="AH822" s="2388"/>
      <c r="AI822" s="2388"/>
      <c r="AJ822" s="238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5" t="s">
        <v>43</v>
      </c>
      <c r="D823" s="2256"/>
      <c r="E823" s="2256"/>
      <c r="F823" s="2256"/>
      <c r="G823" s="2256"/>
      <c r="H823" s="2256"/>
      <c r="I823" s="80"/>
      <c r="J823" s="80"/>
      <c r="K823" s="80"/>
      <c r="L823" s="81"/>
      <c r="M823" s="2249"/>
      <c r="N823" s="2249"/>
      <c r="O823" s="2249"/>
      <c r="P823" s="2249"/>
      <c r="Q823" s="2249"/>
      <c r="R823" s="2249"/>
      <c r="S823" s="2249"/>
      <c r="T823" s="2249"/>
      <c r="U823" s="2249"/>
      <c r="V823" s="2249"/>
      <c r="W823" s="2249"/>
      <c r="X823" s="2249"/>
      <c r="Y823" s="2249"/>
      <c r="Z823" s="2249"/>
      <c r="AA823" s="2249"/>
      <c r="AB823" s="2249"/>
      <c r="AC823" s="2226"/>
      <c r="AD823" s="2227"/>
      <c r="AE823" s="2227"/>
      <c r="AF823" s="2228"/>
      <c r="AG823" s="2226"/>
      <c r="AH823" s="2227"/>
      <c r="AI823" s="2227"/>
      <c r="AJ823" s="222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49"/>
      <c r="N824" s="2249"/>
      <c r="O824" s="2249"/>
      <c r="P824" s="2249"/>
      <c r="Q824" s="2249">
        <v>14</v>
      </c>
      <c r="R824" s="2249"/>
      <c r="S824" s="2249"/>
      <c r="T824" s="2249"/>
      <c r="U824" s="2249">
        <v>18</v>
      </c>
      <c r="V824" s="2249"/>
      <c r="W824" s="2249"/>
      <c r="X824" s="2249"/>
      <c r="Y824" s="2249">
        <v>22</v>
      </c>
      <c r="Z824" s="2249"/>
      <c r="AA824" s="2249"/>
      <c r="AB824" s="2249"/>
      <c r="AC824" s="2226"/>
      <c r="AD824" s="2227"/>
      <c r="AE824" s="2227"/>
      <c r="AF824" s="2228"/>
      <c r="AG824" s="2226"/>
      <c r="AH824" s="2227"/>
      <c r="AI824" s="2227"/>
      <c r="AJ824" s="222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49"/>
      <c r="N825" s="2249"/>
      <c r="O825" s="2249"/>
      <c r="P825" s="2249"/>
      <c r="Q825" s="2249">
        <v>6</v>
      </c>
      <c r="R825" s="2249"/>
      <c r="S825" s="2249"/>
      <c r="T825" s="2249"/>
      <c r="U825" s="2249">
        <v>9</v>
      </c>
      <c r="V825" s="2249"/>
      <c r="W825" s="2249"/>
      <c r="X825" s="2249"/>
      <c r="Y825" s="2249">
        <v>12</v>
      </c>
      <c r="Z825" s="2249"/>
      <c r="AA825" s="2249"/>
      <c r="AB825" s="2249"/>
      <c r="AC825" s="2226"/>
      <c r="AD825" s="2227"/>
      <c r="AE825" s="2227"/>
      <c r="AF825" s="2228"/>
      <c r="AG825" s="2226"/>
      <c r="AH825" s="2227"/>
      <c r="AI825" s="2227"/>
      <c r="AJ825" s="222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823</v>
      </c>
      <c r="D826" s="2068"/>
      <c r="E826" s="2068"/>
      <c r="F826" s="2068"/>
      <c r="G826" s="2068"/>
      <c r="H826" s="2068"/>
      <c r="I826" s="96"/>
      <c r="J826" s="96"/>
      <c r="K826" s="96"/>
      <c r="L826" s="97"/>
      <c r="M826" s="2249"/>
      <c r="N826" s="2249"/>
      <c r="O826" s="2249"/>
      <c r="P826" s="2249"/>
      <c r="Q826" s="2249"/>
      <c r="R826" s="2249"/>
      <c r="S826" s="2249"/>
      <c r="T826" s="2249"/>
      <c r="U826" s="2249"/>
      <c r="V826" s="2249"/>
      <c r="W826" s="2249"/>
      <c r="X826" s="2249"/>
      <c r="Y826" s="2249"/>
      <c r="Z826" s="2249"/>
      <c r="AA826" s="2249"/>
      <c r="AB826" s="2249"/>
      <c r="AC826" s="2226"/>
      <c r="AD826" s="2227"/>
      <c r="AE826" s="2227"/>
      <c r="AF826" s="2228"/>
      <c r="AG826" s="2226"/>
      <c r="AH826" s="2227"/>
      <c r="AI826" s="2227"/>
      <c r="AJ826" s="222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493</v>
      </c>
      <c r="D827" s="2068"/>
      <c r="E827" s="2068"/>
      <c r="F827" s="2068"/>
      <c r="G827" s="2068"/>
      <c r="H827" s="2068"/>
      <c r="I827" s="96"/>
      <c r="J827" s="96"/>
      <c r="K827" s="96"/>
      <c r="L827" s="97"/>
      <c r="M827" s="2249"/>
      <c r="N827" s="2249"/>
      <c r="O827" s="2249"/>
      <c r="P827" s="2249"/>
      <c r="Q827" s="2249">
        <v>19</v>
      </c>
      <c r="R827" s="2249"/>
      <c r="S827" s="2249"/>
      <c r="T827" s="2249"/>
      <c r="U827" s="2249">
        <v>28</v>
      </c>
      <c r="V827" s="2249"/>
      <c r="W827" s="2249"/>
      <c r="X827" s="2249"/>
      <c r="Y827" s="2249">
        <v>37</v>
      </c>
      <c r="Z827" s="2249"/>
      <c r="AA827" s="2249"/>
      <c r="AB827" s="2249"/>
      <c r="AC827" s="2226"/>
      <c r="AD827" s="2227"/>
      <c r="AE827" s="2227"/>
      <c r="AF827" s="2228"/>
      <c r="AG827" s="2226"/>
      <c r="AH827" s="2227"/>
      <c r="AI827" s="2227"/>
      <c r="AJ827" s="222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0" t="s">
        <v>844</v>
      </c>
      <c r="D828" s="2068"/>
      <c r="E828" s="2068"/>
      <c r="F828" s="2068"/>
      <c r="G828" s="2068"/>
      <c r="H828" s="2068"/>
      <c r="I828" s="96"/>
      <c r="J828" s="96"/>
      <c r="K828" s="96"/>
      <c r="L828" s="97"/>
      <c r="M828" s="2249"/>
      <c r="N828" s="2249"/>
      <c r="O828" s="2249"/>
      <c r="P828" s="2249"/>
      <c r="Q828" s="2249"/>
      <c r="R828" s="2249"/>
      <c r="S828" s="2249"/>
      <c r="T828" s="2249"/>
      <c r="U828" s="2249"/>
      <c r="V828" s="2249"/>
      <c r="W828" s="2249"/>
      <c r="X828" s="2249"/>
      <c r="Y828" s="2249"/>
      <c r="Z828" s="2249"/>
      <c r="AA828" s="2249"/>
      <c r="AB828" s="2249"/>
      <c r="AC828" s="2226"/>
      <c r="AD828" s="2227"/>
      <c r="AE828" s="2227"/>
      <c r="AF828" s="2228"/>
      <c r="AG828" s="2226"/>
      <c r="AH828" s="2227"/>
      <c r="AI828" s="2227"/>
      <c r="AJ828" s="222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7" t="s">
        <v>345</v>
      </c>
      <c r="G829" s="2298"/>
      <c r="H829" s="2298"/>
      <c r="I829" s="2298"/>
      <c r="J829" s="2298"/>
      <c r="K829" s="2298"/>
      <c r="L829" s="2299"/>
      <c r="M829" s="2249"/>
      <c r="N829" s="2249"/>
      <c r="O829" s="2249"/>
      <c r="P829" s="2249"/>
      <c r="Q829" s="2249"/>
      <c r="R829" s="2249"/>
      <c r="S829" s="2249"/>
      <c r="T829" s="2249"/>
      <c r="U829" s="2249"/>
      <c r="V829" s="2249"/>
      <c r="W829" s="2249"/>
      <c r="X829" s="2249"/>
      <c r="Y829" s="2249"/>
      <c r="Z829" s="2249"/>
      <c r="AA829" s="2249"/>
      <c r="AB829" s="2249"/>
      <c r="AC829" s="2226"/>
      <c r="AD829" s="2227"/>
      <c r="AE829" s="2227"/>
      <c r="AF829" s="2228"/>
      <c r="AG829" s="2226"/>
      <c r="AH829" s="2227"/>
      <c r="AI829" s="2227"/>
      <c r="AJ829" s="222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3" t="s">
        <v>129</v>
      </c>
      <c r="D830" s="2154"/>
      <c r="E830" s="2154"/>
      <c r="F830" s="2154"/>
      <c r="G830" s="2154"/>
      <c r="H830" s="2154"/>
      <c r="I830" s="2154"/>
      <c r="J830" s="2154"/>
      <c r="K830" s="2154"/>
      <c r="L830" s="2156"/>
      <c r="M830" s="2283">
        <f>SUM(M823:P829)</f>
        <v>0</v>
      </c>
      <c r="N830" s="2283"/>
      <c r="O830" s="2283"/>
      <c r="P830" s="2283"/>
      <c r="Q830" s="2283">
        <f>SUM(Q823:T829)</f>
        <v>39</v>
      </c>
      <c r="R830" s="2283"/>
      <c r="S830" s="2283"/>
      <c r="T830" s="2283"/>
      <c r="U830" s="2283">
        <f>SUM(U823:X829)</f>
        <v>55</v>
      </c>
      <c r="V830" s="2283"/>
      <c r="W830" s="2283"/>
      <c r="X830" s="2283"/>
      <c r="Y830" s="2283">
        <f>SUM(Y823:AB829)</f>
        <v>71</v>
      </c>
      <c r="Z830" s="2283"/>
      <c r="AA830" s="2283"/>
      <c r="AB830" s="2283"/>
      <c r="AC830" s="2283">
        <f>SUM(AC823:AF829)</f>
        <v>0</v>
      </c>
      <c r="AD830" s="2283"/>
      <c r="AE830" s="2283"/>
      <c r="AF830" s="2283"/>
      <c r="AG830" s="2283">
        <f>SUM(AG823:AJ829)</f>
        <v>0</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76" t="s">
        <v>2517</v>
      </c>
      <c r="D835" s="2477"/>
      <c r="E835" s="2477"/>
      <c r="F835" s="2477"/>
      <c r="G835" s="2477"/>
      <c r="H835" s="2477"/>
      <c r="I835" s="2477"/>
      <c r="J835" s="2477"/>
      <c r="K835" s="2477"/>
      <c r="L835" s="2477"/>
      <c r="M835" s="2477"/>
      <c r="N835" s="2477"/>
      <c r="O835" s="2477"/>
      <c r="P835" s="2477"/>
      <c r="Q835" s="2477"/>
      <c r="R835" s="2477"/>
      <c r="S835" s="2477"/>
      <c r="T835" s="2477"/>
      <c r="U835" s="2477"/>
      <c r="V835" s="2477"/>
      <c r="W835" s="2477"/>
      <c r="X835" s="2477"/>
      <c r="Y835" s="2477"/>
      <c r="Z835" s="2477"/>
      <c r="AA835" s="2477"/>
      <c r="AB835" s="2477"/>
      <c r="AC835" s="2477"/>
      <c r="AD835" s="2477"/>
      <c r="AE835" s="2477"/>
      <c r="AF835" s="2477"/>
      <c r="AG835" s="2477"/>
      <c r="AH835" s="2477"/>
      <c r="AI835" s="2477"/>
      <c r="AJ835" s="247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49">
        <v>3772</v>
      </c>
      <c r="X840" s="2149"/>
      <c r="Y840" s="2149"/>
      <c r="Z840" s="2149"/>
      <c r="AA840" s="2149"/>
      <c r="AB840" s="2149"/>
      <c r="AC840" s="214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49"/>
      <c r="X841" s="2149"/>
      <c r="Y841" s="2149"/>
      <c r="Z841" s="2149"/>
      <c r="AA841" s="2149"/>
      <c r="AB841" s="2149"/>
      <c r="AC841" s="214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49"/>
      <c r="X842" s="2149"/>
      <c r="Y842" s="2149"/>
      <c r="Z842" s="2149"/>
      <c r="AA842" s="2149"/>
      <c r="AB842" s="2149"/>
      <c r="AC842" s="214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49">
        <v>7216</v>
      </c>
      <c r="X843" s="2149"/>
      <c r="Y843" s="2149"/>
      <c r="Z843" s="2149"/>
      <c r="AA843" s="2149"/>
      <c r="AB843" s="2149"/>
      <c r="AC843" s="214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0" t="s">
        <v>2518</v>
      </c>
      <c r="N844" s="2298"/>
      <c r="O844" s="2298"/>
      <c r="P844" s="2298"/>
      <c r="Q844" s="2298"/>
      <c r="R844" s="2298"/>
      <c r="S844" s="2298"/>
      <c r="T844" s="2298"/>
      <c r="U844" s="2298"/>
      <c r="V844" s="2299"/>
      <c r="W844" s="2149">
        <v>47396</v>
      </c>
      <c r="X844" s="2149"/>
      <c r="Y844" s="2149"/>
      <c r="Z844" s="2149"/>
      <c r="AA844" s="2149"/>
      <c r="AB844" s="2149"/>
      <c r="AC844" s="214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60">
        <f>SUM(W840:AC844)</f>
        <v>58384</v>
      </c>
      <c r="X845" s="2061"/>
      <c r="Y845" s="2061"/>
      <c r="Z845" s="2061"/>
      <c r="AA845" s="2061"/>
      <c r="AB845" s="2061"/>
      <c r="AC845" s="206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53" t="s">
        <v>357</v>
      </c>
      <c r="K847" s="2154"/>
      <c r="L847" s="2154"/>
      <c r="M847" s="2154"/>
      <c r="N847" s="2154"/>
      <c r="O847" s="2154"/>
      <c r="P847" s="2154"/>
      <c r="Q847" s="2154"/>
      <c r="R847" s="2154"/>
      <c r="S847" s="2154"/>
      <c r="T847" s="2154"/>
      <c r="U847" s="2154"/>
      <c r="V847" s="2156"/>
      <c r="W847" s="2018">
        <v>104952</v>
      </c>
      <c r="X847" s="2019"/>
      <c r="Y847" s="2019"/>
      <c r="Z847" s="2019"/>
      <c r="AA847" s="2019"/>
      <c r="AB847" s="2019"/>
      <c r="AC847" s="202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5">
        <v>226484</v>
      </c>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5"/>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5"/>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5"/>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5">
        <f>SUM(W849:AC852)</f>
        <v>226484</v>
      </c>
      <c r="X853" s="2305"/>
      <c r="Y853" s="2305"/>
      <c r="Z853" s="2305"/>
      <c r="AA853" s="2305"/>
      <c r="AB853" s="2305"/>
      <c r="AC853" s="23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6">
        <f>SUM(AZ821:AZ849)</f>
        <v>0</v>
      </c>
      <c r="BA854" s="22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02">
        <v>334430</v>
      </c>
      <c r="X855" s="2303"/>
      <c r="Y855" s="2303"/>
      <c r="Z855" s="2303"/>
      <c r="AA855" s="2303"/>
      <c r="AB855" s="2303"/>
      <c r="AC855" s="230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14"/>
      <c r="U856" s="2178"/>
      <c r="V856" s="231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02"/>
      <c r="X857" s="2303"/>
      <c r="Y857" s="2303"/>
      <c r="Z857" s="2303"/>
      <c r="AA857" s="2303"/>
      <c r="AB857" s="2303"/>
      <c r="AC857" s="230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14"/>
      <c r="U858" s="2178"/>
      <c r="V858" s="231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7" t="s">
        <v>345</v>
      </c>
      <c r="N859" s="2298"/>
      <c r="O859" s="2298"/>
      <c r="P859" s="2298"/>
      <c r="Q859" s="2298"/>
      <c r="R859" s="2298"/>
      <c r="S859" s="2298"/>
      <c r="T859" s="2298"/>
      <c r="U859" s="2298"/>
      <c r="V859" s="2299"/>
      <c r="W859" s="2302"/>
      <c r="X859" s="2303"/>
      <c r="Y859" s="2303"/>
      <c r="Z859" s="2303"/>
      <c r="AA859" s="2303"/>
      <c r="AB859" s="2303"/>
      <c r="AC859" s="230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9">
        <f>SUM(W855:AC859)</f>
        <v>334430</v>
      </c>
      <c r="X860" s="2390"/>
      <c r="Y860" s="2390"/>
      <c r="Z860" s="2390"/>
      <c r="AA860" s="2390"/>
      <c r="AB860" s="2390"/>
      <c r="AC860" s="239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02">
        <v>61008</v>
      </c>
      <c r="X861" s="2303"/>
      <c r="Y861" s="2303"/>
      <c r="Z861" s="2303"/>
      <c r="AA861" s="2303"/>
      <c r="AB861" s="2303"/>
      <c r="AC861" s="230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49">
        <v>12792</v>
      </c>
      <c r="X863" s="2149"/>
      <c r="Y863" s="2149"/>
      <c r="Z863" s="2149"/>
      <c r="AA863" s="2149"/>
      <c r="AB863" s="2149"/>
      <c r="AC863" s="214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49">
        <v>41164</v>
      </c>
      <c r="X864" s="2149"/>
      <c r="Y864" s="2149"/>
      <c r="Z864" s="2149"/>
      <c r="AA864" s="2149"/>
      <c r="AB864" s="2149"/>
      <c r="AC864" s="214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49"/>
      <c r="X865" s="2149"/>
      <c r="Y865" s="2149"/>
      <c r="Z865" s="2149"/>
      <c r="AA865" s="2149"/>
      <c r="AB865" s="2149"/>
      <c r="AC865" s="214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49"/>
      <c r="X866" s="2149"/>
      <c r="Y866" s="2149"/>
      <c r="Z866" s="2149"/>
      <c r="AA866" s="2149"/>
      <c r="AB866" s="2149"/>
      <c r="AC866" s="2149"/>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49">
        <v>37720</v>
      </c>
      <c r="X867" s="2149"/>
      <c r="Y867" s="2149"/>
      <c r="Z867" s="2149"/>
      <c r="AA867" s="2149"/>
      <c r="AB867" s="2149"/>
      <c r="AC867" s="214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49"/>
      <c r="X868" s="2149"/>
      <c r="Y868" s="2149"/>
      <c r="Z868" s="2149"/>
      <c r="AA868" s="2149"/>
      <c r="AB868" s="2149"/>
      <c r="AC868" s="214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7" t="s">
        <v>345</v>
      </c>
      <c r="N869" s="2298"/>
      <c r="O869" s="2298"/>
      <c r="P869" s="2298"/>
      <c r="Q869" s="2298"/>
      <c r="R869" s="2298"/>
      <c r="S869" s="2298"/>
      <c r="T869" s="2298"/>
      <c r="U869" s="2298"/>
      <c r="V869" s="2299"/>
      <c r="W869" s="2149"/>
      <c r="X869" s="2149"/>
      <c r="Y869" s="2149"/>
      <c r="Z869" s="2149"/>
      <c r="AA869" s="2149"/>
      <c r="AB869" s="2149"/>
      <c r="AC869" s="214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50">
        <f>SUM(W863:AC869)</f>
        <v>91676</v>
      </c>
      <c r="X870" s="2150"/>
      <c r="Y870" s="2150"/>
      <c r="Z870" s="2150"/>
      <c r="AA870" s="2150"/>
      <c r="AB870" s="2150"/>
      <c r="AC870" s="21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80" t="s">
        <v>2519</v>
      </c>
      <c r="N872" s="2298"/>
      <c r="O872" s="2298"/>
      <c r="P872" s="2298"/>
      <c r="Q872" s="2298"/>
      <c r="R872" s="2298"/>
      <c r="S872" s="2298"/>
      <c r="T872" s="2298"/>
      <c r="U872" s="2298"/>
      <c r="V872" s="2299"/>
      <c r="W872" s="2018">
        <v>3936</v>
      </c>
      <c r="X872" s="2019"/>
      <c r="Y872" s="2019"/>
      <c r="Z872" s="2019"/>
      <c r="AA872" s="2019"/>
      <c r="AB872" s="2019"/>
      <c r="AC872" s="202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80" t="s">
        <v>2520</v>
      </c>
      <c r="N873" s="2298"/>
      <c r="O873" s="2298"/>
      <c r="P873" s="2298"/>
      <c r="Q873" s="2298"/>
      <c r="R873" s="2298"/>
      <c r="S873" s="2298"/>
      <c r="T873" s="2298"/>
      <c r="U873" s="2298"/>
      <c r="V873" s="2299"/>
      <c r="W873" s="2018">
        <v>4100</v>
      </c>
      <c r="X873" s="2019"/>
      <c r="Y873" s="2019"/>
      <c r="Z873" s="2019"/>
      <c r="AA873" s="2019"/>
      <c r="AB873" s="2019"/>
      <c r="AC873" s="202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7" t="s">
        <v>345</v>
      </c>
      <c r="N874" s="2298"/>
      <c r="O874" s="2298"/>
      <c r="P874" s="2298"/>
      <c r="Q874" s="2298"/>
      <c r="R874" s="2298"/>
      <c r="S874" s="2298"/>
      <c r="T874" s="2298"/>
      <c r="U874" s="2298"/>
      <c r="V874" s="2299"/>
      <c r="W874" s="2018"/>
      <c r="X874" s="2019"/>
      <c r="Y874" s="2019"/>
      <c r="Z874" s="2019"/>
      <c r="AA874" s="2019"/>
      <c r="AB874" s="2019"/>
      <c r="AC874" s="202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7" t="s">
        <v>345</v>
      </c>
      <c r="N875" s="2298"/>
      <c r="O875" s="2298"/>
      <c r="P875" s="2298"/>
      <c r="Q875" s="2298"/>
      <c r="R875" s="2298"/>
      <c r="S875" s="2298"/>
      <c r="T875" s="2298"/>
      <c r="U875" s="2298"/>
      <c r="V875" s="2299"/>
      <c r="W875" s="2018"/>
      <c r="X875" s="2019"/>
      <c r="Y875" s="2019"/>
      <c r="Z875" s="2019"/>
      <c r="AA875" s="2019"/>
      <c r="AB875" s="2019"/>
      <c r="AC875" s="202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7" t="s">
        <v>345</v>
      </c>
      <c r="N876" s="2298"/>
      <c r="O876" s="2298"/>
      <c r="P876" s="2298"/>
      <c r="Q876" s="2298"/>
      <c r="R876" s="2298"/>
      <c r="S876" s="2298"/>
      <c r="T876" s="2298"/>
      <c r="U876" s="2298"/>
      <c r="V876" s="2299"/>
      <c r="W876" s="2018"/>
      <c r="X876" s="2019"/>
      <c r="Y876" s="2019"/>
      <c r="Z876" s="2019"/>
      <c r="AA876" s="2019"/>
      <c r="AB876" s="2019"/>
      <c r="AC876" s="202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60">
        <f>SUM(W872:AC876)</f>
        <v>8036</v>
      </c>
      <c r="X877" s="2061"/>
      <c r="Y877" s="2061"/>
      <c r="Z877" s="2061"/>
      <c r="AA877" s="2061"/>
      <c r="AB877" s="2061"/>
      <c r="AC877" s="206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61">
        <f>W845+W853+W860+W861+W870+W877+W847</f>
        <v>884970</v>
      </c>
      <c r="AD881" s="2061"/>
      <c r="AE881" s="2061"/>
      <c r="AF881" s="2061"/>
      <c r="AG881" s="2061"/>
      <c r="AH881" s="206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2">
        <f>O796+O776+G753</f>
        <v>164</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79" t="s">
        <v>33</v>
      </c>
      <c r="F883" s="2479"/>
      <c r="G883" s="2479"/>
      <c r="H883" s="2479"/>
      <c r="I883" s="2479"/>
      <c r="J883" s="2479"/>
      <c r="K883" s="2479"/>
      <c r="L883" s="2479"/>
      <c r="M883" s="2479"/>
      <c r="N883" s="2479"/>
      <c r="O883" s="2479"/>
      <c r="P883" s="2479"/>
      <c r="Q883" s="2479"/>
      <c r="R883" s="2479"/>
      <c r="S883" s="2479"/>
      <c r="T883" s="2479"/>
      <c r="U883" s="2479"/>
      <c r="V883" s="2479"/>
      <c r="W883" s="2479"/>
      <c r="X883" s="2479"/>
      <c r="Y883" s="2479"/>
      <c r="Z883" s="2479"/>
      <c r="AA883" s="2479"/>
      <c r="AB883" s="2480"/>
      <c r="AC883" s="2150">
        <f>IF(ISERROR((ROUNDDOWN(AC881/AC882,0))),0,(ROUNDDOWN(AC881/AC882,0)))</f>
        <v>5396</v>
      </c>
      <c r="AD883" s="2150"/>
      <c r="AE883" s="2150"/>
      <c r="AF883" s="2150"/>
      <c r="AG883" s="2150"/>
      <c r="AH883" s="21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00">
        <v>599189</v>
      </c>
      <c r="AD884" s="2301"/>
      <c r="AE884" s="2301"/>
      <c r="AF884" s="2301"/>
      <c r="AG884" s="2301"/>
      <c r="AH884" s="230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20"/>
      <c r="AD885" s="2149"/>
      <c r="AE885" s="2149"/>
      <c r="AF885" s="2149"/>
      <c r="AG885" s="2149"/>
      <c r="AH885" s="214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9">
        <v>21800</v>
      </c>
      <c r="AD886" s="2019"/>
      <c r="AE886" s="2019"/>
      <c r="AF886" s="2019"/>
      <c r="AG886" s="2019"/>
      <c r="AH886" s="202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9">
        <v>49200</v>
      </c>
      <c r="AD887" s="2019"/>
      <c r="AE887" s="2019"/>
      <c r="AF887" s="2019"/>
      <c r="AG887" s="2019"/>
      <c r="AH887" s="202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26"/>
      <c r="AD888" s="2227"/>
      <c r="AE888" s="2227"/>
      <c r="AF888" s="2227"/>
      <c r="AG888" s="2227"/>
      <c r="AH888" s="222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9"/>
      <c r="AD889" s="2019"/>
      <c r="AE889" s="2019"/>
      <c r="AF889" s="2019"/>
      <c r="AG889" s="2019"/>
      <c r="AH889" s="202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19">
        <v>9840</v>
      </c>
      <c r="AD890" s="2019"/>
      <c r="AE890" s="2019"/>
      <c r="AF890" s="2019"/>
      <c r="AG890" s="2019"/>
      <c r="AH890" s="202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41" t="s">
        <v>1038</v>
      </c>
      <c r="D891" s="2142"/>
      <c r="E891" s="2142"/>
      <c r="F891" s="2142"/>
      <c r="G891" s="2142"/>
      <c r="H891" s="2142"/>
      <c r="I891" s="2142"/>
      <c r="J891" s="2142"/>
      <c r="K891" s="2142"/>
      <c r="L891" s="2142"/>
      <c r="M891" s="2142"/>
      <c r="N891" s="2142"/>
      <c r="O891" s="2142"/>
      <c r="P891" s="2142"/>
      <c r="Q891" s="2142"/>
      <c r="R891" s="2142"/>
      <c r="S891" s="2142"/>
      <c r="T891" s="2142"/>
      <c r="U891" s="2142"/>
      <c r="V891" s="2142"/>
      <c r="W891" s="2142"/>
      <c r="X891" s="2142"/>
      <c r="Y891" s="2142"/>
      <c r="Z891" s="2142"/>
      <c r="AA891" s="2142"/>
      <c r="AB891" s="2143"/>
      <c r="AC891" s="2149"/>
      <c r="AD891" s="2149"/>
      <c r="AE891" s="2149"/>
      <c r="AF891" s="2149"/>
      <c r="AG891" s="2149"/>
      <c r="AH891" s="214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41" t="s">
        <v>1038</v>
      </c>
      <c r="D892" s="2142"/>
      <c r="E892" s="2142"/>
      <c r="F892" s="2142"/>
      <c r="G892" s="2142"/>
      <c r="H892" s="2142"/>
      <c r="I892" s="2142"/>
      <c r="J892" s="2142"/>
      <c r="K892" s="2142"/>
      <c r="L892" s="2142"/>
      <c r="M892" s="2142"/>
      <c r="N892" s="2142"/>
      <c r="O892" s="2142"/>
      <c r="P892" s="2142"/>
      <c r="Q892" s="2142"/>
      <c r="R892" s="2142"/>
      <c r="S892" s="2142"/>
      <c r="T892" s="2142"/>
      <c r="U892" s="2142"/>
      <c r="V892" s="2142"/>
      <c r="W892" s="2142"/>
      <c r="X892" s="2142"/>
      <c r="Y892" s="2142"/>
      <c r="Z892" s="2142"/>
      <c r="AA892" s="2142"/>
      <c r="AB892" s="2143"/>
      <c r="AC892" s="2149"/>
      <c r="AD892" s="2149"/>
      <c r="AE892" s="2149"/>
      <c r="AF892" s="2149"/>
      <c r="AG892" s="2149"/>
      <c r="AH892" s="214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8"/>
      <c r="AA896" s="2019"/>
      <c r="AB896" s="2019"/>
      <c r="AC896" s="2019"/>
      <c r="AD896" s="2019"/>
      <c r="AE896" s="202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8"/>
      <c r="AA897" s="2019"/>
      <c r="AB897" s="2019"/>
      <c r="AC897" s="2019"/>
      <c r="AD897" s="2019"/>
      <c r="AE897" s="202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8"/>
      <c r="AA898" s="2019"/>
      <c r="AB898" s="2019"/>
      <c r="AC898" s="2019"/>
      <c r="AD898" s="2019"/>
      <c r="AE898" s="202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60">
        <f>Z896-(Z897+Z898)</f>
        <v>0</v>
      </c>
      <c r="AA899" s="2061"/>
      <c r="AB899" s="2061"/>
      <c r="AC899" s="2061"/>
      <c r="AD899" s="2061"/>
      <c r="AE899" s="206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7"/>
      <c r="BE901" s="230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6"/>
      <c r="BE902" s="231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8"/>
      <c r="BE903" s="230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8"/>
      <c r="BE904" s="230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8"/>
      <c r="BE905" s="230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7"/>
      <c r="BE906" s="230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47" t="s">
        <v>101</v>
      </c>
      <c r="B907" s="2047"/>
      <c r="C907" s="2047"/>
      <c r="D907" s="2047"/>
      <c r="E907" s="2047"/>
      <c r="F907" s="2047"/>
      <c r="G907" s="2047"/>
      <c r="H907" s="2047"/>
      <c r="I907" s="2047"/>
      <c r="J907" s="2047"/>
      <c r="K907" s="2047"/>
      <c r="L907" s="2047"/>
      <c r="M907" s="2047"/>
      <c r="N907" s="2047"/>
      <c r="O907" s="2047"/>
      <c r="P907" s="2047"/>
      <c r="Q907" s="2047"/>
      <c r="R907" s="2047"/>
      <c r="S907" s="2047"/>
      <c r="T907" s="2047"/>
      <c r="U907" s="2047"/>
      <c r="V907" s="2047"/>
      <c r="W907" s="2047"/>
      <c r="X907" s="2047"/>
      <c r="Y907" s="2047"/>
      <c r="Z907" s="2047"/>
      <c r="AA907" s="2047"/>
      <c r="AB907" s="2047"/>
      <c r="AC907" s="2047"/>
      <c r="AD907" s="2047"/>
      <c r="AE907" s="2047"/>
      <c r="AF907" s="2047"/>
      <c r="AG907" s="2047"/>
      <c r="AH907" s="2047"/>
      <c r="AI907" s="2047"/>
      <c r="AJ907" s="2047"/>
      <c r="AK907" s="2047"/>
      <c r="AL907" s="2047"/>
      <c r="AM907" s="144"/>
      <c r="AN907" s="144"/>
      <c r="AO907" s="144"/>
      <c r="AP907" s="144"/>
      <c r="AQ907" s="144"/>
      <c r="AR907" s="144"/>
      <c r="AS907" s="144"/>
      <c r="AT907" s="144"/>
      <c r="AU907" s="144"/>
      <c r="AV907" s="144"/>
      <c r="AW907" s="144"/>
      <c r="AX907" s="144"/>
      <c r="AY907" s="144"/>
      <c r="AZ907" s="61"/>
      <c r="BA907" s="25"/>
      <c r="BB907" s="127"/>
      <c r="BC907" s="1609"/>
      <c r="BD907" s="2306"/>
      <c r="BE907" s="2306"/>
      <c r="BF907" s="230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48"/>
      <c r="B908" s="2048"/>
      <c r="C908" s="2048"/>
      <c r="D908" s="2048"/>
      <c r="E908" s="2048"/>
      <c r="F908" s="2048"/>
      <c r="G908" s="2048"/>
      <c r="H908" s="2048"/>
      <c r="I908" s="2048"/>
      <c r="J908" s="2048"/>
      <c r="K908" s="2048"/>
      <c r="L908" s="2048"/>
      <c r="M908" s="2048"/>
      <c r="N908" s="2048"/>
      <c r="O908" s="2048"/>
      <c r="P908" s="2048"/>
      <c r="Q908" s="2048"/>
      <c r="R908" s="2048"/>
      <c r="S908" s="2048"/>
      <c r="T908" s="2048"/>
      <c r="U908" s="2048"/>
      <c r="V908" s="2048"/>
      <c r="W908" s="2048"/>
      <c r="X908" s="2048"/>
      <c r="Y908" s="2048"/>
      <c r="Z908" s="2048"/>
      <c r="AA908" s="2048"/>
      <c r="AB908" s="2048"/>
      <c r="AC908" s="2048"/>
      <c r="AD908" s="2048"/>
      <c r="AE908" s="2048"/>
      <c r="AF908" s="2048"/>
      <c r="AG908" s="2048"/>
      <c r="AH908" s="2048"/>
      <c r="AI908" s="2048"/>
      <c r="AJ908" s="2048"/>
      <c r="AK908" s="2048"/>
      <c r="AL908" s="2048"/>
      <c r="AM908" s="144"/>
      <c r="AN908" s="144"/>
      <c r="AO908" s="144"/>
      <c r="AP908" s="144"/>
      <c r="AQ908" s="144"/>
      <c r="AR908" s="144"/>
      <c r="AS908" s="144"/>
      <c r="AT908" s="144"/>
      <c r="AU908" s="144"/>
      <c r="AV908" s="144"/>
      <c r="AW908" s="144"/>
      <c r="AX908" s="144"/>
      <c r="AY908" s="144"/>
      <c r="AZ908" s="61"/>
      <c r="BA908" s="25"/>
      <c r="BB908" s="127"/>
      <c r="BC908" s="1609"/>
      <c r="BD908" s="2294"/>
      <c r="BE908" s="2294"/>
      <c r="BF908" s="229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8"/>
      <c r="BE909" s="230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7"/>
      <c r="BE910" s="230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6" t="s">
        <v>853</v>
      </c>
      <c r="G912" s="2327"/>
      <c r="H912" s="2327"/>
      <c r="I912" s="2327"/>
      <c r="J912" s="2327"/>
      <c r="K912" s="2327"/>
      <c r="L912" s="2327"/>
      <c r="M912" s="2327"/>
      <c r="N912" s="2327"/>
      <c r="O912" s="2327"/>
      <c r="P912" s="2327"/>
      <c r="Q912" s="2327"/>
      <c r="R912" s="2327"/>
      <c r="S912" s="2327"/>
      <c r="T912" s="2328"/>
      <c r="U912" s="2235" t="s">
        <v>32</v>
      </c>
      <c r="V912" s="2151"/>
      <c r="W912" s="2151"/>
      <c r="X912" s="2151"/>
      <c r="Y912" s="2151"/>
      <c r="Z912" s="2151"/>
      <c r="AA912" s="73"/>
      <c r="AB912" s="161"/>
      <c r="AC912" s="161"/>
      <c r="AD912" s="161"/>
      <c r="AE912" s="161"/>
      <c r="AF912" s="162"/>
      <c r="AZ912" s="61"/>
      <c r="BA912" s="1608"/>
      <c r="BB912" s="127"/>
      <c r="BC912" s="127"/>
      <c r="BD912" s="2307"/>
      <c r="BE912" s="230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36" t="s">
        <v>882</v>
      </c>
      <c r="G913" s="2237"/>
      <c r="H913" s="2237"/>
      <c r="I913" s="2237"/>
      <c r="J913" s="2237"/>
      <c r="K913" s="2237"/>
      <c r="L913" s="2237"/>
      <c r="M913" s="2237"/>
      <c r="N913" s="2237"/>
      <c r="O913" s="2237"/>
      <c r="P913" s="2237"/>
      <c r="Q913" s="2237"/>
      <c r="R913" s="2237"/>
      <c r="S913" s="2237"/>
      <c r="T913" s="2238"/>
      <c r="U913" s="2236"/>
      <c r="V913" s="2237"/>
      <c r="W913" s="2237"/>
      <c r="X913" s="2237"/>
      <c r="Y913" s="2237"/>
      <c r="Z913" s="2237"/>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39"/>
      <c r="G914" s="2240"/>
      <c r="H914" s="2240"/>
      <c r="I914" s="2240"/>
      <c r="J914" s="2240"/>
      <c r="K914" s="2240"/>
      <c r="L914" s="2240"/>
      <c r="M914" s="2240"/>
      <c r="N914" s="2240"/>
      <c r="O914" s="2240"/>
      <c r="P914" s="2240"/>
      <c r="Q914" s="2240"/>
      <c r="R914" s="2240"/>
      <c r="S914" s="2240"/>
      <c r="T914" s="2241"/>
      <c r="U914" s="2239"/>
      <c r="V914" s="2240"/>
      <c r="W914" s="2240"/>
      <c r="X914" s="2240"/>
      <c r="Y914" s="2240"/>
      <c r="Z914" s="2240"/>
      <c r="AA914" s="164"/>
      <c r="AB914" s="2317" t="s">
        <v>412</v>
      </c>
      <c r="AC914" s="2317"/>
      <c r="AD914" s="2317"/>
      <c r="AE914" s="2317"/>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9" t="s">
        <v>579</v>
      </c>
      <c r="V915" s="2027"/>
      <c r="W915" s="2027"/>
      <c r="X915" s="2027"/>
      <c r="Y915" s="2027"/>
      <c r="Z915" s="2028"/>
      <c r="AA915" s="2310">
        <v>33850000</v>
      </c>
      <c r="AB915" s="2013"/>
      <c r="AC915" s="2013"/>
      <c r="AD915" s="2013"/>
      <c r="AE915" s="2013"/>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9" t="s">
        <v>579</v>
      </c>
      <c r="V916" s="2027"/>
      <c r="W916" s="2027"/>
      <c r="X916" s="2027"/>
      <c r="Y916" s="2027"/>
      <c r="Z916" s="2028"/>
      <c r="AA916" s="2310">
        <v>11790000</v>
      </c>
      <c r="AB916" s="2013"/>
      <c r="AC916" s="2013"/>
      <c r="AD916" s="2013"/>
      <c r="AE916" s="2013"/>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9" t="s">
        <v>627</v>
      </c>
      <c r="V917" s="2027"/>
      <c r="W917" s="2027"/>
      <c r="X917" s="2027"/>
      <c r="Y917" s="2027"/>
      <c r="Z917" s="2028"/>
      <c r="AA917" s="2310"/>
      <c r="AB917" s="2013"/>
      <c r="AC917" s="2013"/>
      <c r="AD917" s="2013"/>
      <c r="AE917" s="2013"/>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9" t="s">
        <v>627</v>
      </c>
      <c r="V918" s="2027"/>
      <c r="W918" s="2027"/>
      <c r="X918" s="2027"/>
      <c r="Y918" s="2027"/>
      <c r="Z918" s="2028"/>
      <c r="AA918" s="2310"/>
      <c r="AB918" s="2013"/>
      <c r="AC918" s="2013"/>
      <c r="AD918" s="2013"/>
      <c r="AE918" s="2013"/>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9" t="s">
        <v>627</v>
      </c>
      <c r="V919" s="2027"/>
      <c r="W919" s="2027"/>
      <c r="X919" s="2027"/>
      <c r="Y919" s="2027"/>
      <c r="Z919" s="2028"/>
      <c r="AA919" s="2310"/>
      <c r="AB919" s="2013"/>
      <c r="AC919" s="2013"/>
      <c r="AD919" s="2013"/>
      <c r="AE919" s="2013"/>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9" t="s">
        <v>627</v>
      </c>
      <c r="V920" s="2027"/>
      <c r="W920" s="2027"/>
      <c r="X920" s="2027"/>
      <c r="Y920" s="2027"/>
      <c r="Z920" s="2028"/>
      <c r="AA920" s="2310"/>
      <c r="AB920" s="2013"/>
      <c r="AC920" s="2013"/>
      <c r="AD920" s="2013"/>
      <c r="AE920" s="2013"/>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9" t="s">
        <v>627</v>
      </c>
      <c r="V921" s="2027"/>
      <c r="W921" s="2027"/>
      <c r="X921" s="2027"/>
      <c r="Y921" s="2027"/>
      <c r="Z921" s="2028"/>
      <c r="AA921" s="2310"/>
      <c r="AB921" s="2013"/>
      <c r="AC921" s="2013"/>
      <c r="AD921" s="2013"/>
      <c r="AE921" s="2013"/>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9" t="s">
        <v>627</v>
      </c>
      <c r="V922" s="2027"/>
      <c r="W922" s="2027"/>
      <c r="X922" s="2027"/>
      <c r="Y922" s="2027"/>
      <c r="Z922" s="2028"/>
      <c r="AA922" s="2310"/>
      <c r="AB922" s="2013"/>
      <c r="AC922" s="2013"/>
      <c r="AD922" s="2013"/>
      <c r="AE922" s="2013"/>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9" t="s">
        <v>627</v>
      </c>
      <c r="V923" s="2027"/>
      <c r="W923" s="2027"/>
      <c r="X923" s="2027"/>
      <c r="Y923" s="2027"/>
      <c r="Z923" s="2028"/>
      <c r="AA923" s="2310"/>
      <c r="AB923" s="2013"/>
      <c r="AC923" s="2013"/>
      <c r="AD923" s="2013"/>
      <c r="AE923" s="2013"/>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9" t="s">
        <v>627</v>
      </c>
      <c r="V924" s="2027"/>
      <c r="W924" s="2027"/>
      <c r="X924" s="2027"/>
      <c r="Y924" s="2027"/>
      <c r="Z924" s="2028"/>
      <c r="AA924" s="2310"/>
      <c r="AB924" s="2013"/>
      <c r="AC924" s="2013"/>
      <c r="AD924" s="2013"/>
      <c r="AE924" s="2013"/>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09" t="s">
        <v>627</v>
      </c>
      <c r="V925" s="2027"/>
      <c r="W925" s="2027"/>
      <c r="X925" s="2027"/>
      <c r="Y925" s="2027"/>
      <c r="Z925" s="2028"/>
      <c r="AA925" s="2310"/>
      <c r="AB925" s="2013"/>
      <c r="AC925" s="2013"/>
      <c r="AD925" s="2013"/>
      <c r="AE925" s="2013"/>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9" t="s">
        <v>627</v>
      </c>
      <c r="V926" s="2027"/>
      <c r="W926" s="2027"/>
      <c r="X926" s="2027"/>
      <c r="Y926" s="2027"/>
      <c r="Z926" s="2028"/>
      <c r="AA926" s="2310"/>
      <c r="AB926" s="2013"/>
      <c r="AC926" s="2013"/>
      <c r="AD926" s="2013"/>
      <c r="AE926" s="2013"/>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9" t="s">
        <v>627</v>
      </c>
      <c r="V927" s="2027"/>
      <c r="W927" s="2027"/>
      <c r="X927" s="2027"/>
      <c r="Y927" s="2027"/>
      <c r="Z927" s="2028"/>
      <c r="AA927" s="2310"/>
      <c r="AB927" s="2013"/>
      <c r="AC927" s="2013"/>
      <c r="AD927" s="2013"/>
      <c r="AE927" s="2013"/>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9" t="s">
        <v>627</v>
      </c>
      <c r="V928" s="2027"/>
      <c r="W928" s="2027"/>
      <c r="X928" s="2027"/>
      <c r="Y928" s="2027"/>
      <c r="Z928" s="2028"/>
      <c r="AA928" s="2310"/>
      <c r="AB928" s="2013"/>
      <c r="AC928" s="2013"/>
      <c r="AD928" s="2013"/>
      <c r="AE928" s="2013"/>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9" t="s">
        <v>627</v>
      </c>
      <c r="V929" s="2027"/>
      <c r="W929" s="2027"/>
      <c r="X929" s="2027"/>
      <c r="Y929" s="2027"/>
      <c r="Z929" s="2028"/>
      <c r="AA929" s="2310"/>
      <c r="AB929" s="2013"/>
      <c r="AC929" s="2013"/>
      <c r="AD929" s="2013"/>
      <c r="AE929" s="2013"/>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9" t="s">
        <v>707</v>
      </c>
      <c r="Q930" s="2027"/>
      <c r="R930" s="2027"/>
      <c r="S930" s="2027"/>
      <c r="T930" s="2028"/>
      <c r="U930" s="2309" t="s">
        <v>627</v>
      </c>
      <c r="V930" s="2027"/>
      <c r="W930" s="2027"/>
      <c r="X930" s="2027"/>
      <c r="Y930" s="2027"/>
      <c r="Z930" s="2028"/>
      <c r="AA930" s="2310"/>
      <c r="AB930" s="2013"/>
      <c r="AC930" s="2013"/>
      <c r="AD930" s="2013"/>
      <c r="AE930" s="2013"/>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84" t="s">
        <v>345</v>
      </c>
      <c r="J931" s="2321"/>
      <c r="K931" s="2321"/>
      <c r="L931" s="2321"/>
      <c r="M931" s="2321"/>
      <c r="N931" s="2321"/>
      <c r="O931" s="2321"/>
      <c r="P931" s="2321"/>
      <c r="Q931" s="2321"/>
      <c r="R931" s="2321"/>
      <c r="S931" s="2321"/>
      <c r="T931" s="2322"/>
      <c r="U931" s="2309" t="s">
        <v>627</v>
      </c>
      <c r="V931" s="2027"/>
      <c r="W931" s="2027"/>
      <c r="X931" s="2027"/>
      <c r="Y931" s="2027"/>
      <c r="Z931" s="2028"/>
      <c r="AA931" s="2310"/>
      <c r="AB931" s="2013"/>
      <c r="AC931" s="2013"/>
      <c r="AD931" s="2013"/>
      <c r="AE931" s="2013"/>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4" t="s">
        <v>2512</v>
      </c>
      <c r="J932" s="2285"/>
      <c r="K932" s="2285"/>
      <c r="L932" s="2285"/>
      <c r="M932" s="2285"/>
      <c r="N932" s="2285"/>
      <c r="O932" s="2285"/>
      <c r="P932" s="2285"/>
      <c r="Q932" s="2285"/>
      <c r="R932" s="2285"/>
      <c r="S932" s="2285"/>
      <c r="T932" s="2286"/>
      <c r="U932" s="2309" t="s">
        <v>579</v>
      </c>
      <c r="V932" s="2027"/>
      <c r="W932" s="2027"/>
      <c r="X932" s="2027"/>
      <c r="Y932" s="2027"/>
      <c r="Z932" s="2028"/>
      <c r="AA932" s="2310">
        <v>4428000</v>
      </c>
      <c r="AB932" s="2013"/>
      <c r="AC932" s="2013"/>
      <c r="AD932" s="2013"/>
      <c r="AE932" s="2013"/>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4" t="s">
        <v>2521</v>
      </c>
      <c r="J933" s="2285"/>
      <c r="K933" s="2285"/>
      <c r="L933" s="2285"/>
      <c r="M933" s="2285"/>
      <c r="N933" s="2285"/>
      <c r="O933" s="2285"/>
      <c r="P933" s="2285"/>
      <c r="Q933" s="2285"/>
      <c r="R933" s="2285"/>
      <c r="S933" s="2285"/>
      <c r="T933" s="2286"/>
      <c r="U933" s="2309" t="s">
        <v>579</v>
      </c>
      <c r="V933" s="2027"/>
      <c r="W933" s="2027"/>
      <c r="X933" s="2027"/>
      <c r="Y933" s="2027"/>
      <c r="Z933" s="2028"/>
      <c r="AA933" s="2310">
        <v>5768106</v>
      </c>
      <c r="AB933" s="2013"/>
      <c r="AC933" s="2013"/>
      <c r="AD933" s="2013"/>
      <c r="AE933" s="2013"/>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7" t="s">
        <v>345</v>
      </c>
      <c r="J934" s="2285"/>
      <c r="K934" s="2285"/>
      <c r="L934" s="2285"/>
      <c r="M934" s="2285"/>
      <c r="N934" s="2285"/>
      <c r="O934" s="2285"/>
      <c r="P934" s="2285"/>
      <c r="Q934" s="2285"/>
      <c r="R934" s="2285"/>
      <c r="S934" s="2285"/>
      <c r="T934" s="2286"/>
      <c r="U934" s="2309" t="s">
        <v>627</v>
      </c>
      <c r="V934" s="2027"/>
      <c r="W934" s="2027"/>
      <c r="X934" s="2027"/>
      <c r="Y934" s="2027"/>
      <c r="Z934" s="2028"/>
      <c r="AA934" s="2310"/>
      <c r="AB934" s="2013"/>
      <c r="AC934" s="2013"/>
      <c r="AD934" s="2013"/>
      <c r="AE934" s="2013"/>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2"/>
      <c r="N939" s="2288"/>
      <c r="O939" s="2288"/>
      <c r="P939" s="2288"/>
      <c r="Q939" s="2288"/>
      <c r="R939" s="2288"/>
      <c r="S939" s="2289"/>
      <c r="U939" s="103" t="s">
        <v>11</v>
      </c>
      <c r="V939" s="77"/>
      <c r="W939" s="77"/>
      <c r="X939" s="77"/>
      <c r="Y939" s="77"/>
      <c r="Z939" s="77"/>
      <c r="AA939" s="77"/>
      <c r="AB939" s="77"/>
      <c r="AC939" s="77"/>
      <c r="AD939" s="78"/>
      <c r="AE939" s="2352"/>
      <c r="AF939" s="2288"/>
      <c r="AG939" s="2288"/>
      <c r="AH939" s="2288"/>
      <c r="AI939" s="2288"/>
      <c r="AJ939" s="2288"/>
      <c r="AK939" s="228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9"/>
      <c r="N940" s="2340"/>
      <c r="O940" s="2340"/>
      <c r="P940" s="2340"/>
      <c r="Q940" s="2340"/>
      <c r="R940" s="2340"/>
      <c r="S940" s="2341"/>
      <c r="U940" s="103" t="s">
        <v>12</v>
      </c>
      <c r="V940" s="77"/>
      <c r="W940" s="77"/>
      <c r="X940" s="77"/>
      <c r="Y940" s="77"/>
      <c r="Z940" s="77"/>
      <c r="AA940" s="77"/>
      <c r="AB940" s="77"/>
      <c r="AC940" s="77"/>
      <c r="AD940" s="78"/>
      <c r="AE940" s="2339"/>
      <c r="AF940" s="2340"/>
      <c r="AG940" s="2340"/>
      <c r="AH940" s="2340"/>
      <c r="AI940" s="2340"/>
      <c r="AJ940" s="2340"/>
      <c r="AK940" s="234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42" t="s">
        <v>318</v>
      </c>
      <c r="K941" s="2343"/>
      <c r="L941" s="2343"/>
      <c r="M941" s="2343"/>
      <c r="N941" s="2343"/>
      <c r="O941" s="2343"/>
      <c r="P941" s="2343"/>
      <c r="Q941" s="2343"/>
      <c r="R941" s="2343"/>
      <c r="S941" s="2344"/>
      <c r="U941" s="103" t="s">
        <v>948</v>
      </c>
      <c r="V941" s="77"/>
      <c r="W941" s="77"/>
      <c r="AB941" s="2342" t="s">
        <v>318</v>
      </c>
      <c r="AC941" s="2343"/>
      <c r="AD941" s="2343"/>
      <c r="AE941" s="2343"/>
      <c r="AF941" s="2343"/>
      <c r="AG941" s="2343"/>
      <c r="AH941" s="2343"/>
      <c r="AI941" s="2343"/>
      <c r="AJ941" s="2343"/>
      <c r="AK941" s="234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32"/>
      <c r="N942" s="2333"/>
      <c r="O942" s="2333"/>
      <c r="P942" s="2333"/>
      <c r="Q942" s="2333"/>
      <c r="R942" s="2333"/>
      <c r="S942" s="2334"/>
      <c r="U942" s="103" t="s">
        <v>13</v>
      </c>
      <c r="V942" s="77"/>
      <c r="W942" s="77"/>
      <c r="X942" s="77"/>
      <c r="Y942" s="77"/>
      <c r="Z942" s="77"/>
      <c r="AA942" s="77"/>
      <c r="AB942" s="77"/>
      <c r="AC942" s="77"/>
      <c r="AD942" s="78"/>
      <c r="AE942" s="2351"/>
      <c r="AF942" s="2333"/>
      <c r="AG942" s="2333"/>
      <c r="AH942" s="2333"/>
      <c r="AI942" s="2333"/>
      <c r="AJ942" s="2333"/>
      <c r="AK942" s="233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5"/>
      <c r="N943" s="2336"/>
      <c r="O943" s="2336"/>
      <c r="P943" s="2336"/>
      <c r="Q943" s="2336"/>
      <c r="R943" s="2336"/>
      <c r="S943" s="2337"/>
      <c r="U943" s="103" t="s">
        <v>14</v>
      </c>
      <c r="V943" s="77"/>
      <c r="W943" s="77"/>
      <c r="X943" s="77"/>
      <c r="Y943" s="77"/>
      <c r="Z943" s="77"/>
      <c r="AA943" s="77"/>
      <c r="AB943" s="77"/>
      <c r="AC943" s="77"/>
      <c r="AD943" s="78"/>
      <c r="AE943" s="2335"/>
      <c r="AF943" s="2336"/>
      <c r="AG943" s="2336"/>
      <c r="AH943" s="2336"/>
      <c r="AI943" s="2336"/>
      <c r="AJ943" s="2336"/>
      <c r="AK943" s="23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c r="N944" s="2013"/>
      <c r="O944" s="2013"/>
      <c r="P944" s="2013"/>
      <c r="Q944" s="2013"/>
      <c r="R944" s="2013"/>
      <c r="S944" s="2311"/>
      <c r="U944" s="103" t="s">
        <v>15</v>
      </c>
      <c r="V944" s="77"/>
      <c r="W944" s="77"/>
      <c r="X944" s="77"/>
      <c r="Y944" s="77"/>
      <c r="Z944" s="77"/>
      <c r="AA944" s="77"/>
      <c r="AB944" s="77"/>
      <c r="AC944" s="77"/>
      <c r="AD944" s="78"/>
      <c r="AE944" s="2310"/>
      <c r="AF944" s="2013"/>
      <c r="AG944" s="2013"/>
      <c r="AH944" s="2013"/>
      <c r="AI944" s="2013"/>
      <c r="AJ944" s="2013"/>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c r="N945" s="2013"/>
      <c r="O945" s="2013"/>
      <c r="P945" s="2013"/>
      <c r="Q945" s="2013"/>
      <c r="R945" s="2013"/>
      <c r="S945" s="2311"/>
      <c r="U945" s="103" t="s">
        <v>16</v>
      </c>
      <c r="V945" s="77"/>
      <c r="W945" s="77"/>
      <c r="X945" s="77"/>
      <c r="Y945" s="77"/>
      <c r="Z945" s="77"/>
      <c r="AA945" s="77"/>
      <c r="AB945" s="77"/>
      <c r="AC945" s="77"/>
      <c r="AD945" s="78"/>
      <c r="AE945" s="2310"/>
      <c r="AF945" s="2013"/>
      <c r="AG945" s="2013"/>
      <c r="AH945" s="2013"/>
      <c r="AI945" s="2013"/>
      <c r="AJ945" s="2013"/>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48"/>
      <c r="N946" s="2349"/>
      <c r="O946" s="2349"/>
      <c r="P946" s="2349"/>
      <c r="Q946" s="2349"/>
      <c r="R946" s="2349"/>
      <c r="S946" s="2350"/>
      <c r="U946" s="103" t="s">
        <v>606</v>
      </c>
      <c r="V946" s="77"/>
      <c r="W946" s="77"/>
      <c r="X946" s="77"/>
      <c r="Y946" s="77"/>
      <c r="Z946" s="77"/>
      <c r="AA946" s="77"/>
      <c r="AB946" s="77"/>
      <c r="AC946" s="77"/>
      <c r="AD946" s="78"/>
      <c r="AE946" s="2348"/>
      <c r="AF946" s="2349"/>
      <c r="AG946" s="2349"/>
      <c r="AH946" s="2349"/>
      <c r="AI946" s="2349"/>
      <c r="AJ946" s="2349"/>
      <c r="AK946" s="23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23"/>
      <c r="N951" s="2324"/>
      <c r="O951" s="2324"/>
      <c r="P951" s="2324"/>
      <c r="Q951" s="2324"/>
      <c r="R951" s="2324"/>
      <c r="S951" s="2325"/>
      <c r="T951" s="103" t="s">
        <v>851</v>
      </c>
      <c r="U951" s="77"/>
      <c r="V951" s="77"/>
      <c r="W951" s="77"/>
      <c r="X951" s="77"/>
      <c r="Y951" s="77"/>
      <c r="Z951" s="78"/>
      <c r="AA951" s="2323"/>
      <c r="AB951" s="2324"/>
      <c r="AC951" s="2324"/>
      <c r="AD951" s="2324"/>
      <c r="AE951" s="2324"/>
      <c r="AF951" s="2324"/>
      <c r="AG951" s="23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23"/>
      <c r="N952" s="2324"/>
      <c r="O952" s="2324"/>
      <c r="P952" s="2324"/>
      <c r="Q952" s="2324"/>
      <c r="R952" s="2324"/>
      <c r="S952" s="2325"/>
      <c r="T952" s="103" t="s">
        <v>850</v>
      </c>
      <c r="U952" s="77"/>
      <c r="V952" s="77"/>
      <c r="W952" s="77"/>
      <c r="X952" s="77"/>
      <c r="Y952" s="77"/>
      <c r="Z952" s="78"/>
      <c r="AA952" s="2323"/>
      <c r="AB952" s="2324"/>
      <c r="AC952" s="2324"/>
      <c r="AD952" s="2324"/>
      <c r="AE952" s="2324"/>
      <c r="AF952" s="2324"/>
      <c r="AG952" s="23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4" t="s">
        <v>627</v>
      </c>
      <c r="N953" s="2355"/>
      <c r="O953" s="2355"/>
      <c r="P953" s="2355"/>
      <c r="Q953" s="2355"/>
      <c r="R953" s="2355"/>
      <c r="S953" s="2356"/>
      <c r="T953" s="76" t="s">
        <v>348</v>
      </c>
      <c r="U953" s="77"/>
      <c r="V953" s="77"/>
      <c r="W953" s="77"/>
      <c r="X953" s="77"/>
      <c r="Y953" s="77"/>
      <c r="Z953" s="78"/>
      <c r="AA953" s="2323"/>
      <c r="AB953" s="2324"/>
      <c r="AC953" s="2324"/>
      <c r="AD953" s="2324"/>
      <c r="AE953" s="2324"/>
      <c r="AF953" s="2324"/>
      <c r="AG953" s="23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23"/>
      <c r="N954" s="2324"/>
      <c r="O954" s="2324"/>
      <c r="P954" s="2324"/>
      <c r="Q954" s="2324"/>
      <c r="R954" s="2324"/>
      <c r="S954" s="2325"/>
      <c r="T954" s="76" t="s">
        <v>349</v>
      </c>
      <c r="U954" s="77"/>
      <c r="V954" s="77"/>
      <c r="W954" s="77"/>
      <c r="X954" s="77"/>
      <c r="Y954" s="77"/>
      <c r="Z954" s="78"/>
      <c r="AA954" s="2323"/>
      <c r="AB954" s="2324"/>
      <c r="AC954" s="2324"/>
      <c r="AD954" s="2324"/>
      <c r="AE954" s="2324"/>
      <c r="AF954" s="2324"/>
      <c r="AG954" s="23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23"/>
      <c r="N955" s="2324"/>
      <c r="O955" s="2324"/>
      <c r="P955" s="2324"/>
      <c r="Q955" s="2324"/>
      <c r="R955" s="2324"/>
      <c r="S955" s="2325"/>
      <c r="T955" s="76" t="s">
        <v>396</v>
      </c>
      <c r="U955" s="77"/>
      <c r="V955" s="77"/>
      <c r="W955" s="77"/>
      <c r="X955" s="77"/>
      <c r="Y955" s="77"/>
      <c r="Z955" s="78"/>
      <c r="AA955" s="2323"/>
      <c r="AB955" s="2324"/>
      <c r="AC955" s="2324"/>
      <c r="AD955" s="2324"/>
      <c r="AE955" s="2324"/>
      <c r="AF955" s="2324"/>
      <c r="AG955" s="23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29" t="s">
        <v>318</v>
      </c>
      <c r="N956" s="2330"/>
      <c r="O956" s="2330"/>
      <c r="P956" s="2330"/>
      <c r="Q956" s="2330"/>
      <c r="R956" s="2330"/>
      <c r="S956" s="2331"/>
      <c r="T956" s="2318"/>
      <c r="U956" s="2319"/>
      <c r="V956" s="2319"/>
      <c r="W956" s="2319"/>
      <c r="X956" s="2319"/>
      <c r="Y956" s="2319"/>
      <c r="Z956" s="2320"/>
      <c r="AA956" s="2323"/>
      <c r="AB956" s="2324"/>
      <c r="AC956" s="2324"/>
      <c r="AD956" s="2324"/>
      <c r="AE956" s="2324"/>
      <c r="AF956" s="2324"/>
      <c r="AG956" s="23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23"/>
      <c r="N957" s="2324"/>
      <c r="O957" s="2324"/>
      <c r="P957" s="2324"/>
      <c r="Q957" s="2324"/>
      <c r="R957" s="2324"/>
      <c r="S957" s="2325"/>
      <c r="T957" s="2318"/>
      <c r="U957" s="2319"/>
      <c r="V957" s="2319"/>
      <c r="W957" s="2319"/>
      <c r="X957" s="2319"/>
      <c r="Y957" s="2319"/>
      <c r="Z957" s="2320"/>
      <c r="AA957" s="2323"/>
      <c r="AB957" s="2324"/>
      <c r="AC957" s="2324"/>
      <c r="AD957" s="2324"/>
      <c r="AE957" s="2324"/>
      <c r="AF957" s="2324"/>
      <c r="AG957" s="23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9" t="s">
        <v>707</v>
      </c>
      <c r="P958" s="2110"/>
      <c r="Q958" s="139"/>
      <c r="R958" s="139"/>
      <c r="S958" s="140"/>
      <c r="T958" s="71" t="s">
        <v>175</v>
      </c>
      <c r="U958" s="72"/>
      <c r="V958" s="72"/>
      <c r="W958" s="2297"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55" t="s">
        <v>34</v>
      </c>
      <c r="G959" s="2256"/>
      <c r="H959" s="2256"/>
      <c r="I959" s="2256"/>
      <c r="J959" s="2256"/>
      <c r="K959" s="2256"/>
      <c r="L959" s="2256"/>
      <c r="M959" s="2323"/>
      <c r="N959" s="2324"/>
      <c r="O959" s="2324"/>
      <c r="P959" s="2324"/>
      <c r="Q959" s="2324"/>
      <c r="R959" s="2324"/>
      <c r="S959" s="2325"/>
      <c r="T959" s="79"/>
      <c r="U959" s="80"/>
      <c r="V959" s="80"/>
      <c r="W959" s="80"/>
      <c r="X959" s="80"/>
      <c r="Y959" s="80"/>
      <c r="Z959" s="188" t="s">
        <v>139</v>
      </c>
      <c r="AA959" s="2345"/>
      <c r="AB959" s="2346"/>
      <c r="AC959" s="2346"/>
      <c r="AD959" s="2346"/>
      <c r="AE959" s="2346"/>
      <c r="AF959" s="2346"/>
      <c r="AG959" s="234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09" t="s">
        <v>582</v>
      </c>
      <c r="B963" s="2409"/>
      <c r="C963" s="2409"/>
      <c r="D963" s="2409"/>
      <c r="E963" s="2409"/>
      <c r="F963" s="2409"/>
      <c r="G963" s="2409"/>
      <c r="H963" s="2409"/>
      <c r="I963" s="2409"/>
      <c r="J963" s="2409"/>
      <c r="K963" s="2409"/>
      <c r="L963" s="2409"/>
      <c r="M963" s="2409"/>
      <c r="N963" s="2409"/>
      <c r="O963" s="2409"/>
      <c r="P963" s="2409"/>
      <c r="Q963" s="2409"/>
      <c r="R963" s="2409"/>
      <c r="S963" s="2409"/>
      <c r="T963" s="2409"/>
      <c r="U963" s="2409"/>
      <c r="V963" s="2409"/>
      <c r="W963" s="2409"/>
      <c r="X963" s="2409"/>
      <c r="Y963" s="2409"/>
      <c r="Z963" s="2409"/>
      <c r="AA963" s="2409"/>
      <c r="AB963" s="2409"/>
      <c r="AC963" s="2409"/>
      <c r="AD963" s="2409"/>
      <c r="AE963" s="2409"/>
      <c r="AF963" s="2409"/>
      <c r="AG963" s="2409"/>
      <c r="AH963" s="2409"/>
      <c r="AI963" s="2409"/>
      <c r="AJ963" s="2409"/>
      <c r="AK963" s="2409"/>
      <c r="AL963" s="2409"/>
      <c r="AM963" s="2409"/>
      <c r="AN963" s="2409"/>
      <c r="AO963" s="2409"/>
      <c r="AP963" s="2409"/>
      <c r="AQ963" s="2409"/>
      <c r="AR963" s="2409"/>
      <c r="AS963" s="24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09"/>
      <c r="B964" s="2409"/>
      <c r="C964" s="2409"/>
      <c r="D964" s="2409"/>
      <c r="E964" s="2409"/>
      <c r="F964" s="2409"/>
      <c r="G964" s="2409"/>
      <c r="H964" s="2409"/>
      <c r="I964" s="2409"/>
      <c r="J964" s="2409"/>
      <c r="K964" s="2409"/>
      <c r="L964" s="2409"/>
      <c r="M964" s="2409"/>
      <c r="N964" s="2409"/>
      <c r="O964" s="2409"/>
      <c r="P964" s="2409"/>
      <c r="Q964" s="2409"/>
      <c r="R964" s="2409"/>
      <c r="S964" s="2409"/>
      <c r="T964" s="2409"/>
      <c r="U964" s="2409"/>
      <c r="V964" s="2409"/>
      <c r="W964" s="2409"/>
      <c r="X964" s="2409"/>
      <c r="Y964" s="2409"/>
      <c r="Z964" s="2409"/>
      <c r="AA964" s="2409"/>
      <c r="AB964" s="2409"/>
      <c r="AC964" s="2409"/>
      <c r="AD964" s="2409"/>
      <c r="AE964" s="2409"/>
      <c r="AF964" s="2409"/>
      <c r="AG964" s="2409"/>
      <c r="AH964" s="2409"/>
      <c r="AI964" s="2409"/>
      <c r="AJ964" s="2409"/>
      <c r="AK964" s="2409"/>
      <c r="AL964" s="2409"/>
      <c r="AM964" s="2409"/>
      <c r="AN964" s="2409"/>
      <c r="AO964" s="2409"/>
      <c r="AP964" s="2409"/>
      <c r="AQ964" s="2409"/>
      <c r="AR964" s="2409"/>
      <c r="AS964" s="24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482" t="s">
        <v>674</v>
      </c>
      <c r="E968" s="2483"/>
      <c r="F968" s="2483"/>
      <c r="G968" s="2483"/>
      <c r="H968" s="2483"/>
      <c r="I968" s="2483"/>
      <c r="J968" s="2483"/>
      <c r="K968" s="2483"/>
      <c r="L968" s="2483"/>
      <c r="M968" s="2483"/>
      <c r="N968" s="2483"/>
      <c r="O968" s="2483"/>
      <c r="P968" s="2483"/>
      <c r="Q968" s="2484"/>
      <c r="R968" s="2482" t="s">
        <v>675</v>
      </c>
      <c r="S968" s="2483"/>
      <c r="T968" s="2483"/>
      <c r="U968" s="2483"/>
      <c r="V968" s="2483"/>
      <c r="W968" s="2483"/>
      <c r="X968" s="2483"/>
      <c r="Y968" s="2483"/>
      <c r="Z968" s="2483"/>
      <c r="AA968" s="2484"/>
      <c r="AB968" s="2482" t="s">
        <v>676</v>
      </c>
      <c r="AC968" s="2483"/>
      <c r="AD968" s="2483"/>
      <c r="AE968" s="2483"/>
      <c r="AF968" s="2483"/>
      <c r="AG968" s="2483"/>
      <c r="AH968" s="2483"/>
      <c r="AI968" s="2484"/>
      <c r="AJ968" s="2482" t="s">
        <v>677</v>
      </c>
      <c r="AK968" s="2483"/>
      <c r="AL968" s="2483"/>
      <c r="AM968" s="2483"/>
      <c r="AN968" s="2483"/>
      <c r="AO968" s="2483"/>
      <c r="AP968" s="2483"/>
      <c r="AQ968" s="2484"/>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381" t="s">
        <v>669</v>
      </c>
      <c r="E969" s="2382"/>
      <c r="F969" s="2382"/>
      <c r="G969" s="2382"/>
      <c r="H969" s="2382"/>
      <c r="I969" s="2382"/>
      <c r="J969" s="2382"/>
      <c r="K969" s="2382"/>
      <c r="L969" s="2382"/>
      <c r="M969" s="2382"/>
      <c r="N969" s="2382"/>
      <c r="O969" s="2382"/>
      <c r="P969" s="2382"/>
      <c r="Q969" s="2383"/>
      <c r="R969" s="2475">
        <f>IF(ISNA(IF($BN$799="4%",(INDEX($BP$809:$BT$866,MATCH($CB$799,$BO$809:$BO$866,0),MATCH(D969,$BP$808:$BT$808,0))),(INDEX($BW$809:$CA$866,MATCH($CB$799,$BV$809:$BV$866,0),MATCH(D969,$BW$808:$CA$808,0))))),0,IF($BN$799="4%",(INDEX($BP$809:$BT$866,MATCH($CB$799,$BO$809:$BO$866,0),MATCH(D969,$BP$808:$BT$808,0))),(INDEX($BW$809:$CA$866,MATCH($CB$799,$BV$809:$BV$866,0),MATCH(D969,$BW$808:$CA$808,0)))))</f>
        <v>299104</v>
      </c>
      <c r="S969" s="2475"/>
      <c r="T969" s="2475"/>
      <c r="U969" s="2475"/>
      <c r="V969" s="2475"/>
      <c r="W969" s="2475"/>
      <c r="X969" s="2475"/>
      <c r="Y969" s="2475"/>
      <c r="Z969" s="2475"/>
      <c r="AA969" s="2475"/>
      <c r="AB969" s="2488">
        <f>BN663</f>
        <v>0</v>
      </c>
      <c r="AC969" s="2489"/>
      <c r="AD969" s="2489"/>
      <c r="AE969" s="2489"/>
      <c r="AF969" s="2489"/>
      <c r="AG969" s="2489"/>
      <c r="AH969" s="2489"/>
      <c r="AI969" s="2490"/>
      <c r="AJ969" s="2385">
        <f>IF(ISERROR((R969*AB969)),0,(R969*AB969))</f>
        <v>0</v>
      </c>
      <c r="AK969" s="2386"/>
      <c r="AL969" s="2386"/>
      <c r="AM969" s="2386"/>
      <c r="AN969" s="2386"/>
      <c r="AO969" s="2386"/>
      <c r="AP969" s="2386"/>
      <c r="AQ969" s="2387"/>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381" t="s">
        <v>336</v>
      </c>
      <c r="E970" s="2382"/>
      <c r="F970" s="2382"/>
      <c r="G970" s="2382"/>
      <c r="H970" s="2382"/>
      <c r="I970" s="2382"/>
      <c r="J970" s="2382"/>
      <c r="K970" s="2382"/>
      <c r="L970" s="2382"/>
      <c r="M970" s="2382"/>
      <c r="N970" s="2382"/>
      <c r="O970" s="2382"/>
      <c r="P970" s="2382"/>
      <c r="Q970" s="2383"/>
      <c r="R970" s="2475">
        <f>IF(ISNA(IF($BN$799="4%",(INDEX($BP$809:$BT$866,MATCH($CB$799,$BO$809:$BO$866,0),MATCH(D970,$BP$808:$BT$808,0))),(INDEX($BW$809:$CA$866,MATCH($CB$799,$BV$809:$BV$866,0),MATCH(D970,$BW$808:$CA$808,0))))),0,IF($BN$799="4%",(INDEX($BP$809:$BT$866,MATCH($CB$799,$BO$809:$BO$866,0),MATCH(D970,$BP$808:$BT$808,0))),(INDEX($BW$809:$CA$866,MATCH($CB$799,$BV$809:$BV$866,0),MATCH(D970,$BW$808:$CA$808,0)))))</f>
        <v>344864</v>
      </c>
      <c r="S970" s="2475"/>
      <c r="T970" s="2475"/>
      <c r="U970" s="2475"/>
      <c r="V970" s="2475"/>
      <c r="W970" s="2475"/>
      <c r="X970" s="2475"/>
      <c r="Y970" s="2475"/>
      <c r="Z970" s="2475"/>
      <c r="AA970" s="2475"/>
      <c r="AB970" s="2488">
        <f>BS663</f>
        <v>64</v>
      </c>
      <c r="AC970" s="2489"/>
      <c r="AD970" s="2489"/>
      <c r="AE970" s="2489"/>
      <c r="AF970" s="2489"/>
      <c r="AG970" s="2489"/>
      <c r="AH970" s="2489"/>
      <c r="AI970" s="2490"/>
      <c r="AJ970" s="2385">
        <f>IF(ISERROR((R970*AB970)),0,(R970*AB970))</f>
        <v>22071296</v>
      </c>
      <c r="AK970" s="2386"/>
      <c r="AL970" s="2386"/>
      <c r="AM970" s="2386"/>
      <c r="AN970" s="2386"/>
      <c r="AO970" s="2386"/>
      <c r="AP970" s="2386"/>
      <c r="AQ970" s="2387"/>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1" t="s">
        <v>168</v>
      </c>
      <c r="E971" s="2382"/>
      <c r="F971" s="2382"/>
      <c r="G971" s="2382"/>
      <c r="H971" s="2382"/>
      <c r="I971" s="2382"/>
      <c r="J971" s="2382"/>
      <c r="K971" s="2382"/>
      <c r="L971" s="2382"/>
      <c r="M971" s="2382"/>
      <c r="N971" s="2382"/>
      <c r="O971" s="2382"/>
      <c r="P971" s="2382"/>
      <c r="Q971" s="2383"/>
      <c r="R971" s="2475">
        <f>IF(ISNA(IF($BN$799="4%",(INDEX($BP$809:$BT$866,MATCH($CB$799,$BO$809:$BO$866,0),MATCH(D971,$BP$808:$BT$808,0))),(INDEX($BW$809:$CA$866,MATCH($CB$799,$BV$809:$BV$866,0),MATCH(D971,$BW$808:$CA$808,0))))),0,IF($BN$799="4%",(INDEX($BP$809:$BT$866,MATCH($CB$799,$BO$809:$BO$866,0),MATCH(D971,$BP$808:$BT$808,0))),(INDEX($BW$809:$CA$866,MATCH($CB$799,$BV$809:$BV$866,0),MATCH(D971,$BW$808:$CA$808,0)))))</f>
        <v>416000</v>
      </c>
      <c r="S971" s="2475"/>
      <c r="T971" s="2475"/>
      <c r="U971" s="2475"/>
      <c r="V971" s="2475"/>
      <c r="W971" s="2475"/>
      <c r="X971" s="2475"/>
      <c r="Y971" s="2475"/>
      <c r="Z971" s="2475"/>
      <c r="AA971" s="2475"/>
      <c r="AB971" s="2488">
        <f>BX663</f>
        <v>58</v>
      </c>
      <c r="AC971" s="2489"/>
      <c r="AD971" s="2489"/>
      <c r="AE971" s="2489"/>
      <c r="AF971" s="2489"/>
      <c r="AG971" s="2489"/>
      <c r="AH971" s="2489"/>
      <c r="AI971" s="2490"/>
      <c r="AJ971" s="2385">
        <f>IF(ISERROR((R971*AB971)),0,(R971*AB971))</f>
        <v>24128000</v>
      </c>
      <c r="AK971" s="2386"/>
      <c r="AL971" s="2386"/>
      <c r="AM971" s="2386"/>
      <c r="AN971" s="2386"/>
      <c r="AO971" s="2386"/>
      <c r="AP971" s="2386"/>
      <c r="AQ971" s="2387"/>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381" t="s">
        <v>169</v>
      </c>
      <c r="E972" s="2382"/>
      <c r="F972" s="2382"/>
      <c r="G972" s="2382"/>
      <c r="H972" s="2382"/>
      <c r="I972" s="2382"/>
      <c r="J972" s="2382"/>
      <c r="K972" s="2382"/>
      <c r="L972" s="2382"/>
      <c r="M972" s="2382"/>
      <c r="N972" s="2382"/>
      <c r="O972" s="2382"/>
      <c r="P972" s="2382"/>
      <c r="Q972" s="2383"/>
      <c r="R972" s="2475">
        <f>IF(ISNA(IF($BN$799="4%",(INDEX($BP$809:$BT$866,MATCH($CB$799,$BO$809:$BO$866,0),MATCH(D972,$BP$808:$BT$808,0))),(INDEX($BW$809:$CA$866,MATCH($CB$799,$BV$809:$BV$866,0),MATCH(D972,$BW$808:$CA$808,0))))),0,IF($BN$799="4%",(INDEX($BP$809:$BT$866,MATCH($CB$799,$BO$809:$BO$866,0),MATCH(D972,$BP$808:$BT$808,0))),(INDEX($BW$809:$CA$866,MATCH($CB$799,$BV$809:$BV$866,0),MATCH(D972,$BW$808:$CA$808,0)))))</f>
        <v>532480</v>
      </c>
      <c r="S972" s="2475"/>
      <c r="T972" s="2475"/>
      <c r="U972" s="2475"/>
      <c r="V972" s="2475"/>
      <c r="W972" s="2475"/>
      <c r="X972" s="2475"/>
      <c r="Y972" s="2475"/>
      <c r="Z972" s="2475"/>
      <c r="AA972" s="2475"/>
      <c r="AB972" s="2488">
        <f>CC663</f>
        <v>42</v>
      </c>
      <c r="AC972" s="2489"/>
      <c r="AD972" s="2489"/>
      <c r="AE972" s="2489"/>
      <c r="AF972" s="2489"/>
      <c r="AG972" s="2489"/>
      <c r="AH972" s="2489"/>
      <c r="AI972" s="2490"/>
      <c r="AJ972" s="2385">
        <f>IF(ISERROR((R972*AB972)),0,(R972*AB972))</f>
        <v>22364160</v>
      </c>
      <c r="AK972" s="2386"/>
      <c r="AL972" s="2386"/>
      <c r="AM972" s="2386"/>
      <c r="AN972" s="2386"/>
      <c r="AO972" s="2386"/>
      <c r="AP972" s="2386"/>
      <c r="AQ972" s="2387"/>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1" t="s">
        <v>494</v>
      </c>
      <c r="E973" s="2382"/>
      <c r="F973" s="2382"/>
      <c r="G973" s="2382"/>
      <c r="H973" s="2382"/>
      <c r="I973" s="2382"/>
      <c r="J973" s="2382"/>
      <c r="K973" s="2382"/>
      <c r="L973" s="2382"/>
      <c r="M973" s="2382"/>
      <c r="N973" s="2382"/>
      <c r="O973" s="2382"/>
      <c r="P973" s="2382"/>
      <c r="Q973" s="2383"/>
      <c r="R973" s="2475">
        <f>IF(ISNA(IF($BN$799="4%",(INDEX($BP$809:$BT$866,MATCH($CB$799,$BO$809:$BO$866,0),MATCH(D973,$BP$808:$BT$808,0))),(INDEX($BW$809:$CA$866,MATCH($CB$799,$BV$809:$BV$866,0),MATCH(D973,$BW$808:$CA$808,0))))),0,IF($BN$799="4%",(INDEX($BP$809:$BT$866,MATCH($CB$799,$BO$809:$BO$866,0),MATCH(D973,$BP$808:$BT$808,0))),(INDEX($BW$809:$CA$866,MATCH($CB$799,$BV$809:$BV$866,0),MATCH(D973,$BW$808:$CA$808,0)))))</f>
        <v>593216</v>
      </c>
      <c r="S973" s="2475"/>
      <c r="T973" s="2475"/>
      <c r="U973" s="2475"/>
      <c r="V973" s="2475"/>
      <c r="W973" s="2475"/>
      <c r="X973" s="2475"/>
      <c r="Y973" s="2475"/>
      <c r="Z973" s="2475"/>
      <c r="AA973" s="2475"/>
      <c r="AB973" s="2488">
        <f>CM663+CH663</f>
        <v>0</v>
      </c>
      <c r="AC973" s="2489"/>
      <c r="AD973" s="2489"/>
      <c r="AE973" s="2489"/>
      <c r="AF973" s="2489"/>
      <c r="AG973" s="2489"/>
      <c r="AH973" s="2489"/>
      <c r="AI973" s="2490"/>
      <c r="AJ973" s="2385">
        <f>IF(ISERROR((R973*AB973)),0,(R973*AB973))</f>
        <v>0</v>
      </c>
      <c r="AK973" s="2386"/>
      <c r="AL973" s="2386"/>
      <c r="AM973" s="2386"/>
      <c r="AN973" s="2386"/>
      <c r="AO973" s="2386"/>
      <c r="AP973" s="2386"/>
      <c r="AQ973" s="2387"/>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5" t="s">
        <v>852</v>
      </c>
      <c r="C974" s="2506"/>
      <c r="D974" s="2506"/>
      <c r="E974" s="2506"/>
      <c r="F974" s="2506"/>
      <c r="G974" s="2506"/>
      <c r="H974" s="2506"/>
      <c r="I974" s="2506"/>
      <c r="J974" s="2506"/>
      <c r="K974" s="2506"/>
      <c r="L974" s="2506"/>
      <c r="M974" s="2506"/>
      <c r="N974" s="2506"/>
      <c r="O974" s="2506"/>
      <c r="P974" s="2506"/>
      <c r="Q974" s="2506"/>
      <c r="R974" s="2506"/>
      <c r="S974" s="2506"/>
      <c r="T974" s="2506"/>
      <c r="U974" s="2506"/>
      <c r="V974" s="2506"/>
      <c r="W974" s="2506"/>
      <c r="X974" s="2506"/>
      <c r="Y974" s="2506"/>
      <c r="Z974" s="2506"/>
      <c r="AA974" s="2507"/>
      <c r="AB974" s="2488">
        <f>SUM(AB969:AI973)</f>
        <v>164</v>
      </c>
      <c r="AC974" s="2489"/>
      <c r="AD974" s="2489"/>
      <c r="AE974" s="2489"/>
      <c r="AF974" s="2489"/>
      <c r="AG974" s="2489"/>
      <c r="AH974" s="2489"/>
      <c r="AI974" s="2490"/>
      <c r="AJ974" s="2385"/>
      <c r="AK974" s="2386"/>
      <c r="AL974" s="2386"/>
      <c r="AM974" s="2386"/>
      <c r="AN974" s="2386"/>
      <c r="AO974" s="2386"/>
      <c r="AP974" s="2386"/>
      <c r="AQ974" s="2387"/>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500" t="s">
        <v>546</v>
      </c>
      <c r="C975" s="2501"/>
      <c r="D975" s="2501"/>
      <c r="E975" s="2501"/>
      <c r="F975" s="250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c r="AA975" s="2501"/>
      <c r="AB975" s="2501"/>
      <c r="AC975" s="2501"/>
      <c r="AD975" s="2501"/>
      <c r="AE975" s="2501"/>
      <c r="AF975" s="2501"/>
      <c r="AG975" s="2501"/>
      <c r="AH975" s="2501"/>
      <c r="AI975" s="2502"/>
      <c r="AJ975" s="2385">
        <f>SUM(AJ969:AQ973)</f>
        <v>68563456</v>
      </c>
      <c r="AK975" s="2386"/>
      <c r="AL975" s="2386"/>
      <c r="AM975" s="2386"/>
      <c r="AN975" s="2386"/>
      <c r="AO975" s="2386"/>
      <c r="AP975" s="2386"/>
      <c r="AQ975" s="2387"/>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50"/>
      <c r="C976" s="2451"/>
      <c r="D976" s="2451"/>
      <c r="E976" s="2451"/>
      <c r="F976" s="2451"/>
      <c r="G976" s="2451"/>
      <c r="H976" s="2451"/>
      <c r="I976" s="2451"/>
      <c r="J976" s="2451"/>
      <c r="K976" s="2451"/>
      <c r="L976" s="2451"/>
      <c r="M976" s="2451"/>
      <c r="N976" s="2451"/>
      <c r="O976" s="2451"/>
      <c r="P976" s="2451"/>
      <c r="Q976" s="2451"/>
      <c r="R976" s="2451"/>
      <c r="S976" s="2451"/>
      <c r="T976" s="2451"/>
      <c r="U976" s="2451"/>
      <c r="V976" s="2451"/>
      <c r="W976" s="2451"/>
      <c r="X976" s="2451"/>
      <c r="Y976" s="2451"/>
      <c r="Z976" s="2451"/>
      <c r="AA976" s="2451"/>
      <c r="AB976" s="2451"/>
      <c r="AC976" s="2451"/>
      <c r="AD976" s="2451"/>
      <c r="AE976" s="2452"/>
      <c r="AF976" s="2453" t="s">
        <v>704</v>
      </c>
      <c r="AG976" s="2454"/>
      <c r="AH976" s="2454"/>
      <c r="AI976" s="2455"/>
      <c r="AJ976" s="2450"/>
      <c r="AK976" s="2451"/>
      <c r="AL976" s="2451"/>
      <c r="AM976" s="2451"/>
      <c r="AN976" s="2451"/>
      <c r="AO976" s="2451"/>
      <c r="AP976" s="2451"/>
      <c r="AQ976" s="2452"/>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72" t="s">
        <v>1438</v>
      </c>
      <c r="E977" s="2473"/>
      <c r="F977" s="2473"/>
      <c r="G977" s="2473"/>
      <c r="H977" s="2473"/>
      <c r="I977" s="2473"/>
      <c r="J977" s="2473"/>
      <c r="K977" s="2473"/>
      <c r="L977" s="2473"/>
      <c r="M977" s="2473"/>
      <c r="N977" s="2473"/>
      <c r="O977" s="2473"/>
      <c r="P977" s="2473"/>
      <c r="Q977" s="2473"/>
      <c r="R977" s="2473"/>
      <c r="S977" s="2473"/>
      <c r="T977" s="2473"/>
      <c r="U977" s="2473"/>
      <c r="V977" s="2473"/>
      <c r="W977" s="2473"/>
      <c r="X977" s="2473"/>
      <c r="Y977" s="2473"/>
      <c r="Z977" s="2473"/>
      <c r="AA977" s="2473"/>
      <c r="AB977" s="2473"/>
      <c r="AC977" s="2473"/>
      <c r="AD977" s="2473"/>
      <c r="AE977" s="2474"/>
      <c r="AF977" s="117"/>
      <c r="AG977" s="2456" t="s">
        <v>707</v>
      </c>
      <c r="AH977" s="2457"/>
      <c r="AI977" s="125"/>
      <c r="AJ977" s="2464">
        <f>ROUND(IF(AND(AG977="yes",D979&gt;0),AJ975*0.2,0),0)</f>
        <v>0</v>
      </c>
      <c r="AK977" s="2465"/>
      <c r="AL977" s="2465"/>
      <c r="AM977" s="2465"/>
      <c r="AN977" s="2465"/>
      <c r="AO977" s="2465"/>
      <c r="AP977" s="2465"/>
      <c r="AQ977" s="2466"/>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08" t="s">
        <v>1439</v>
      </c>
      <c r="E978" s="2509"/>
      <c r="F978" s="2509"/>
      <c r="G978" s="2509"/>
      <c r="H978" s="2509"/>
      <c r="I978" s="2509"/>
      <c r="J978" s="2509"/>
      <c r="K978" s="2509"/>
      <c r="L978" s="2509"/>
      <c r="M978" s="2509"/>
      <c r="N978" s="2509"/>
      <c r="O978" s="2509"/>
      <c r="P978" s="2509"/>
      <c r="Q978" s="2509"/>
      <c r="R978" s="2509"/>
      <c r="S978" s="2509"/>
      <c r="T978" s="2509"/>
      <c r="U978" s="2509"/>
      <c r="V978" s="2509"/>
      <c r="W978" s="2509"/>
      <c r="X978" s="2509"/>
      <c r="Y978" s="2509"/>
      <c r="Z978" s="2509"/>
      <c r="AA978" s="2509"/>
      <c r="AB978" s="2509"/>
      <c r="AC978" s="2509"/>
      <c r="AD978" s="2509"/>
      <c r="AE978" s="2510"/>
      <c r="AF978" s="110"/>
      <c r="AG978" s="112"/>
      <c r="AH978" s="112"/>
      <c r="AI978" s="121"/>
      <c r="AJ978" s="2467"/>
      <c r="AK978" s="2147"/>
      <c r="AL978" s="2147"/>
      <c r="AM978" s="2147"/>
      <c r="AN978" s="2147"/>
      <c r="AO978" s="2147"/>
      <c r="AP978" s="2147"/>
      <c r="AQ978" s="2468"/>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511"/>
      <c r="E979" s="2512"/>
      <c r="F979" s="2512"/>
      <c r="G979" s="2512"/>
      <c r="H979" s="2512"/>
      <c r="I979" s="2512"/>
      <c r="J979" s="2512"/>
      <c r="K979" s="2512"/>
      <c r="L979" s="2512"/>
      <c r="M979" s="2512"/>
      <c r="N979" s="2512"/>
      <c r="O979" s="2512"/>
      <c r="P979" s="2512"/>
      <c r="Q979" s="2512"/>
      <c r="R979" s="2512"/>
      <c r="S979" s="2512"/>
      <c r="T979" s="2512"/>
      <c r="U979" s="2512"/>
      <c r="V979" s="2512"/>
      <c r="W979" s="2512"/>
      <c r="X979" s="2512"/>
      <c r="Y979" s="2512"/>
      <c r="Z979" s="2512"/>
      <c r="AA979" s="2512"/>
      <c r="AB979" s="2512"/>
      <c r="AC979" s="2512"/>
      <c r="AD979" s="2512"/>
      <c r="AE979" s="2513"/>
      <c r="AF979" s="115"/>
      <c r="AG979" s="11"/>
      <c r="AH979" s="11"/>
      <c r="AI979" s="116"/>
      <c r="AJ979" s="2469"/>
      <c r="AK979" s="2470"/>
      <c r="AL979" s="2470"/>
      <c r="AM979" s="2470"/>
      <c r="AN979" s="2470"/>
      <c r="AO979" s="2470"/>
      <c r="AP979" s="2470"/>
      <c r="AQ979" s="2471"/>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19" t="s">
        <v>1541</v>
      </c>
      <c r="E980" s="2420"/>
      <c r="F980" s="2420"/>
      <c r="G980" s="2420"/>
      <c r="H980" s="2420"/>
      <c r="I980" s="2420"/>
      <c r="J980" s="2420"/>
      <c r="K980" s="2420"/>
      <c r="L980" s="2420"/>
      <c r="M980" s="2420"/>
      <c r="N980" s="2420"/>
      <c r="O980" s="2420"/>
      <c r="P980" s="2420"/>
      <c r="Q980" s="2420"/>
      <c r="R980" s="2420"/>
      <c r="S980" s="2420"/>
      <c r="T980" s="2420"/>
      <c r="U980" s="2420"/>
      <c r="V980" s="2420"/>
      <c r="W980" s="2420"/>
      <c r="X980" s="2420"/>
      <c r="Y980" s="2420"/>
      <c r="Z980" s="2420"/>
      <c r="AA980" s="2420"/>
      <c r="AB980" s="2420"/>
      <c r="AC980" s="2420"/>
      <c r="AD980" s="2420"/>
      <c r="AE980" s="2421"/>
      <c r="AF980" s="117"/>
      <c r="AG980" s="2431" t="s">
        <v>707</v>
      </c>
      <c r="AH980" s="2432"/>
      <c r="AI980" s="125"/>
      <c r="AJ980" s="2464">
        <f>ROUND(IF(AG980="yes",AJ975*0.05,0),0)</f>
        <v>0</v>
      </c>
      <c r="AK980" s="2465"/>
      <c r="AL980" s="2465"/>
      <c r="AM980" s="2465"/>
      <c r="AN980" s="2465"/>
      <c r="AO980" s="2465"/>
      <c r="AP980" s="2465"/>
      <c r="AQ980" s="2466"/>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508" t="s">
        <v>1539</v>
      </c>
      <c r="E981" s="2509"/>
      <c r="F981" s="2509"/>
      <c r="G981" s="2509"/>
      <c r="H981" s="2509"/>
      <c r="I981" s="2509"/>
      <c r="J981" s="2509"/>
      <c r="K981" s="2509"/>
      <c r="L981" s="2509"/>
      <c r="M981" s="2509"/>
      <c r="N981" s="2509"/>
      <c r="O981" s="2509"/>
      <c r="P981" s="2509"/>
      <c r="Q981" s="2509"/>
      <c r="R981" s="2509"/>
      <c r="S981" s="2509"/>
      <c r="T981" s="2509"/>
      <c r="U981" s="2509"/>
      <c r="V981" s="2509"/>
      <c r="W981" s="2509"/>
      <c r="X981" s="2509"/>
      <c r="Y981" s="2509"/>
      <c r="Z981" s="2509"/>
      <c r="AA981" s="2509"/>
      <c r="AB981" s="2509"/>
      <c r="AC981" s="2509"/>
      <c r="AD981" s="2509"/>
      <c r="AE981" s="2510"/>
      <c r="AF981" s="110"/>
      <c r="AG981" s="112"/>
      <c r="AH981" s="112"/>
      <c r="AI981" s="121"/>
      <c r="AJ981" s="2467"/>
      <c r="AK981" s="2147"/>
      <c r="AL981" s="2147"/>
      <c r="AM981" s="2147"/>
      <c r="AN981" s="2147"/>
      <c r="AO981" s="2147"/>
      <c r="AP981" s="2147"/>
      <c r="AQ981" s="2468"/>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08"/>
      <c r="E982" s="2509"/>
      <c r="F982" s="2509"/>
      <c r="G982" s="2509"/>
      <c r="H982" s="2509"/>
      <c r="I982" s="2509"/>
      <c r="J982" s="2509"/>
      <c r="K982" s="2509"/>
      <c r="L982" s="2509"/>
      <c r="M982" s="2509"/>
      <c r="N982" s="2509"/>
      <c r="O982" s="2509"/>
      <c r="P982" s="2509"/>
      <c r="Q982" s="2509"/>
      <c r="R982" s="2509"/>
      <c r="S982" s="2509"/>
      <c r="T982" s="2509"/>
      <c r="U982" s="2509"/>
      <c r="V982" s="2509"/>
      <c r="W982" s="2509"/>
      <c r="X982" s="2509"/>
      <c r="Y982" s="2509"/>
      <c r="Z982" s="2509"/>
      <c r="AA982" s="2509"/>
      <c r="AB982" s="2509"/>
      <c r="AC982" s="2509"/>
      <c r="AD982" s="2509"/>
      <c r="AE982" s="2510"/>
      <c r="AF982" s="110"/>
      <c r="AG982" s="112"/>
      <c r="AH982" s="112"/>
      <c r="AI982" s="121"/>
      <c r="AJ982" s="2467"/>
      <c r="AK982" s="2147"/>
      <c r="AL982" s="2147"/>
      <c r="AM982" s="2147"/>
      <c r="AN982" s="2147"/>
      <c r="AO982" s="2147"/>
      <c r="AP982" s="2147"/>
      <c r="AQ982" s="2468"/>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08"/>
      <c r="E983" s="2509"/>
      <c r="F983" s="2509"/>
      <c r="G983" s="2509"/>
      <c r="H983" s="2509"/>
      <c r="I983" s="2509"/>
      <c r="J983" s="2509"/>
      <c r="K983" s="2509"/>
      <c r="L983" s="2509"/>
      <c r="M983" s="2509"/>
      <c r="N983" s="2509"/>
      <c r="O983" s="2509"/>
      <c r="P983" s="2509"/>
      <c r="Q983" s="2509"/>
      <c r="R983" s="2509"/>
      <c r="S983" s="2509"/>
      <c r="T983" s="2509"/>
      <c r="U983" s="2509"/>
      <c r="V983" s="2509"/>
      <c r="W983" s="2509"/>
      <c r="X983" s="2509"/>
      <c r="Y983" s="2509"/>
      <c r="Z983" s="2509"/>
      <c r="AA983" s="2509"/>
      <c r="AB983" s="2509"/>
      <c r="AC983" s="2509"/>
      <c r="AD983" s="2509"/>
      <c r="AE983" s="2510"/>
      <c r="AF983" s="110"/>
      <c r="AG983" s="112"/>
      <c r="AH983" s="112"/>
      <c r="AI983" s="121"/>
      <c r="AJ983" s="2467"/>
      <c r="AK983" s="2147"/>
      <c r="AL983" s="2147"/>
      <c r="AM983" s="2147"/>
      <c r="AN983" s="2147"/>
      <c r="AO983" s="2147"/>
      <c r="AP983" s="2147"/>
      <c r="AQ983" s="2468"/>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08"/>
      <c r="E984" s="2509"/>
      <c r="F984" s="2509"/>
      <c r="G984" s="2509"/>
      <c r="H984" s="2509"/>
      <c r="I984" s="2509"/>
      <c r="J984" s="2509"/>
      <c r="K984" s="2509"/>
      <c r="L984" s="2509"/>
      <c r="M984" s="2509"/>
      <c r="N984" s="2509"/>
      <c r="O984" s="2509"/>
      <c r="P984" s="2509"/>
      <c r="Q984" s="2509"/>
      <c r="R984" s="2509"/>
      <c r="S984" s="2509"/>
      <c r="T984" s="2509"/>
      <c r="U984" s="2509"/>
      <c r="V984" s="2509"/>
      <c r="W984" s="2509"/>
      <c r="X984" s="2509"/>
      <c r="Y984" s="2509"/>
      <c r="Z984" s="2509"/>
      <c r="AA984" s="2509"/>
      <c r="AB984" s="2509"/>
      <c r="AC984" s="2509"/>
      <c r="AD984" s="2509"/>
      <c r="AE984" s="2510"/>
      <c r="AF984" s="110"/>
      <c r="AG984" s="112"/>
      <c r="AH984" s="112"/>
      <c r="AI984" s="121"/>
      <c r="AJ984" s="2467"/>
      <c r="AK984" s="2147"/>
      <c r="AL984" s="2147"/>
      <c r="AM984" s="2147"/>
      <c r="AN984" s="2147"/>
      <c r="AO984" s="2147"/>
      <c r="AP984" s="2147"/>
      <c r="AQ984" s="2468"/>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4"/>
      <c r="E985" s="2515"/>
      <c r="F985" s="2515"/>
      <c r="G985" s="2515"/>
      <c r="H985" s="2515"/>
      <c r="I985" s="2515"/>
      <c r="J985" s="2515"/>
      <c r="K985" s="2515"/>
      <c r="L985" s="2515"/>
      <c r="M985" s="2515"/>
      <c r="N985" s="2515"/>
      <c r="O985" s="2515"/>
      <c r="P985" s="2515"/>
      <c r="Q985" s="2515"/>
      <c r="R985" s="2515"/>
      <c r="S985" s="2515"/>
      <c r="T985" s="2515"/>
      <c r="U985" s="2515"/>
      <c r="V985" s="2515"/>
      <c r="W985" s="2515"/>
      <c r="X985" s="2515"/>
      <c r="Y985" s="2515"/>
      <c r="Z985" s="2515"/>
      <c r="AA985" s="2515"/>
      <c r="AB985" s="2515"/>
      <c r="AC985" s="2515"/>
      <c r="AD985" s="2515"/>
      <c r="AE985" s="2516"/>
      <c r="AF985" s="115"/>
      <c r="AG985" s="11"/>
      <c r="AH985" s="11"/>
      <c r="AI985" s="116"/>
      <c r="AJ985" s="2469"/>
      <c r="AK985" s="2470"/>
      <c r="AL985" s="2470"/>
      <c r="AM985" s="2470"/>
      <c r="AN985" s="2470"/>
      <c r="AO985" s="2470"/>
      <c r="AP985" s="2470"/>
      <c r="AQ985" s="2471"/>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19" t="s">
        <v>2186</v>
      </c>
      <c r="E986" s="2420"/>
      <c r="F986" s="2420"/>
      <c r="G986" s="2420"/>
      <c r="H986" s="2420"/>
      <c r="I986" s="2420"/>
      <c r="J986" s="2420"/>
      <c r="K986" s="2420"/>
      <c r="L986" s="2420"/>
      <c r="M986" s="2420"/>
      <c r="N986" s="2420"/>
      <c r="O986" s="2420"/>
      <c r="P986" s="2420"/>
      <c r="Q986" s="2420"/>
      <c r="R986" s="2420"/>
      <c r="S986" s="2420"/>
      <c r="T986" s="2420"/>
      <c r="U986" s="2420"/>
      <c r="V986" s="2420"/>
      <c r="W986" s="2420"/>
      <c r="X986" s="2420"/>
      <c r="Y986" s="2420"/>
      <c r="Z986" s="2420"/>
      <c r="AA986" s="2420"/>
      <c r="AB986" s="2420"/>
      <c r="AC986" s="2420"/>
      <c r="AD986" s="2420"/>
      <c r="AE986" s="2421"/>
      <c r="AF986" s="124"/>
      <c r="AG986" s="2431" t="s">
        <v>707</v>
      </c>
      <c r="AH986" s="2432"/>
      <c r="AI986" s="125"/>
      <c r="AJ986" s="2464">
        <f>ROUND(IF(AG986="yes",AJ975*0.1,0),0)</f>
        <v>0</v>
      </c>
      <c r="AK986" s="2465"/>
      <c r="AL986" s="2465"/>
      <c r="AM986" s="2465"/>
      <c r="AN986" s="2465"/>
      <c r="AO986" s="2465"/>
      <c r="AP986" s="2465"/>
      <c r="AQ986" s="2466"/>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22" t="s">
        <v>1540</v>
      </c>
      <c r="E987" s="2423"/>
      <c r="F987" s="2423"/>
      <c r="G987" s="2423"/>
      <c r="H987" s="2423"/>
      <c r="I987" s="2423"/>
      <c r="J987" s="2423"/>
      <c r="K987" s="2423"/>
      <c r="L987" s="2423"/>
      <c r="M987" s="2423"/>
      <c r="N987" s="2423"/>
      <c r="O987" s="2423"/>
      <c r="P987" s="2423"/>
      <c r="Q987" s="2423"/>
      <c r="R987" s="2423"/>
      <c r="S987" s="2423"/>
      <c r="T987" s="2423"/>
      <c r="U987" s="2423"/>
      <c r="V987" s="2423"/>
      <c r="W987" s="2423"/>
      <c r="X987" s="2423"/>
      <c r="Y987" s="2423"/>
      <c r="Z987" s="2423"/>
      <c r="AA987" s="2423"/>
      <c r="AB987" s="2423"/>
      <c r="AC987" s="2423"/>
      <c r="AD987" s="2423"/>
      <c r="AE987" s="2424"/>
      <c r="AF987" s="110"/>
      <c r="AG987" s="25"/>
      <c r="AH987" s="25"/>
      <c r="AI987" s="121"/>
      <c r="AJ987" s="2467"/>
      <c r="AK987" s="2147"/>
      <c r="AL987" s="2147"/>
      <c r="AM987" s="2147"/>
      <c r="AN987" s="2147"/>
      <c r="AO987" s="2147"/>
      <c r="AP987" s="2147"/>
      <c r="AQ987" s="2468"/>
      <c r="AR987" s="1585"/>
      <c r="AS987" s="1585"/>
      <c r="AT987" s="1585"/>
      <c r="AU987" s="1585"/>
      <c r="AV987" s="1585"/>
      <c r="AW987" s="1585"/>
      <c r="AX987" s="1585"/>
      <c r="AY987" s="1585"/>
      <c r="AZ987" s="61"/>
      <c r="BA987" s="1614">
        <f>G753+O796</f>
        <v>163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22"/>
      <c r="E988" s="2423"/>
      <c r="F988" s="2423"/>
      <c r="G988" s="2423"/>
      <c r="H988" s="2423"/>
      <c r="I988" s="2423"/>
      <c r="J988" s="2423"/>
      <c r="K988" s="2423"/>
      <c r="L988" s="2423"/>
      <c r="M988" s="2423"/>
      <c r="N988" s="2423"/>
      <c r="O988" s="2423"/>
      <c r="P988" s="2423"/>
      <c r="Q988" s="2423"/>
      <c r="R988" s="2423"/>
      <c r="S988" s="2423"/>
      <c r="T988" s="2423"/>
      <c r="U988" s="2423"/>
      <c r="V988" s="2423"/>
      <c r="W988" s="2423"/>
      <c r="X988" s="2423"/>
      <c r="Y988" s="2423"/>
      <c r="Z988" s="2423"/>
      <c r="AA988" s="2423"/>
      <c r="AB988" s="2423"/>
      <c r="AC988" s="2423"/>
      <c r="AD988" s="2423"/>
      <c r="AE988" s="2424"/>
      <c r="AF988" s="110"/>
      <c r="AG988" s="112"/>
      <c r="AH988" s="112"/>
      <c r="AI988" s="121"/>
      <c r="AJ988" s="2467"/>
      <c r="AK988" s="2147"/>
      <c r="AL988" s="2147"/>
      <c r="AM988" s="2147"/>
      <c r="AN988" s="2147"/>
      <c r="AO988" s="2147"/>
      <c r="AP988" s="2147"/>
      <c r="AQ988" s="2468"/>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35"/>
      <c r="E989" s="2436"/>
      <c r="F989" s="2436"/>
      <c r="G989" s="2436"/>
      <c r="H989" s="2436"/>
      <c r="I989" s="2436"/>
      <c r="J989" s="2436"/>
      <c r="K989" s="2436"/>
      <c r="L989" s="2436"/>
      <c r="M989" s="2436"/>
      <c r="N989" s="2436"/>
      <c r="O989" s="2436"/>
      <c r="P989" s="2436"/>
      <c r="Q989" s="2436"/>
      <c r="R989" s="2436"/>
      <c r="S989" s="2436"/>
      <c r="T989" s="2436"/>
      <c r="U989" s="2436"/>
      <c r="V989" s="2436"/>
      <c r="W989" s="2436"/>
      <c r="X989" s="2436"/>
      <c r="Y989" s="2436"/>
      <c r="Z989" s="2436"/>
      <c r="AA989" s="2436"/>
      <c r="AB989" s="2436"/>
      <c r="AC989" s="2436"/>
      <c r="AD989" s="2436"/>
      <c r="AE989" s="2437"/>
      <c r="AF989" s="115"/>
      <c r="AG989" s="11"/>
      <c r="AH989" s="11"/>
      <c r="AI989" s="116"/>
      <c r="AJ989" s="2469"/>
      <c r="AK989" s="2470"/>
      <c r="AL989" s="2470"/>
      <c r="AM989" s="2470"/>
      <c r="AN989" s="2470"/>
      <c r="AO989" s="2470"/>
      <c r="AP989" s="2470"/>
      <c r="AQ989" s="2471"/>
      <c r="AR989" s="1585"/>
      <c r="AS989" s="1585"/>
      <c r="AT989" s="1585"/>
      <c r="AU989" s="1585"/>
      <c r="AV989" s="1585"/>
      <c r="AW989" s="1585"/>
      <c r="AX989" s="1585"/>
      <c r="AY989" s="1585"/>
      <c r="AZ989" s="61"/>
      <c r="BA989" s="1613">
        <f>ROUNDDOWN(X1027/I1027,2)</f>
        <v>0.26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19" t="s">
        <v>1542</v>
      </c>
      <c r="E990" s="2420"/>
      <c r="F990" s="2420"/>
      <c r="G990" s="2420"/>
      <c r="H990" s="2420"/>
      <c r="I990" s="2420"/>
      <c r="J990" s="2420"/>
      <c r="K990" s="2420"/>
      <c r="L990" s="2420"/>
      <c r="M990" s="2420"/>
      <c r="N990" s="2420"/>
      <c r="O990" s="2420"/>
      <c r="P990" s="2420"/>
      <c r="Q990" s="2420"/>
      <c r="R990" s="2420"/>
      <c r="S990" s="2420"/>
      <c r="T990" s="2420"/>
      <c r="U990" s="2420"/>
      <c r="V990" s="2420"/>
      <c r="W990" s="2420"/>
      <c r="X990" s="2420"/>
      <c r="Y990" s="2420"/>
      <c r="Z990" s="2420"/>
      <c r="AA990" s="2420"/>
      <c r="AB990" s="2420"/>
      <c r="AC990" s="2420"/>
      <c r="AD990" s="2420"/>
      <c r="AE990" s="2421"/>
      <c r="AF990" s="117"/>
      <c r="AG990" s="2431" t="s">
        <v>707</v>
      </c>
      <c r="AH990" s="2432"/>
      <c r="AI990" s="125"/>
      <c r="AJ990" s="2464">
        <f>ROUND(IF(AG990="yes",AJ975*0.02,0),0)</f>
        <v>0</v>
      </c>
      <c r="AK990" s="2465"/>
      <c r="AL990" s="2465"/>
      <c r="AM990" s="2465"/>
      <c r="AN990" s="2465"/>
      <c r="AO990" s="2465"/>
      <c r="AP990" s="2465"/>
      <c r="AQ990" s="2466"/>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5" t="s">
        <v>1543</v>
      </c>
      <c r="E991" s="2436"/>
      <c r="F991" s="2436"/>
      <c r="G991" s="2436"/>
      <c r="H991" s="2436"/>
      <c r="I991" s="2436"/>
      <c r="J991" s="2436"/>
      <c r="K991" s="2436"/>
      <c r="L991" s="2436"/>
      <c r="M991" s="2436"/>
      <c r="N991" s="2436"/>
      <c r="O991" s="2436"/>
      <c r="P991" s="2436"/>
      <c r="Q991" s="2436"/>
      <c r="R991" s="2436"/>
      <c r="S991" s="2436"/>
      <c r="T991" s="2436"/>
      <c r="U991" s="2436"/>
      <c r="V991" s="2436"/>
      <c r="W991" s="2436"/>
      <c r="X991" s="2436"/>
      <c r="Y991" s="2436"/>
      <c r="Z991" s="2436"/>
      <c r="AA991" s="2436"/>
      <c r="AB991" s="2436"/>
      <c r="AC991" s="2436"/>
      <c r="AD991" s="2436"/>
      <c r="AE991" s="2437"/>
      <c r="AF991" s="115"/>
      <c r="AG991" s="11"/>
      <c r="AH991" s="11"/>
      <c r="AI991" s="116"/>
      <c r="AJ991" s="2469"/>
      <c r="AK991" s="2470"/>
      <c r="AL991" s="2470"/>
      <c r="AM991" s="2470"/>
      <c r="AN991" s="2470"/>
      <c r="AO991" s="2470"/>
      <c r="AP991" s="2470"/>
      <c r="AQ991" s="2471"/>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19" t="s">
        <v>1544</v>
      </c>
      <c r="E992" s="2420"/>
      <c r="F992" s="2420"/>
      <c r="G992" s="2420"/>
      <c r="H992" s="2420"/>
      <c r="I992" s="2420"/>
      <c r="J992" s="2420"/>
      <c r="K992" s="2420"/>
      <c r="L992" s="2420"/>
      <c r="M992" s="2420"/>
      <c r="N992" s="2420"/>
      <c r="O992" s="2420"/>
      <c r="P992" s="2420"/>
      <c r="Q992" s="2420"/>
      <c r="R992" s="2420"/>
      <c r="S992" s="2420"/>
      <c r="T992" s="2420"/>
      <c r="U992" s="2420"/>
      <c r="V992" s="2420"/>
      <c r="W992" s="2420"/>
      <c r="X992" s="2420"/>
      <c r="Y992" s="2420"/>
      <c r="Z992" s="2420"/>
      <c r="AA992" s="2420"/>
      <c r="AB992" s="2420"/>
      <c r="AC992" s="2420"/>
      <c r="AD992" s="2420"/>
      <c r="AE992" s="2421"/>
      <c r="AF992" s="117"/>
      <c r="AG992" s="2431" t="s">
        <v>707</v>
      </c>
      <c r="AH992" s="2432"/>
      <c r="AI992" s="117"/>
      <c r="AJ992" s="2464">
        <f>ROUND(IF(AG992="yes",AJ975*0.02,0),0)</f>
        <v>0</v>
      </c>
      <c r="AK992" s="2465"/>
      <c r="AL992" s="2465"/>
      <c r="AM992" s="2465"/>
      <c r="AN992" s="2465"/>
      <c r="AO992" s="2465"/>
      <c r="AP992" s="2465"/>
      <c r="AQ992" s="2466"/>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22" t="s">
        <v>1545</v>
      </c>
      <c r="E993" s="2423"/>
      <c r="F993" s="2423"/>
      <c r="G993" s="2423"/>
      <c r="H993" s="2423"/>
      <c r="I993" s="2423"/>
      <c r="J993" s="2423"/>
      <c r="K993" s="2423"/>
      <c r="L993" s="2423"/>
      <c r="M993" s="2423"/>
      <c r="N993" s="2423"/>
      <c r="O993" s="2423"/>
      <c r="P993" s="2423"/>
      <c r="Q993" s="2423"/>
      <c r="R993" s="2423"/>
      <c r="S993" s="2423"/>
      <c r="T993" s="2423"/>
      <c r="U993" s="2423"/>
      <c r="V993" s="2423"/>
      <c r="W993" s="2423"/>
      <c r="X993" s="2423"/>
      <c r="Y993" s="2423"/>
      <c r="Z993" s="2423"/>
      <c r="AA993" s="2423"/>
      <c r="AB993" s="2423"/>
      <c r="AC993" s="2423"/>
      <c r="AD993" s="2423"/>
      <c r="AE993" s="2424"/>
      <c r="AF993" s="110"/>
      <c r="AG993" s="25"/>
      <c r="AH993" s="25"/>
      <c r="AI993" s="112"/>
      <c r="AJ993" s="2467"/>
      <c r="AK993" s="2147"/>
      <c r="AL993" s="2147"/>
      <c r="AM993" s="2147"/>
      <c r="AN993" s="2147"/>
      <c r="AO993" s="2147"/>
      <c r="AP993" s="2147"/>
      <c r="AQ993" s="2468"/>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35"/>
      <c r="E994" s="2436"/>
      <c r="F994" s="2436"/>
      <c r="G994" s="2436"/>
      <c r="H994" s="2436"/>
      <c r="I994" s="2436"/>
      <c r="J994" s="2436"/>
      <c r="K994" s="2436"/>
      <c r="L994" s="2436"/>
      <c r="M994" s="2436"/>
      <c r="N994" s="2436"/>
      <c r="O994" s="2436"/>
      <c r="P994" s="2436"/>
      <c r="Q994" s="2436"/>
      <c r="R994" s="2436"/>
      <c r="S994" s="2436"/>
      <c r="T994" s="2436"/>
      <c r="U994" s="2436"/>
      <c r="V994" s="2436"/>
      <c r="W994" s="2436"/>
      <c r="X994" s="2436"/>
      <c r="Y994" s="2436"/>
      <c r="Z994" s="2436"/>
      <c r="AA994" s="2436"/>
      <c r="AB994" s="2436"/>
      <c r="AC994" s="2436"/>
      <c r="AD994" s="2436"/>
      <c r="AE994" s="2437"/>
      <c r="AF994" s="115"/>
      <c r="AG994" s="11"/>
      <c r="AH994" s="11"/>
      <c r="AI994" s="116"/>
      <c r="AJ994" s="2469"/>
      <c r="AK994" s="2470"/>
      <c r="AL994" s="2470"/>
      <c r="AM994" s="2470"/>
      <c r="AN994" s="2470"/>
      <c r="AO994" s="2470"/>
      <c r="AP994" s="2470"/>
      <c r="AQ994" s="2471"/>
      <c r="AR994" s="1585"/>
      <c r="AS994" s="1585"/>
      <c r="AT994" s="1585"/>
      <c r="AU994" s="1585"/>
      <c r="AV994" s="1585"/>
      <c r="AW994" s="1585"/>
      <c r="AX994" s="1585"/>
      <c r="AY994" s="1585"/>
    </row>
    <row r="995" spans="1:96" s="720" customFormat="1" ht="12.75" customHeight="1">
      <c r="A995" s="51"/>
      <c r="B995" s="117"/>
      <c r="C995" s="118" t="s">
        <v>225</v>
      </c>
      <c r="D995" s="2472" t="s">
        <v>1546</v>
      </c>
      <c r="E995" s="2473"/>
      <c r="F995" s="2473"/>
      <c r="G995" s="2473"/>
      <c r="H995" s="2473"/>
      <c r="I995" s="2473"/>
      <c r="J995" s="2473"/>
      <c r="K995" s="2473"/>
      <c r="L995" s="2473"/>
      <c r="M995" s="2473"/>
      <c r="N995" s="2473"/>
      <c r="O995" s="2473"/>
      <c r="P995" s="2473"/>
      <c r="Q995" s="2473"/>
      <c r="R995" s="2473"/>
      <c r="S995" s="2473"/>
      <c r="T995" s="2473"/>
      <c r="U995" s="2473"/>
      <c r="V995" s="2473"/>
      <c r="W995" s="2473"/>
      <c r="X995" s="2473"/>
      <c r="Y995" s="2473"/>
      <c r="Z995" s="2473"/>
      <c r="AA995" s="2473"/>
      <c r="AB995" s="2473"/>
      <c r="AC995" s="2473"/>
      <c r="AD995" s="2473"/>
      <c r="AE995" s="2474"/>
      <c r="AF995" s="117"/>
      <c r="AG995" s="2431" t="s">
        <v>707</v>
      </c>
      <c r="AH995" s="2432"/>
      <c r="AI995" s="125"/>
      <c r="AJ995" s="2464">
        <f>IF(AG995="yes",AJ975*BA995,0)</f>
        <v>0</v>
      </c>
      <c r="AK995" s="2465"/>
      <c r="AL995" s="2465"/>
      <c r="AM995" s="2465"/>
      <c r="AN995" s="2465"/>
      <c r="AO995" s="2465"/>
      <c r="AP995" s="2465"/>
      <c r="AQ995" s="2466"/>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22" t="s">
        <v>1547</v>
      </c>
      <c r="E996" s="2423"/>
      <c r="F996" s="2423"/>
      <c r="G996" s="2423"/>
      <c r="H996" s="2423"/>
      <c r="I996" s="2423"/>
      <c r="J996" s="2423"/>
      <c r="K996" s="2423"/>
      <c r="L996" s="2423"/>
      <c r="M996" s="2423"/>
      <c r="N996" s="2423"/>
      <c r="O996" s="2423"/>
      <c r="P996" s="2423"/>
      <c r="Q996" s="2423"/>
      <c r="R996" s="2423"/>
      <c r="S996" s="2423"/>
      <c r="T996" s="2423"/>
      <c r="U996" s="2423"/>
      <c r="V996" s="2423"/>
      <c r="W996" s="2423"/>
      <c r="X996" s="2423"/>
      <c r="Y996" s="2423"/>
      <c r="Z996" s="2423"/>
      <c r="AA996" s="2423"/>
      <c r="AB996" s="2423"/>
      <c r="AC996" s="2423"/>
      <c r="AD996" s="2423"/>
      <c r="AE996" s="2424"/>
      <c r="AF996" s="110"/>
      <c r="AG996" s="112"/>
      <c r="AH996" s="112"/>
      <c r="AI996" s="121"/>
      <c r="AJ996" s="2467"/>
      <c r="AK996" s="2147"/>
      <c r="AL996" s="2147"/>
      <c r="AM996" s="2147"/>
      <c r="AN996" s="2147"/>
      <c r="AO996" s="2147"/>
      <c r="AP996" s="2147"/>
      <c r="AQ996" s="2468"/>
      <c r="AR996" s="1585"/>
      <c r="AS996" s="1585"/>
      <c r="AT996" s="1585"/>
      <c r="AU996" s="1585"/>
      <c r="AV996" s="1585"/>
      <c r="AW996" s="1585"/>
      <c r="AX996" s="1585"/>
      <c r="AY996" s="1585"/>
    </row>
    <row r="997" spans="1:96" ht="12.75" customHeight="1">
      <c r="A997" s="51"/>
      <c r="B997" s="110"/>
      <c r="C997" s="111"/>
      <c r="D997" s="2422"/>
      <c r="E997" s="2423"/>
      <c r="F997" s="2423"/>
      <c r="G997" s="2423"/>
      <c r="H997" s="2423"/>
      <c r="I997" s="2423"/>
      <c r="J997" s="2423"/>
      <c r="K997" s="2423"/>
      <c r="L997" s="2423"/>
      <c r="M997" s="2423"/>
      <c r="N997" s="2423"/>
      <c r="O997" s="2423"/>
      <c r="P997" s="2423"/>
      <c r="Q997" s="2423"/>
      <c r="R997" s="2423"/>
      <c r="S997" s="2423"/>
      <c r="T997" s="2423"/>
      <c r="U997" s="2423"/>
      <c r="V997" s="2423"/>
      <c r="W997" s="2423"/>
      <c r="X997" s="2423"/>
      <c r="Y997" s="2423"/>
      <c r="Z997" s="2423"/>
      <c r="AA997" s="2423"/>
      <c r="AB997" s="2423"/>
      <c r="AC997" s="2423"/>
      <c r="AD997" s="2423"/>
      <c r="AE997" s="2424"/>
      <c r="AF997" s="110"/>
      <c r="AG997" s="112"/>
      <c r="AH997" s="112"/>
      <c r="AI997" s="121"/>
      <c r="AJ997" s="2467"/>
      <c r="AK997" s="2147"/>
      <c r="AL997" s="2147"/>
      <c r="AM997" s="2147"/>
      <c r="AN997" s="2147"/>
      <c r="AO997" s="2147"/>
      <c r="AP997" s="2147"/>
      <c r="AQ997" s="2468"/>
      <c r="AR997" s="1585"/>
      <c r="AS997" s="1585"/>
      <c r="AT997" s="1585"/>
      <c r="AU997" s="1585"/>
      <c r="AV997" s="1585"/>
      <c r="AW997" s="1585"/>
      <c r="AX997" s="1585"/>
      <c r="AY997" s="1585"/>
      <c r="BA997" s="321">
        <f>IF(A1044="Yes",0.05,0)</f>
        <v>0</v>
      </c>
    </row>
    <row r="998" spans="1:96" ht="15" customHeight="1">
      <c r="A998" s="51"/>
      <c r="B998" s="119"/>
      <c r="C998" s="120"/>
      <c r="D998" s="2435"/>
      <c r="E998" s="2436"/>
      <c r="F998" s="2436"/>
      <c r="G998" s="2436"/>
      <c r="H998" s="2436"/>
      <c r="I998" s="2436"/>
      <c r="J998" s="2436"/>
      <c r="K998" s="2436"/>
      <c r="L998" s="2436"/>
      <c r="M998" s="2436"/>
      <c r="N998" s="2436"/>
      <c r="O998" s="2436"/>
      <c r="P998" s="2436"/>
      <c r="Q998" s="2436"/>
      <c r="R998" s="2436"/>
      <c r="S998" s="2436"/>
      <c r="T998" s="2436"/>
      <c r="U998" s="2436"/>
      <c r="V998" s="2436"/>
      <c r="W998" s="2436"/>
      <c r="X998" s="2436"/>
      <c r="Y998" s="2436"/>
      <c r="Z998" s="2436"/>
      <c r="AA998" s="2436"/>
      <c r="AB998" s="2436"/>
      <c r="AC998" s="2436"/>
      <c r="AD998" s="2436"/>
      <c r="AE998" s="2437"/>
      <c r="AF998" s="115"/>
      <c r="AG998" s="11"/>
      <c r="AH998" s="11"/>
      <c r="AI998" s="116"/>
      <c r="AJ998" s="2469"/>
      <c r="AK998" s="2470"/>
      <c r="AL998" s="2470"/>
      <c r="AM998" s="2470"/>
      <c r="AN998" s="2470"/>
      <c r="AO998" s="2470"/>
      <c r="AP998" s="2470"/>
      <c r="AQ998" s="2471"/>
      <c r="AR998" s="1585"/>
      <c r="AS998" s="1585"/>
      <c r="AT998" s="1585"/>
      <c r="AU998" s="1585"/>
      <c r="AV998" s="1585"/>
      <c r="AW998" s="1585"/>
      <c r="AX998" s="1585"/>
      <c r="AY998" s="1585"/>
      <c r="BA998" s="321">
        <f>IF(A1050="Yes",0.02,0)</f>
        <v>0</v>
      </c>
    </row>
    <row r="999" spans="1:96" s="720" customFormat="1" ht="15" customHeight="1">
      <c r="A999" s="51"/>
      <c r="B999" s="117"/>
      <c r="C999" s="118" t="s">
        <v>230</v>
      </c>
      <c r="D999" s="2529" t="s">
        <v>1548</v>
      </c>
      <c r="E999" s="2530"/>
      <c r="F999" s="2530"/>
      <c r="G999" s="2530"/>
      <c r="H999" s="2530"/>
      <c r="I999" s="2530"/>
      <c r="J999" s="2530"/>
      <c r="K999" s="2530"/>
      <c r="L999" s="2530"/>
      <c r="M999" s="2530"/>
      <c r="N999" s="2530"/>
      <c r="O999" s="2530"/>
      <c r="P999" s="2530"/>
      <c r="Q999" s="2530"/>
      <c r="R999" s="2530"/>
      <c r="S999" s="2530"/>
      <c r="T999" s="2530"/>
      <c r="U999" s="2530"/>
      <c r="V999" s="2530"/>
      <c r="W999" s="2530"/>
      <c r="X999" s="2530"/>
      <c r="Y999" s="2530"/>
      <c r="Z999" s="2530"/>
      <c r="AA999" s="2530"/>
      <c r="AB999" s="2530"/>
      <c r="AC999" s="2530"/>
      <c r="AD999" s="2530"/>
      <c r="AE999" s="2531"/>
      <c r="AF999" s="117"/>
      <c r="AG999" s="2431" t="s">
        <v>707</v>
      </c>
      <c r="AH999" s="2432"/>
      <c r="AI999" s="125"/>
      <c r="AJ999" s="2491"/>
      <c r="AK999" s="2492"/>
      <c r="AL999" s="2492"/>
      <c r="AM999" s="2492"/>
      <c r="AN999" s="2492"/>
      <c r="AO999" s="2492"/>
      <c r="AP999" s="2492"/>
      <c r="AQ999" s="2493"/>
      <c r="AR999" s="1585"/>
      <c r="AS999" s="1585"/>
      <c r="AT999" s="1585"/>
      <c r="AU999" s="1585"/>
      <c r="AV999" s="1585"/>
      <c r="AW999" s="1585"/>
      <c r="AX999" s="1585"/>
      <c r="AY999" s="1585"/>
      <c r="BA999" s="321">
        <f>IF(A1056="Yes",0.04,0)</f>
        <v>0</v>
      </c>
      <c r="CR999" s="25"/>
    </row>
    <row r="1000" spans="1:96" ht="13.2">
      <c r="A1000" s="51"/>
      <c r="B1000" s="119"/>
      <c r="C1000" s="122"/>
      <c r="D1000" s="2532"/>
      <c r="E1000" s="2533"/>
      <c r="F1000" s="2533"/>
      <c r="G1000" s="2533"/>
      <c r="H1000" s="2533"/>
      <c r="I1000" s="2533"/>
      <c r="J1000" s="2533"/>
      <c r="K1000" s="2533"/>
      <c r="L1000" s="2533"/>
      <c r="M1000" s="2533"/>
      <c r="N1000" s="2533"/>
      <c r="O1000" s="2533"/>
      <c r="P1000" s="2533"/>
      <c r="Q1000" s="2533"/>
      <c r="R1000" s="2533"/>
      <c r="S1000" s="2533"/>
      <c r="T1000" s="2533"/>
      <c r="U1000" s="2533"/>
      <c r="V1000" s="2533"/>
      <c r="W1000" s="2533"/>
      <c r="X1000" s="2533"/>
      <c r="Y1000" s="2533"/>
      <c r="Z1000" s="2533"/>
      <c r="AA1000" s="2533"/>
      <c r="AB1000" s="2533"/>
      <c r="AC1000" s="2533"/>
      <c r="AD1000" s="2533"/>
      <c r="AE1000" s="2534"/>
      <c r="AF1000" s="2517">
        <f>IF(AG999="yes","Please Select Type and Enter Amount:",0)</f>
        <v>0</v>
      </c>
      <c r="AG1000" s="2518"/>
      <c r="AH1000" s="2518"/>
      <c r="AI1000" s="2519"/>
      <c r="AJ1000" s="2494"/>
      <c r="AK1000" s="2495"/>
      <c r="AL1000" s="2495"/>
      <c r="AM1000" s="2495"/>
      <c r="AN1000" s="2495"/>
      <c r="AO1000" s="2495"/>
      <c r="AP1000" s="2495"/>
      <c r="AQ1000" s="2496"/>
      <c r="AR1000" s="1585"/>
      <c r="AS1000" s="1585"/>
      <c r="AT1000" s="1585"/>
      <c r="AU1000" s="1585"/>
      <c r="AV1000" s="1585"/>
      <c r="AW1000" s="1585"/>
      <c r="AX1000" s="1585"/>
      <c r="AY1000" s="1585"/>
      <c r="BA1000" s="321">
        <f>IF(A1063="Yes",0.04,0)</f>
        <v>0</v>
      </c>
    </row>
    <row r="1001" spans="1:96" ht="12.75" customHeight="1">
      <c r="A1001" s="51"/>
      <c r="B1001" s="119"/>
      <c r="C1001" s="122"/>
      <c r="D1001" s="2422" t="s">
        <v>1549</v>
      </c>
      <c r="E1001" s="2423"/>
      <c r="F1001" s="2423"/>
      <c r="G1001" s="2423"/>
      <c r="H1001" s="2423"/>
      <c r="I1001" s="2423"/>
      <c r="J1001" s="2423"/>
      <c r="K1001" s="2423"/>
      <c r="L1001" s="2423"/>
      <c r="M1001" s="2423"/>
      <c r="N1001" s="2423"/>
      <c r="O1001" s="2423"/>
      <c r="P1001" s="2423"/>
      <c r="Q1001" s="2423"/>
      <c r="R1001" s="2423"/>
      <c r="S1001" s="2423"/>
      <c r="T1001" s="2423"/>
      <c r="U1001" s="2423"/>
      <c r="V1001" s="2423"/>
      <c r="W1001" s="2423"/>
      <c r="X1001" s="2423"/>
      <c r="Y1001" s="2423"/>
      <c r="Z1001" s="2423"/>
      <c r="AA1001" s="2423"/>
      <c r="AB1001" s="2423"/>
      <c r="AC1001" s="2423"/>
      <c r="AD1001" s="2423"/>
      <c r="AE1001" s="2424"/>
      <c r="AF1001" s="2517"/>
      <c r="AG1001" s="2518"/>
      <c r="AH1001" s="2518"/>
      <c r="AI1001" s="2519"/>
      <c r="AJ1001" s="2494"/>
      <c r="AK1001" s="2495"/>
      <c r="AL1001" s="2495"/>
      <c r="AM1001" s="2495"/>
      <c r="AN1001" s="2495"/>
      <c r="AO1001" s="2495"/>
      <c r="AP1001" s="2495"/>
      <c r="AQ1001" s="2496"/>
      <c r="AR1001" s="1585"/>
      <c r="AS1001" s="1585"/>
      <c r="AT1001" s="1585"/>
      <c r="AU1001" s="1585"/>
      <c r="AV1001" s="1585"/>
      <c r="AW1001" s="1585"/>
      <c r="AX1001" s="1585"/>
      <c r="AY1001" s="1585"/>
      <c r="BA1001" s="321">
        <f>IF(A1066="Yes",0.01,0)</f>
        <v>0</v>
      </c>
    </row>
    <row r="1002" spans="1:96" ht="12.75" customHeight="1">
      <c r="A1002" s="51"/>
      <c r="B1002" s="119"/>
      <c r="C1002" s="122"/>
      <c r="D1002" s="2422"/>
      <c r="E1002" s="2423"/>
      <c r="F1002" s="2423"/>
      <c r="G1002" s="2423"/>
      <c r="H1002" s="2423"/>
      <c r="I1002" s="2423"/>
      <c r="J1002" s="2423"/>
      <c r="K1002" s="2423"/>
      <c r="L1002" s="2423"/>
      <c r="M1002" s="2423"/>
      <c r="N1002" s="2423"/>
      <c r="O1002" s="2423"/>
      <c r="P1002" s="2423"/>
      <c r="Q1002" s="2423"/>
      <c r="R1002" s="2423"/>
      <c r="S1002" s="2423"/>
      <c r="T1002" s="2423"/>
      <c r="U1002" s="2423"/>
      <c r="V1002" s="2423"/>
      <c r="W1002" s="2423"/>
      <c r="X1002" s="2423"/>
      <c r="Y1002" s="2423"/>
      <c r="Z1002" s="2423"/>
      <c r="AA1002" s="2423"/>
      <c r="AB1002" s="2423"/>
      <c r="AC1002" s="2423"/>
      <c r="AD1002" s="2423"/>
      <c r="AE1002" s="2424"/>
      <c r="AF1002" s="2517"/>
      <c r="AG1002" s="2518"/>
      <c r="AH1002" s="2518"/>
      <c r="AI1002" s="2519"/>
      <c r="AJ1002" s="2494"/>
      <c r="AK1002" s="2495"/>
      <c r="AL1002" s="2495"/>
      <c r="AM1002" s="2495"/>
      <c r="AN1002" s="2495"/>
      <c r="AO1002" s="2495"/>
      <c r="AP1002" s="2495"/>
      <c r="AQ1002" s="2496"/>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485" t="s">
        <v>627</v>
      </c>
      <c r="K1003" s="2486"/>
      <c r="L1003" s="2486"/>
      <c r="M1003" s="2486"/>
      <c r="N1003" s="2486"/>
      <c r="O1003" s="2486"/>
      <c r="P1003" s="2486"/>
      <c r="Q1003" s="2486"/>
      <c r="R1003" s="2486"/>
      <c r="S1003" s="2486"/>
      <c r="T1003" s="2486"/>
      <c r="U1003" s="2486"/>
      <c r="V1003" s="2486"/>
      <c r="W1003" s="2486"/>
      <c r="X1003" s="2486"/>
      <c r="Y1003" s="2486"/>
      <c r="Z1003" s="2486"/>
      <c r="AA1003" s="2486"/>
      <c r="AB1003" s="2486"/>
      <c r="AC1003" s="2486"/>
      <c r="AD1003" s="2486"/>
      <c r="AE1003" s="2487"/>
      <c r="AF1003" s="2520"/>
      <c r="AG1003" s="2521"/>
      <c r="AH1003" s="2521"/>
      <c r="AI1003" s="2522"/>
      <c r="AJ1003" s="2497"/>
      <c r="AK1003" s="2498"/>
      <c r="AL1003" s="2498"/>
      <c r="AM1003" s="2498"/>
      <c r="AN1003" s="2498"/>
      <c r="AO1003" s="2498"/>
      <c r="AP1003" s="2498"/>
      <c r="AQ1003" s="2499"/>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19" t="s">
        <v>1550</v>
      </c>
      <c r="E1004" s="2420"/>
      <c r="F1004" s="2420"/>
      <c r="G1004" s="2420"/>
      <c r="H1004" s="2420"/>
      <c r="I1004" s="2420"/>
      <c r="J1004" s="2420"/>
      <c r="K1004" s="2420"/>
      <c r="L1004" s="2420"/>
      <c r="M1004" s="2420"/>
      <c r="N1004" s="2420"/>
      <c r="O1004" s="2420"/>
      <c r="P1004" s="2420"/>
      <c r="Q1004" s="2420"/>
      <c r="R1004" s="2420"/>
      <c r="S1004" s="2420"/>
      <c r="T1004" s="2420"/>
      <c r="U1004" s="2420"/>
      <c r="V1004" s="2420"/>
      <c r="W1004" s="2420"/>
      <c r="X1004" s="2420"/>
      <c r="Y1004" s="2420"/>
      <c r="Z1004" s="2420"/>
      <c r="AA1004" s="2420"/>
      <c r="AB1004" s="2420"/>
      <c r="AC1004" s="2420"/>
      <c r="AD1004" s="2420"/>
      <c r="AE1004" s="2421"/>
      <c r="AF1004" s="117"/>
      <c r="AG1004" s="2431" t="s">
        <v>579</v>
      </c>
      <c r="AH1004" s="2432"/>
      <c r="AI1004" s="125"/>
      <c r="AJ1004" s="2491">
        <f>'Sources and Uses Budget'!C85</f>
        <v>4366923</v>
      </c>
      <c r="AK1004" s="2492"/>
      <c r="AL1004" s="2492"/>
      <c r="AM1004" s="2492"/>
      <c r="AN1004" s="2492"/>
      <c r="AO1004" s="2492"/>
      <c r="AP1004" s="2492"/>
      <c r="AQ1004" s="2493"/>
      <c r="AR1004" s="1585"/>
      <c r="AS1004" s="1585"/>
      <c r="AT1004" s="1585"/>
      <c r="AU1004" s="1585"/>
      <c r="AV1004" s="1585"/>
      <c r="AW1004" s="1585"/>
      <c r="AX1004" s="1585"/>
      <c r="AY1004" s="1585"/>
      <c r="BA1004" s="321">
        <f>IF(A1078="Yes",0.02,0)</f>
        <v>0</v>
      </c>
    </row>
    <row r="1005" spans="1:96" ht="12.75" customHeight="1">
      <c r="A1005" s="51"/>
      <c r="B1005" s="110"/>
      <c r="C1005" s="111"/>
      <c r="D1005" s="2422" t="s">
        <v>2193</v>
      </c>
      <c r="E1005" s="2423"/>
      <c r="F1005" s="2423"/>
      <c r="G1005" s="2423"/>
      <c r="H1005" s="2423"/>
      <c r="I1005" s="2423"/>
      <c r="J1005" s="2423"/>
      <c r="K1005" s="2423"/>
      <c r="L1005" s="2423"/>
      <c r="M1005" s="2423"/>
      <c r="N1005" s="2423"/>
      <c r="O1005" s="2423"/>
      <c r="P1005" s="2423"/>
      <c r="Q1005" s="2423"/>
      <c r="R1005" s="2423"/>
      <c r="S1005" s="2423"/>
      <c r="T1005" s="2423"/>
      <c r="U1005" s="2423"/>
      <c r="V1005" s="2423"/>
      <c r="W1005" s="2423"/>
      <c r="X1005" s="2423"/>
      <c r="Y1005" s="2423"/>
      <c r="Z1005" s="2423"/>
      <c r="AA1005" s="2423"/>
      <c r="AB1005" s="2423"/>
      <c r="AC1005" s="2423"/>
      <c r="AD1005" s="2423"/>
      <c r="AE1005" s="2424"/>
      <c r="AF1005" s="2523" t="str">
        <f>IF(AG1004="yes","Please Enter Amount:",0)</f>
        <v>Please Enter Amount:</v>
      </c>
      <c r="AG1005" s="2524"/>
      <c r="AH1005" s="2524"/>
      <c r="AI1005" s="2525"/>
      <c r="AJ1005" s="2494"/>
      <c r="AK1005" s="2495"/>
      <c r="AL1005" s="2495"/>
      <c r="AM1005" s="2495"/>
      <c r="AN1005" s="2495"/>
      <c r="AO1005" s="2495"/>
      <c r="AP1005" s="2495"/>
      <c r="AQ1005" s="2496"/>
      <c r="AR1005" s="1585"/>
      <c r="AS1005" s="1585"/>
      <c r="AT1005" s="1585"/>
      <c r="AU1005" s="1585"/>
      <c r="AV1005" s="1585"/>
      <c r="AW1005" s="1585"/>
      <c r="AX1005" s="1585"/>
      <c r="AY1005" s="1585"/>
      <c r="BA1005" s="322">
        <f>IF(A1082="Yes",0.02,0)</f>
        <v>0</v>
      </c>
    </row>
    <row r="1006" spans="1:96" ht="12.75" customHeight="1">
      <c r="A1006" s="51"/>
      <c r="B1006" s="110"/>
      <c r="C1006" s="111"/>
      <c r="D1006" s="2422"/>
      <c r="E1006" s="2423"/>
      <c r="F1006" s="2423"/>
      <c r="G1006" s="2423"/>
      <c r="H1006" s="2423"/>
      <c r="I1006" s="2423"/>
      <c r="J1006" s="2423"/>
      <c r="K1006" s="2423"/>
      <c r="L1006" s="2423"/>
      <c r="M1006" s="2423"/>
      <c r="N1006" s="2423"/>
      <c r="O1006" s="2423"/>
      <c r="P1006" s="2423"/>
      <c r="Q1006" s="2423"/>
      <c r="R1006" s="2423"/>
      <c r="S1006" s="2423"/>
      <c r="T1006" s="2423"/>
      <c r="U1006" s="2423"/>
      <c r="V1006" s="2423"/>
      <c r="W1006" s="2423"/>
      <c r="X1006" s="2423"/>
      <c r="Y1006" s="2423"/>
      <c r="Z1006" s="2423"/>
      <c r="AA1006" s="2423"/>
      <c r="AB1006" s="2423"/>
      <c r="AC1006" s="2423"/>
      <c r="AD1006" s="2423"/>
      <c r="AE1006" s="2424"/>
      <c r="AF1006" s="2523"/>
      <c r="AG1006" s="2524"/>
      <c r="AH1006" s="2524"/>
      <c r="AI1006" s="2525"/>
      <c r="AJ1006" s="2494"/>
      <c r="AK1006" s="2495"/>
      <c r="AL1006" s="2495"/>
      <c r="AM1006" s="2495"/>
      <c r="AN1006" s="2495"/>
      <c r="AO1006" s="2495"/>
      <c r="AP1006" s="2495"/>
      <c r="AQ1006" s="2496"/>
      <c r="AR1006" s="1585"/>
      <c r="AS1006" s="1585"/>
      <c r="AT1006" s="1585"/>
      <c r="AU1006" s="1585"/>
      <c r="AV1006" s="1585"/>
      <c r="AW1006" s="1585"/>
      <c r="AX1006" s="1585"/>
      <c r="AY1006" s="1585"/>
    </row>
    <row r="1007" spans="1:96" ht="12.75" customHeight="1">
      <c r="A1007" s="51"/>
      <c r="B1007" s="123"/>
      <c r="C1007" s="122"/>
      <c r="D1007" s="2435"/>
      <c r="E1007" s="2436"/>
      <c r="F1007" s="2436"/>
      <c r="G1007" s="2436"/>
      <c r="H1007" s="2436"/>
      <c r="I1007" s="2436"/>
      <c r="J1007" s="2436"/>
      <c r="K1007" s="2436"/>
      <c r="L1007" s="2436"/>
      <c r="M1007" s="2436"/>
      <c r="N1007" s="2436"/>
      <c r="O1007" s="2436"/>
      <c r="P1007" s="2436"/>
      <c r="Q1007" s="2436"/>
      <c r="R1007" s="2436"/>
      <c r="S1007" s="2436"/>
      <c r="T1007" s="2436"/>
      <c r="U1007" s="2436"/>
      <c r="V1007" s="2436"/>
      <c r="W1007" s="2436"/>
      <c r="X1007" s="2436"/>
      <c r="Y1007" s="2436"/>
      <c r="Z1007" s="2436"/>
      <c r="AA1007" s="2436"/>
      <c r="AB1007" s="2436"/>
      <c r="AC1007" s="2436"/>
      <c r="AD1007" s="2436"/>
      <c r="AE1007" s="2437"/>
      <c r="AF1007" s="2526"/>
      <c r="AG1007" s="2527"/>
      <c r="AH1007" s="2527"/>
      <c r="AI1007" s="2528"/>
      <c r="AJ1007" s="2497"/>
      <c r="AK1007" s="2498"/>
      <c r="AL1007" s="2498"/>
      <c r="AM1007" s="2498"/>
      <c r="AN1007" s="2498"/>
      <c r="AO1007" s="2498"/>
      <c r="AP1007" s="2498"/>
      <c r="AQ1007" s="2499"/>
      <c r="AR1007" s="1585"/>
      <c r="AS1007" s="1585"/>
      <c r="AT1007" s="1585"/>
      <c r="AU1007" s="1585"/>
      <c r="AV1007" s="1585"/>
      <c r="AW1007" s="1585"/>
      <c r="AX1007" s="1585"/>
      <c r="AY1007" s="1585"/>
    </row>
    <row r="1008" spans="1:96" s="720" customFormat="1" ht="12.75" customHeight="1">
      <c r="A1008" s="51"/>
      <c r="B1008" s="117"/>
      <c r="C1008" s="118" t="s">
        <v>241</v>
      </c>
      <c r="D1008" s="2472" t="s">
        <v>1551</v>
      </c>
      <c r="E1008" s="2473"/>
      <c r="F1008" s="2473"/>
      <c r="G1008" s="2473"/>
      <c r="H1008" s="2473"/>
      <c r="I1008" s="2473"/>
      <c r="J1008" s="2473"/>
      <c r="K1008" s="2473"/>
      <c r="L1008" s="2473"/>
      <c r="M1008" s="2473"/>
      <c r="N1008" s="2473"/>
      <c r="O1008" s="2473"/>
      <c r="P1008" s="2473"/>
      <c r="Q1008" s="2473"/>
      <c r="R1008" s="2473"/>
      <c r="S1008" s="2473"/>
      <c r="T1008" s="2473"/>
      <c r="U1008" s="2473"/>
      <c r="V1008" s="2473"/>
      <c r="W1008" s="2473"/>
      <c r="X1008" s="2473"/>
      <c r="Y1008" s="2473"/>
      <c r="Z1008" s="2473"/>
      <c r="AA1008" s="2473"/>
      <c r="AB1008" s="2473"/>
      <c r="AC1008" s="2473"/>
      <c r="AD1008" s="2473"/>
      <c r="AE1008" s="2474"/>
      <c r="AF1008" s="117"/>
      <c r="AG1008" s="2431" t="s">
        <v>707</v>
      </c>
      <c r="AH1008" s="2432"/>
      <c r="AI1008" s="125"/>
      <c r="AJ1008" s="2464">
        <f>ROUND(IF(AG1008="yes",(AJ975*0.1),0),0)</f>
        <v>0</v>
      </c>
      <c r="AK1008" s="2465"/>
      <c r="AL1008" s="2465"/>
      <c r="AM1008" s="2465"/>
      <c r="AN1008" s="2465"/>
      <c r="AO1008" s="2465"/>
      <c r="AP1008" s="2465"/>
      <c r="AQ1008" s="2466"/>
      <c r="AR1008" s="1585"/>
      <c r="AS1008" s="1585"/>
      <c r="AT1008" s="1585"/>
      <c r="AU1008" s="1585"/>
      <c r="AV1008" s="1585"/>
      <c r="AW1008" s="1585"/>
      <c r="AX1008" s="1585"/>
      <c r="AY1008" s="1585"/>
      <c r="CR1008" s="25"/>
    </row>
    <row r="1009" spans="1:96" ht="12.75" customHeight="1">
      <c r="A1009" s="51"/>
      <c r="B1009" s="110"/>
      <c r="C1009" s="111"/>
      <c r="D1009" s="2422" t="s">
        <v>1552</v>
      </c>
      <c r="E1009" s="2423"/>
      <c r="F1009" s="2423"/>
      <c r="G1009" s="2423"/>
      <c r="H1009" s="2423"/>
      <c r="I1009" s="2423"/>
      <c r="J1009" s="2423"/>
      <c r="K1009" s="2423"/>
      <c r="L1009" s="2423"/>
      <c r="M1009" s="2423"/>
      <c r="N1009" s="2423"/>
      <c r="O1009" s="2423"/>
      <c r="P1009" s="2423"/>
      <c r="Q1009" s="2423"/>
      <c r="R1009" s="2423"/>
      <c r="S1009" s="2423"/>
      <c r="T1009" s="2423"/>
      <c r="U1009" s="2423"/>
      <c r="V1009" s="2423"/>
      <c r="W1009" s="2423"/>
      <c r="X1009" s="2423"/>
      <c r="Y1009" s="2423"/>
      <c r="Z1009" s="2423"/>
      <c r="AA1009" s="2423"/>
      <c r="AB1009" s="2423"/>
      <c r="AC1009" s="2423"/>
      <c r="AD1009" s="2423"/>
      <c r="AE1009" s="2424"/>
      <c r="AF1009" s="110"/>
      <c r="AG1009" s="112"/>
      <c r="AH1009" s="112"/>
      <c r="AI1009" s="121"/>
      <c r="AJ1009" s="2467"/>
      <c r="AK1009" s="2147"/>
      <c r="AL1009" s="2147"/>
      <c r="AM1009" s="2147"/>
      <c r="AN1009" s="2147"/>
      <c r="AO1009" s="2147"/>
      <c r="AP1009" s="2147"/>
      <c r="AQ1009" s="2468"/>
      <c r="AR1009" s="1585"/>
      <c r="AS1009" s="1585"/>
      <c r="AT1009" s="1585"/>
      <c r="AU1009" s="1585"/>
      <c r="AV1009" s="1585"/>
      <c r="AW1009" s="1585"/>
      <c r="AX1009" s="1585"/>
      <c r="AY1009" s="1585"/>
    </row>
    <row r="1010" spans="1:96" ht="12.75" customHeight="1">
      <c r="A1010" s="51"/>
      <c r="B1010" s="115"/>
      <c r="C1010" s="111"/>
      <c r="D1010" s="2435"/>
      <c r="E1010" s="2436"/>
      <c r="F1010" s="2436"/>
      <c r="G1010" s="2436"/>
      <c r="H1010" s="2436"/>
      <c r="I1010" s="2436"/>
      <c r="J1010" s="2436"/>
      <c r="K1010" s="2436"/>
      <c r="L1010" s="2436"/>
      <c r="M1010" s="2436"/>
      <c r="N1010" s="2436"/>
      <c r="O1010" s="2436"/>
      <c r="P1010" s="2436"/>
      <c r="Q1010" s="2436"/>
      <c r="R1010" s="2436"/>
      <c r="S1010" s="2436"/>
      <c r="T1010" s="2436"/>
      <c r="U1010" s="2436"/>
      <c r="V1010" s="2436"/>
      <c r="W1010" s="2436"/>
      <c r="X1010" s="2436"/>
      <c r="Y1010" s="2436"/>
      <c r="Z1010" s="2436"/>
      <c r="AA1010" s="2436"/>
      <c r="AB1010" s="2436"/>
      <c r="AC1010" s="2436"/>
      <c r="AD1010" s="2436"/>
      <c r="AE1010" s="2437"/>
      <c r="AF1010" s="110"/>
      <c r="AG1010" s="112"/>
      <c r="AH1010" s="112"/>
      <c r="AI1010" s="121"/>
      <c r="AJ1010" s="2469"/>
      <c r="AK1010" s="2470"/>
      <c r="AL1010" s="2470"/>
      <c r="AM1010" s="2470"/>
      <c r="AN1010" s="2470"/>
      <c r="AO1010" s="2470"/>
      <c r="AP1010" s="2470"/>
      <c r="AQ1010" s="2471"/>
      <c r="AR1010" s="1585"/>
      <c r="AS1010" s="1585"/>
      <c r="AT1010" s="1585"/>
      <c r="AU1010" s="1585"/>
      <c r="AV1010" s="1585"/>
      <c r="AW1010" s="1585"/>
      <c r="AX1010" s="1585"/>
      <c r="AY1010" s="1585"/>
    </row>
    <row r="1011" spans="1:96" s="720" customFormat="1" ht="12.75" customHeight="1">
      <c r="A1011" s="51"/>
      <c r="B1011" s="110"/>
      <c r="C1011" s="532" t="s">
        <v>726</v>
      </c>
      <c r="D1011" s="2419" t="s">
        <v>2189</v>
      </c>
      <c r="E1011" s="2420"/>
      <c r="F1011" s="2420"/>
      <c r="G1011" s="2420"/>
      <c r="H1011" s="2420"/>
      <c r="I1011" s="2420"/>
      <c r="J1011" s="2420"/>
      <c r="K1011" s="2420"/>
      <c r="L1011" s="2420"/>
      <c r="M1011" s="2420"/>
      <c r="N1011" s="2420"/>
      <c r="O1011" s="2420"/>
      <c r="P1011" s="2420"/>
      <c r="Q1011" s="2420"/>
      <c r="R1011" s="2420"/>
      <c r="S1011" s="2420"/>
      <c r="T1011" s="2420"/>
      <c r="U1011" s="2420"/>
      <c r="V1011" s="2420"/>
      <c r="W1011" s="2420"/>
      <c r="X1011" s="2420"/>
      <c r="Y1011" s="2420"/>
      <c r="Z1011" s="2420"/>
      <c r="AA1011" s="2420"/>
      <c r="AB1011" s="2420"/>
      <c r="AC1011" s="2420"/>
      <c r="AD1011" s="2420"/>
      <c r="AE1011" s="2421"/>
      <c r="AF1011" s="117"/>
      <c r="AG1011" s="2431" t="s">
        <v>707</v>
      </c>
      <c r="AH1011" s="2432"/>
      <c r="AI1011" s="125"/>
      <c r="AJ1011" s="2464">
        <f>ROUND(IF(AG1011="yes",(AJ975*0.15),0),0)</f>
        <v>0</v>
      </c>
      <c r="AK1011" s="2465"/>
      <c r="AL1011" s="2465"/>
      <c r="AM1011" s="2465"/>
      <c r="AN1011" s="2465"/>
      <c r="AO1011" s="2465"/>
      <c r="AP1011" s="2465"/>
      <c r="AQ1011" s="2466"/>
      <c r="AR1011" s="1585"/>
      <c r="AS1011" s="1585"/>
      <c r="AT1011" s="1585"/>
      <c r="AU1011" s="1585"/>
      <c r="AV1011" s="1585"/>
      <c r="AW1011" s="1585"/>
      <c r="AX1011" s="1585"/>
      <c r="AY1011" s="1585"/>
      <c r="CR1011" s="25"/>
    </row>
    <row r="1012" spans="1:96" s="720" customFormat="1" ht="12.75" customHeight="1">
      <c r="A1012" s="51"/>
      <c r="B1012" s="110"/>
      <c r="C1012" s="111"/>
      <c r="D1012" s="2458" t="s">
        <v>2190</v>
      </c>
      <c r="E1012" s="2459"/>
      <c r="F1012" s="2459"/>
      <c r="G1012" s="2459"/>
      <c r="H1012" s="2459"/>
      <c r="I1012" s="2459"/>
      <c r="J1012" s="2459"/>
      <c r="K1012" s="2459"/>
      <c r="L1012" s="2459"/>
      <c r="M1012" s="2459"/>
      <c r="N1012" s="2459"/>
      <c r="O1012" s="2459"/>
      <c r="P1012" s="2459"/>
      <c r="Q1012" s="2459"/>
      <c r="R1012" s="2459"/>
      <c r="S1012" s="2459"/>
      <c r="T1012" s="2459"/>
      <c r="U1012" s="2459"/>
      <c r="V1012" s="2459"/>
      <c r="W1012" s="2459"/>
      <c r="X1012" s="2459"/>
      <c r="Y1012" s="2459"/>
      <c r="Z1012" s="2459"/>
      <c r="AA1012" s="2459"/>
      <c r="AB1012" s="2459"/>
      <c r="AC1012" s="2459"/>
      <c r="AD1012" s="2459"/>
      <c r="AE1012" s="2460"/>
      <c r="AF1012" s="1615"/>
      <c r="AG1012" s="1616"/>
      <c r="AH1012" s="1616"/>
      <c r="AI1012" s="1617"/>
      <c r="AJ1012" s="2467"/>
      <c r="AK1012" s="2147"/>
      <c r="AL1012" s="2147"/>
      <c r="AM1012" s="2147"/>
      <c r="AN1012" s="2147"/>
      <c r="AO1012" s="2147"/>
      <c r="AP1012" s="2147"/>
      <c r="AQ1012" s="2468"/>
      <c r="AR1012" s="1585"/>
      <c r="AS1012" s="1585"/>
      <c r="AT1012" s="1585"/>
      <c r="AU1012" s="1585"/>
      <c r="AV1012" s="1585"/>
      <c r="AW1012" s="1585"/>
      <c r="AX1012" s="1585"/>
      <c r="AY1012" s="1585"/>
      <c r="CR1012" s="25"/>
    </row>
    <row r="1013" spans="1:96" s="720" customFormat="1" ht="12.75" customHeight="1">
      <c r="A1013" s="51"/>
      <c r="B1013" s="110"/>
      <c r="C1013" s="111"/>
      <c r="D1013" s="2458"/>
      <c r="E1013" s="2459"/>
      <c r="F1013" s="2459"/>
      <c r="G1013" s="2459"/>
      <c r="H1013" s="2459"/>
      <c r="I1013" s="2459"/>
      <c r="J1013" s="2459"/>
      <c r="K1013" s="2459"/>
      <c r="L1013" s="2459"/>
      <c r="M1013" s="2459"/>
      <c r="N1013" s="2459"/>
      <c r="O1013" s="2459"/>
      <c r="P1013" s="2459"/>
      <c r="Q1013" s="2459"/>
      <c r="R1013" s="2459"/>
      <c r="S1013" s="2459"/>
      <c r="T1013" s="2459"/>
      <c r="U1013" s="2459"/>
      <c r="V1013" s="2459"/>
      <c r="W1013" s="2459"/>
      <c r="X1013" s="2459"/>
      <c r="Y1013" s="2459"/>
      <c r="Z1013" s="2459"/>
      <c r="AA1013" s="2459"/>
      <c r="AB1013" s="2459"/>
      <c r="AC1013" s="2459"/>
      <c r="AD1013" s="2459"/>
      <c r="AE1013" s="2460"/>
      <c r="AF1013" s="1615"/>
      <c r="AG1013" s="1616"/>
      <c r="AH1013" s="1616"/>
      <c r="AI1013" s="1617"/>
      <c r="AJ1013" s="2467"/>
      <c r="AK1013" s="2147"/>
      <c r="AL1013" s="2147"/>
      <c r="AM1013" s="2147"/>
      <c r="AN1013" s="2147"/>
      <c r="AO1013" s="2147"/>
      <c r="AP1013" s="2147"/>
      <c r="AQ1013" s="2468"/>
      <c r="AR1013" s="1585"/>
      <c r="AS1013" s="1585"/>
      <c r="AT1013" s="1585"/>
      <c r="AU1013" s="1585"/>
      <c r="AV1013" s="1585"/>
      <c r="AW1013" s="1585"/>
      <c r="AX1013" s="1585"/>
      <c r="AY1013" s="1585"/>
      <c r="CR1013" s="25"/>
    </row>
    <row r="1014" spans="1:96" s="720" customFormat="1" ht="12.75" customHeight="1">
      <c r="A1014" s="51"/>
      <c r="B1014" s="110"/>
      <c r="C1014" s="111"/>
      <c r="D1014" s="2461"/>
      <c r="E1014" s="2462"/>
      <c r="F1014" s="2462"/>
      <c r="G1014" s="2462"/>
      <c r="H1014" s="2462"/>
      <c r="I1014" s="2462"/>
      <c r="J1014" s="2462"/>
      <c r="K1014" s="2462"/>
      <c r="L1014" s="2462"/>
      <c r="M1014" s="2462"/>
      <c r="N1014" s="2462"/>
      <c r="O1014" s="2462"/>
      <c r="P1014" s="2462"/>
      <c r="Q1014" s="2462"/>
      <c r="R1014" s="2462"/>
      <c r="S1014" s="2462"/>
      <c r="T1014" s="2462"/>
      <c r="U1014" s="2462"/>
      <c r="V1014" s="2462"/>
      <c r="W1014" s="2462"/>
      <c r="X1014" s="2462"/>
      <c r="Y1014" s="2462"/>
      <c r="Z1014" s="2462"/>
      <c r="AA1014" s="2462"/>
      <c r="AB1014" s="2462"/>
      <c r="AC1014" s="2462"/>
      <c r="AD1014" s="2462"/>
      <c r="AE1014" s="2463"/>
      <c r="AF1014" s="1618"/>
      <c r="AG1014" s="1619"/>
      <c r="AH1014" s="1619"/>
      <c r="AI1014" s="1620"/>
      <c r="AJ1014" s="2469"/>
      <c r="AK1014" s="2470"/>
      <c r="AL1014" s="2470"/>
      <c r="AM1014" s="2470"/>
      <c r="AN1014" s="2470"/>
      <c r="AO1014" s="2470"/>
      <c r="AP1014" s="2470"/>
      <c r="AQ1014" s="2471"/>
      <c r="AR1014" s="1585"/>
      <c r="AS1014" s="1585"/>
      <c r="AT1014" s="1585"/>
      <c r="AU1014" s="1585"/>
      <c r="AV1014" s="1585"/>
      <c r="AW1014" s="1585"/>
      <c r="AX1014" s="1585"/>
      <c r="AY1014" s="1585"/>
      <c r="CR1014" s="25"/>
    </row>
    <row r="1015" spans="1:96" s="720" customFormat="1" ht="12.75" customHeight="1">
      <c r="A1015" s="51"/>
      <c r="B1015" s="110"/>
      <c r="C1015" s="532" t="s">
        <v>726</v>
      </c>
      <c r="D1015" s="2472" t="s">
        <v>2191</v>
      </c>
      <c r="E1015" s="2473"/>
      <c r="F1015" s="2473"/>
      <c r="G1015" s="2473"/>
      <c r="H1015" s="2473"/>
      <c r="I1015" s="2473"/>
      <c r="J1015" s="2473"/>
      <c r="K1015" s="2473"/>
      <c r="L1015" s="2473"/>
      <c r="M1015" s="2473"/>
      <c r="N1015" s="2473"/>
      <c r="O1015" s="2473"/>
      <c r="P1015" s="2473"/>
      <c r="Q1015" s="2473"/>
      <c r="R1015" s="2473"/>
      <c r="S1015" s="2473"/>
      <c r="T1015" s="2473"/>
      <c r="U1015" s="2473"/>
      <c r="V1015" s="2473"/>
      <c r="W1015" s="2473"/>
      <c r="X1015" s="2473"/>
      <c r="Y1015" s="2473"/>
      <c r="Z1015" s="2473"/>
      <c r="AA1015" s="2473"/>
      <c r="AB1015" s="2473"/>
      <c r="AC1015" s="2473"/>
      <c r="AD1015" s="2473"/>
      <c r="AE1015" s="2474"/>
      <c r="AF1015" s="110"/>
      <c r="AG1015" s="2433" t="s">
        <v>707</v>
      </c>
      <c r="AH1015" s="2434"/>
      <c r="AI1015" s="121"/>
      <c r="AJ1015" s="2464">
        <f>ROUND(IF(AG1015="yes",(AJ975*0.1),0),0)</f>
        <v>0</v>
      </c>
      <c r="AK1015" s="2465"/>
      <c r="AL1015" s="2465"/>
      <c r="AM1015" s="2465"/>
      <c r="AN1015" s="2465"/>
      <c r="AO1015" s="2465"/>
      <c r="AP1015" s="2465"/>
      <c r="AQ1015" s="2466"/>
      <c r="AR1015" s="1585"/>
      <c r="AS1015" s="1585"/>
      <c r="AT1015" s="1585"/>
      <c r="AU1015" s="1585"/>
      <c r="AV1015" s="1585"/>
      <c r="AW1015" s="1585"/>
      <c r="AX1015" s="1585"/>
      <c r="AY1015" s="1585"/>
      <c r="CR1015" s="25"/>
    </row>
    <row r="1016" spans="1:96" s="720" customFormat="1" ht="12.75" customHeight="1">
      <c r="A1016" s="51"/>
      <c r="B1016" s="110"/>
      <c r="C1016" s="111"/>
      <c r="D1016" s="2458" t="s">
        <v>2192</v>
      </c>
      <c r="E1016" s="2459"/>
      <c r="F1016" s="2459"/>
      <c r="G1016" s="2459"/>
      <c r="H1016" s="2459"/>
      <c r="I1016" s="2459"/>
      <c r="J1016" s="2459"/>
      <c r="K1016" s="2459"/>
      <c r="L1016" s="2459"/>
      <c r="M1016" s="2459"/>
      <c r="N1016" s="2459"/>
      <c r="O1016" s="2459"/>
      <c r="P1016" s="2459"/>
      <c r="Q1016" s="2459"/>
      <c r="R1016" s="2459"/>
      <c r="S1016" s="2459"/>
      <c r="T1016" s="2459"/>
      <c r="U1016" s="2459"/>
      <c r="V1016" s="2459"/>
      <c r="W1016" s="2459"/>
      <c r="X1016" s="2459"/>
      <c r="Y1016" s="2459"/>
      <c r="Z1016" s="2459"/>
      <c r="AA1016" s="2459"/>
      <c r="AB1016" s="2459"/>
      <c r="AC1016" s="2459"/>
      <c r="AD1016" s="2459"/>
      <c r="AE1016" s="2460"/>
      <c r="AF1016" s="110"/>
      <c r="AG1016" s="112"/>
      <c r="AH1016" s="112"/>
      <c r="AI1016" s="121"/>
      <c r="AJ1016" s="2467"/>
      <c r="AK1016" s="2147"/>
      <c r="AL1016" s="2147"/>
      <c r="AM1016" s="2147"/>
      <c r="AN1016" s="2147"/>
      <c r="AO1016" s="2147"/>
      <c r="AP1016" s="2147"/>
      <c r="AQ1016" s="2468"/>
      <c r="AR1016" s="1585"/>
      <c r="AS1016" s="1585"/>
      <c r="AT1016" s="1585"/>
      <c r="AU1016" s="1585"/>
      <c r="AV1016" s="1585"/>
      <c r="AW1016" s="1585"/>
      <c r="AX1016" s="1585"/>
      <c r="AY1016" s="1585"/>
      <c r="CR1016" s="25"/>
    </row>
    <row r="1017" spans="1:96" s="720" customFormat="1" ht="12.75" customHeight="1">
      <c r="A1017" s="51"/>
      <c r="B1017" s="110"/>
      <c r="C1017" s="111"/>
      <c r="D1017" s="2458"/>
      <c r="E1017" s="2459"/>
      <c r="F1017" s="2459"/>
      <c r="G1017" s="2459"/>
      <c r="H1017" s="2459"/>
      <c r="I1017" s="2459"/>
      <c r="J1017" s="2459"/>
      <c r="K1017" s="2459"/>
      <c r="L1017" s="2459"/>
      <c r="M1017" s="2459"/>
      <c r="N1017" s="2459"/>
      <c r="O1017" s="2459"/>
      <c r="P1017" s="2459"/>
      <c r="Q1017" s="2459"/>
      <c r="R1017" s="2459"/>
      <c r="S1017" s="2459"/>
      <c r="T1017" s="2459"/>
      <c r="U1017" s="2459"/>
      <c r="V1017" s="2459"/>
      <c r="W1017" s="2459"/>
      <c r="X1017" s="2459"/>
      <c r="Y1017" s="2459"/>
      <c r="Z1017" s="2459"/>
      <c r="AA1017" s="2459"/>
      <c r="AB1017" s="2459"/>
      <c r="AC1017" s="2459"/>
      <c r="AD1017" s="2459"/>
      <c r="AE1017" s="2460"/>
      <c r="AF1017" s="110"/>
      <c r="AG1017" s="112"/>
      <c r="AH1017" s="112"/>
      <c r="AI1017" s="121"/>
      <c r="AJ1017" s="2467"/>
      <c r="AK1017" s="2147"/>
      <c r="AL1017" s="2147"/>
      <c r="AM1017" s="2147"/>
      <c r="AN1017" s="2147"/>
      <c r="AO1017" s="2147"/>
      <c r="AP1017" s="2147"/>
      <c r="AQ1017" s="2468"/>
      <c r="AR1017" s="1585"/>
      <c r="AS1017" s="1585"/>
      <c r="AT1017" s="1585"/>
      <c r="AU1017" s="1585"/>
      <c r="AV1017" s="1585"/>
      <c r="AW1017" s="1585"/>
      <c r="AX1017" s="1585"/>
      <c r="AY1017" s="1585"/>
      <c r="CR1017" s="25"/>
    </row>
    <row r="1018" spans="1:96" s="720" customFormat="1" ht="12.75" customHeight="1">
      <c r="A1018" s="51"/>
      <c r="B1018" s="110"/>
      <c r="C1018" s="111"/>
      <c r="D1018" s="2458"/>
      <c r="E1018" s="2459"/>
      <c r="F1018" s="2459"/>
      <c r="G1018" s="2459"/>
      <c r="H1018" s="2459"/>
      <c r="I1018" s="2459"/>
      <c r="J1018" s="2459"/>
      <c r="K1018" s="2459"/>
      <c r="L1018" s="2459"/>
      <c r="M1018" s="2459"/>
      <c r="N1018" s="2459"/>
      <c r="O1018" s="2459"/>
      <c r="P1018" s="2459"/>
      <c r="Q1018" s="2459"/>
      <c r="R1018" s="2459"/>
      <c r="S1018" s="2459"/>
      <c r="T1018" s="2459"/>
      <c r="U1018" s="2459"/>
      <c r="V1018" s="2459"/>
      <c r="W1018" s="2459"/>
      <c r="X1018" s="2459"/>
      <c r="Y1018" s="2459"/>
      <c r="Z1018" s="2459"/>
      <c r="AA1018" s="2459"/>
      <c r="AB1018" s="2459"/>
      <c r="AC1018" s="2459"/>
      <c r="AD1018" s="2459"/>
      <c r="AE1018" s="2460"/>
      <c r="AF1018" s="110"/>
      <c r="AG1018" s="112"/>
      <c r="AH1018" s="112"/>
      <c r="AI1018" s="121"/>
      <c r="AJ1018" s="2467"/>
      <c r="AK1018" s="2147"/>
      <c r="AL1018" s="2147"/>
      <c r="AM1018" s="2147"/>
      <c r="AN1018" s="2147"/>
      <c r="AO1018" s="2147"/>
      <c r="AP1018" s="2147"/>
      <c r="AQ1018" s="2468"/>
      <c r="AR1018" s="1585"/>
      <c r="AS1018" s="1585"/>
      <c r="AT1018" s="1585"/>
      <c r="AU1018" s="1585"/>
      <c r="AV1018" s="1585"/>
      <c r="AW1018" s="1585"/>
      <c r="AX1018" s="1585"/>
      <c r="AY1018" s="1585"/>
      <c r="CR1018" s="25"/>
    </row>
    <row r="1019" spans="1:96" s="720" customFormat="1" ht="12.75" customHeight="1">
      <c r="A1019" s="51"/>
      <c r="B1019" s="110"/>
      <c r="C1019" s="111"/>
      <c r="D1019" s="2461"/>
      <c r="E1019" s="2462"/>
      <c r="F1019" s="2462"/>
      <c r="G1019" s="2462"/>
      <c r="H1019" s="2462"/>
      <c r="I1019" s="2462"/>
      <c r="J1019" s="2462"/>
      <c r="K1019" s="2462"/>
      <c r="L1019" s="2462"/>
      <c r="M1019" s="2462"/>
      <c r="N1019" s="2462"/>
      <c r="O1019" s="2462"/>
      <c r="P1019" s="2462"/>
      <c r="Q1019" s="2462"/>
      <c r="R1019" s="2462"/>
      <c r="S1019" s="2462"/>
      <c r="T1019" s="2462"/>
      <c r="U1019" s="2462"/>
      <c r="V1019" s="2462"/>
      <c r="W1019" s="2462"/>
      <c r="X1019" s="2462"/>
      <c r="Y1019" s="2462"/>
      <c r="Z1019" s="2462"/>
      <c r="AA1019" s="2462"/>
      <c r="AB1019" s="2462"/>
      <c r="AC1019" s="2462"/>
      <c r="AD1019" s="2462"/>
      <c r="AE1019" s="2463"/>
      <c r="AF1019" s="110"/>
      <c r="AG1019" s="112"/>
      <c r="AH1019" s="112"/>
      <c r="AI1019" s="121"/>
      <c r="AJ1019" s="2467"/>
      <c r="AK1019" s="2147"/>
      <c r="AL1019" s="2147"/>
      <c r="AM1019" s="2147"/>
      <c r="AN1019" s="2147"/>
      <c r="AO1019" s="2147"/>
      <c r="AP1019" s="2147"/>
      <c r="AQ1019" s="2468"/>
      <c r="AR1019" s="1585"/>
      <c r="AS1019" s="1585"/>
      <c r="AT1019" s="1585"/>
      <c r="AU1019" s="1585"/>
      <c r="AV1019" s="1585"/>
      <c r="AW1019" s="1585"/>
      <c r="AX1019" s="1585"/>
      <c r="AY1019" s="1585"/>
      <c r="CR1019" s="25"/>
    </row>
    <row r="1020" spans="1:96" s="720" customFormat="1" ht="12.75" customHeight="1">
      <c r="A1020" s="51"/>
      <c r="B1020" s="117"/>
      <c r="C1020" s="198" t="s">
        <v>1120</v>
      </c>
      <c r="D1020" s="2419" t="s">
        <v>1553</v>
      </c>
      <c r="E1020" s="2420"/>
      <c r="F1020" s="2420"/>
      <c r="G1020" s="2420"/>
      <c r="H1020" s="2420"/>
      <c r="I1020" s="2420"/>
      <c r="J1020" s="2420"/>
      <c r="K1020" s="2420"/>
      <c r="L1020" s="2420"/>
      <c r="M1020" s="2420"/>
      <c r="N1020" s="2420"/>
      <c r="O1020" s="2420"/>
      <c r="P1020" s="2420"/>
      <c r="Q1020" s="2420"/>
      <c r="R1020" s="2420"/>
      <c r="S1020" s="2420"/>
      <c r="T1020" s="2420"/>
      <c r="U1020" s="2420"/>
      <c r="V1020" s="2420"/>
      <c r="W1020" s="2420"/>
      <c r="X1020" s="2420"/>
      <c r="Y1020" s="2420"/>
      <c r="Z1020" s="2420"/>
      <c r="AA1020" s="2420"/>
      <c r="AB1020" s="2420"/>
      <c r="AC1020" s="2420"/>
      <c r="AD1020" s="2420"/>
      <c r="AE1020" s="2421"/>
      <c r="AF1020" s="117"/>
      <c r="AG1020" s="2431" t="s">
        <v>707</v>
      </c>
      <c r="AH1020" s="2432"/>
      <c r="AI1020" s="125"/>
      <c r="AJ1020" s="2464">
        <f>ROUND(IF(AG1020="yes",(AJ975*0.1),0),0)</f>
        <v>0</v>
      </c>
      <c r="AK1020" s="2465"/>
      <c r="AL1020" s="2465"/>
      <c r="AM1020" s="2465"/>
      <c r="AN1020" s="2465"/>
      <c r="AO1020" s="2465"/>
      <c r="AP1020" s="2465"/>
      <c r="AQ1020" s="2466"/>
      <c r="AR1020" s="1585"/>
      <c r="AS1020" s="1585"/>
      <c r="AT1020" s="1585"/>
      <c r="AU1020" s="1585"/>
      <c r="AV1020" s="1585"/>
      <c r="AW1020" s="1585"/>
      <c r="AX1020" s="1585"/>
      <c r="AY1020" s="1585"/>
      <c r="CR1020" s="25"/>
    </row>
    <row r="1021" spans="1:96" ht="12.75" customHeight="1">
      <c r="A1021" s="51"/>
      <c r="B1021" s="110"/>
      <c r="C1021" s="111"/>
      <c r="D1021" s="2422" t="s">
        <v>1554</v>
      </c>
      <c r="E1021" s="2423"/>
      <c r="F1021" s="2423"/>
      <c r="G1021" s="2423"/>
      <c r="H1021" s="2423"/>
      <c r="I1021" s="2423"/>
      <c r="J1021" s="2423"/>
      <c r="K1021" s="2423"/>
      <c r="L1021" s="2423"/>
      <c r="M1021" s="2423"/>
      <c r="N1021" s="2423"/>
      <c r="O1021" s="2423"/>
      <c r="P1021" s="2423"/>
      <c r="Q1021" s="2423"/>
      <c r="R1021" s="2423"/>
      <c r="S1021" s="2423"/>
      <c r="T1021" s="2423"/>
      <c r="U1021" s="2423"/>
      <c r="V1021" s="2423"/>
      <c r="W1021" s="2423"/>
      <c r="X1021" s="2423"/>
      <c r="Y1021" s="2423"/>
      <c r="Z1021" s="2423"/>
      <c r="AA1021" s="2423"/>
      <c r="AB1021" s="2423"/>
      <c r="AC1021" s="2423"/>
      <c r="AD1021" s="2423"/>
      <c r="AE1021" s="2424"/>
      <c r="AF1021" s="110"/>
      <c r="AG1021" s="112"/>
      <c r="AH1021" s="112"/>
      <c r="AI1021" s="121"/>
      <c r="AJ1021" s="2467"/>
      <c r="AK1021" s="2147"/>
      <c r="AL1021" s="2147"/>
      <c r="AM1021" s="2147"/>
      <c r="AN1021" s="2147"/>
      <c r="AO1021" s="2147"/>
      <c r="AP1021" s="2147"/>
      <c r="AQ1021" s="2468"/>
      <c r="AR1021" s="1585"/>
      <c r="AS1021" s="1585"/>
      <c r="AT1021" s="1585"/>
      <c r="AU1021" s="1585"/>
      <c r="AV1021" s="1585"/>
      <c r="AW1021" s="1585"/>
      <c r="AX1021" s="1585"/>
      <c r="AY1021" s="1585"/>
    </row>
    <row r="1022" spans="1:96" ht="12.75" customHeight="1">
      <c r="A1022" s="51"/>
      <c r="B1022" s="110"/>
      <c r="C1022" s="111"/>
      <c r="D1022" s="2422"/>
      <c r="E1022" s="2423"/>
      <c r="F1022" s="2423"/>
      <c r="G1022" s="2423"/>
      <c r="H1022" s="2423"/>
      <c r="I1022" s="2423"/>
      <c r="J1022" s="2423"/>
      <c r="K1022" s="2423"/>
      <c r="L1022" s="2423"/>
      <c r="M1022" s="2423"/>
      <c r="N1022" s="2423"/>
      <c r="O1022" s="2423"/>
      <c r="P1022" s="2423"/>
      <c r="Q1022" s="2423"/>
      <c r="R1022" s="2423"/>
      <c r="S1022" s="2423"/>
      <c r="T1022" s="2423"/>
      <c r="U1022" s="2423"/>
      <c r="V1022" s="2423"/>
      <c r="W1022" s="2423"/>
      <c r="X1022" s="2423"/>
      <c r="Y1022" s="2423"/>
      <c r="Z1022" s="2423"/>
      <c r="AA1022" s="2423"/>
      <c r="AB1022" s="2423"/>
      <c r="AC1022" s="2423"/>
      <c r="AD1022" s="2423"/>
      <c r="AE1022" s="2424"/>
      <c r="AF1022" s="110"/>
      <c r="AG1022" s="112"/>
      <c r="AH1022" s="112"/>
      <c r="AI1022" s="121"/>
      <c r="AJ1022" s="2467"/>
      <c r="AK1022" s="2147"/>
      <c r="AL1022" s="2147"/>
      <c r="AM1022" s="2147"/>
      <c r="AN1022" s="2147"/>
      <c r="AO1022" s="2147"/>
      <c r="AP1022" s="2147"/>
      <c r="AQ1022" s="2468"/>
      <c r="AR1022" s="1585"/>
      <c r="AS1022" s="1585"/>
      <c r="AT1022" s="1585"/>
      <c r="AU1022" s="1585"/>
      <c r="AV1022" s="1585"/>
      <c r="AW1022" s="1585"/>
      <c r="AX1022" s="1585"/>
      <c r="AY1022" s="1585"/>
    </row>
    <row r="1023" spans="1:96" s="683" customFormat="1" ht="12.75" customHeight="1">
      <c r="A1023" s="51"/>
      <c r="B1023" s="110"/>
      <c r="C1023" s="111"/>
      <c r="D1023" s="2435"/>
      <c r="E1023" s="2436"/>
      <c r="F1023" s="2436"/>
      <c r="G1023" s="2436"/>
      <c r="H1023" s="2436"/>
      <c r="I1023" s="2436"/>
      <c r="J1023" s="2436"/>
      <c r="K1023" s="2436"/>
      <c r="L1023" s="2436"/>
      <c r="M1023" s="2436"/>
      <c r="N1023" s="2436"/>
      <c r="O1023" s="2436"/>
      <c r="P1023" s="2436"/>
      <c r="Q1023" s="2436"/>
      <c r="R1023" s="2436"/>
      <c r="S1023" s="2436"/>
      <c r="T1023" s="2436"/>
      <c r="U1023" s="2436"/>
      <c r="V1023" s="2436"/>
      <c r="W1023" s="2436"/>
      <c r="X1023" s="2436"/>
      <c r="Y1023" s="2436"/>
      <c r="Z1023" s="2436"/>
      <c r="AA1023" s="2436"/>
      <c r="AB1023" s="2436"/>
      <c r="AC1023" s="2436"/>
      <c r="AD1023" s="2436"/>
      <c r="AE1023" s="2437"/>
      <c r="AF1023" s="110"/>
      <c r="AG1023" s="112"/>
      <c r="AH1023" s="112"/>
      <c r="AI1023" s="121"/>
      <c r="AJ1023" s="2469"/>
      <c r="AK1023" s="2470"/>
      <c r="AL1023" s="2470"/>
      <c r="AM1023" s="2470"/>
      <c r="AN1023" s="2470"/>
      <c r="AO1023" s="2470"/>
      <c r="AP1023" s="2470"/>
      <c r="AQ1023" s="2471"/>
      <c r="AR1023" s="1585"/>
      <c r="AS1023" s="1585"/>
      <c r="AT1023" s="1585"/>
      <c r="AU1023" s="1585"/>
      <c r="AV1023" s="1585"/>
      <c r="AW1023" s="1585"/>
      <c r="AX1023" s="1585"/>
      <c r="AY1023" s="1585"/>
      <c r="CR1023" s="25"/>
    </row>
    <row r="1024" spans="1:96" ht="12.75" customHeight="1">
      <c r="A1024" s="51"/>
      <c r="B1024" s="117"/>
      <c r="C1024" s="198" t="s">
        <v>2187</v>
      </c>
      <c r="D1024" s="2472" t="s">
        <v>2459</v>
      </c>
      <c r="E1024" s="2473"/>
      <c r="F1024" s="2473"/>
      <c r="G1024" s="2473"/>
      <c r="H1024" s="2473"/>
      <c r="I1024" s="2473"/>
      <c r="J1024" s="2473"/>
      <c r="K1024" s="2473"/>
      <c r="L1024" s="2473"/>
      <c r="M1024" s="2473"/>
      <c r="N1024" s="2473"/>
      <c r="O1024" s="2473"/>
      <c r="P1024" s="2473"/>
      <c r="Q1024" s="2473"/>
      <c r="R1024" s="2473"/>
      <c r="S1024" s="2473"/>
      <c r="T1024" s="2473"/>
      <c r="U1024" s="2473"/>
      <c r="V1024" s="2473"/>
      <c r="W1024" s="2473"/>
      <c r="X1024" s="2473"/>
      <c r="Y1024" s="2473"/>
      <c r="Z1024" s="2473"/>
      <c r="AA1024" s="2473"/>
      <c r="AB1024" s="2473"/>
      <c r="AC1024" s="2473"/>
      <c r="AD1024" s="2473"/>
      <c r="AE1024" s="2474"/>
      <c r="AF1024" s="117"/>
      <c r="AG1024" s="2429" t="str">
        <f>IF(X1027&gt;0,"Yes","No")</f>
        <v>Yes</v>
      </c>
      <c r="AH1024" s="2430"/>
      <c r="AI1024" s="125"/>
      <c r="AJ1024" s="2438">
        <f>IF((X1027=0),0,BA989*AJ975)</f>
        <v>17826498.560000002</v>
      </c>
      <c r="AK1024" s="2439"/>
      <c r="AL1024" s="2439"/>
      <c r="AM1024" s="2439"/>
      <c r="AN1024" s="2439"/>
      <c r="AO1024" s="2439"/>
      <c r="AP1024" s="2439"/>
      <c r="AQ1024" s="2440"/>
      <c r="AR1024" s="1585"/>
      <c r="AS1024" s="1585"/>
      <c r="AT1024" s="1585"/>
      <c r="AU1024" s="1585"/>
      <c r="AV1024" s="1585"/>
      <c r="AW1024" s="1585"/>
      <c r="AX1024" s="1585"/>
      <c r="AY1024" s="1585"/>
    </row>
    <row r="1025" spans="1:96" ht="12.75" customHeight="1">
      <c r="A1025" s="51"/>
      <c r="B1025" s="110"/>
      <c r="C1025" s="703"/>
      <c r="D1025" s="2422" t="s">
        <v>1556</v>
      </c>
      <c r="E1025" s="2423"/>
      <c r="F1025" s="2423"/>
      <c r="G1025" s="2423"/>
      <c r="H1025" s="2423"/>
      <c r="I1025" s="2423"/>
      <c r="J1025" s="2423"/>
      <c r="K1025" s="2423"/>
      <c r="L1025" s="2423"/>
      <c r="M1025" s="2423"/>
      <c r="N1025" s="2423"/>
      <c r="O1025" s="2423"/>
      <c r="P1025" s="2423"/>
      <c r="Q1025" s="2423"/>
      <c r="R1025" s="2423"/>
      <c r="S1025" s="2423"/>
      <c r="T1025" s="2423"/>
      <c r="U1025" s="2423"/>
      <c r="V1025" s="2423"/>
      <c r="W1025" s="2423"/>
      <c r="X1025" s="2423"/>
      <c r="Y1025" s="2423"/>
      <c r="Z1025" s="2423"/>
      <c r="AA1025" s="2423"/>
      <c r="AB1025" s="2423"/>
      <c r="AC1025" s="2423"/>
      <c r="AD1025" s="2423"/>
      <c r="AE1025" s="2424"/>
      <c r="AF1025" s="110"/>
      <c r="AG1025" s="704"/>
      <c r="AH1025" s="704"/>
      <c r="AI1025" s="121"/>
      <c r="AJ1025" s="2441"/>
      <c r="AK1025" s="2442"/>
      <c r="AL1025" s="2442"/>
      <c r="AM1025" s="2442"/>
      <c r="AN1025" s="2442"/>
      <c r="AO1025" s="2442"/>
      <c r="AP1025" s="2442"/>
      <c r="AQ1025" s="2443"/>
      <c r="AR1025" s="1585"/>
      <c r="AS1025" s="1585"/>
      <c r="AT1025" s="1585"/>
      <c r="AU1025" s="1585"/>
      <c r="AV1025" s="1585"/>
      <c r="AW1025" s="1585"/>
      <c r="AX1025" s="1585"/>
      <c r="AY1025" s="1585"/>
    </row>
    <row r="1026" spans="1:96" ht="12.75" customHeight="1">
      <c r="A1026" s="51"/>
      <c r="B1026" s="110"/>
      <c r="C1026" s="703"/>
      <c r="D1026" s="2422"/>
      <c r="E1026" s="2423"/>
      <c r="F1026" s="2423"/>
      <c r="G1026" s="2423"/>
      <c r="H1026" s="2423"/>
      <c r="I1026" s="2423"/>
      <c r="J1026" s="2423"/>
      <c r="K1026" s="2423"/>
      <c r="L1026" s="2423"/>
      <c r="M1026" s="2423"/>
      <c r="N1026" s="2423"/>
      <c r="O1026" s="2423"/>
      <c r="P1026" s="2423"/>
      <c r="Q1026" s="2423"/>
      <c r="R1026" s="2423"/>
      <c r="S1026" s="2423"/>
      <c r="T1026" s="2423"/>
      <c r="U1026" s="2423"/>
      <c r="V1026" s="2423"/>
      <c r="W1026" s="2423"/>
      <c r="X1026" s="2423"/>
      <c r="Y1026" s="2423"/>
      <c r="Z1026" s="2423"/>
      <c r="AA1026" s="2423"/>
      <c r="AB1026" s="2423"/>
      <c r="AC1026" s="2423"/>
      <c r="AD1026" s="2423"/>
      <c r="AE1026" s="2424"/>
      <c r="AF1026" s="110"/>
      <c r="AG1026" s="704"/>
      <c r="AH1026" s="704"/>
      <c r="AI1026" s="121"/>
      <c r="AJ1026" s="2441"/>
      <c r="AK1026" s="2442"/>
      <c r="AL1026" s="2442"/>
      <c r="AM1026" s="2442"/>
      <c r="AN1026" s="2442"/>
      <c r="AO1026" s="2442"/>
      <c r="AP1026" s="2442"/>
      <c r="AQ1026" s="2443"/>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27">
        <f>BA987</f>
        <v>163</v>
      </c>
      <c r="J1027" s="2428"/>
      <c r="K1027" s="11"/>
      <c r="L1027" s="200"/>
      <c r="M1027" s="200"/>
      <c r="N1027" s="200"/>
      <c r="O1027" s="200"/>
      <c r="P1027" s="200"/>
      <c r="Q1027" s="200"/>
      <c r="R1027" s="200"/>
      <c r="S1027" s="200"/>
      <c r="T1027" s="200"/>
      <c r="U1027" s="200"/>
      <c r="V1027" s="201" t="s">
        <v>1055</v>
      </c>
      <c r="W1027" s="80"/>
      <c r="X1027" s="2425">
        <f>BG635</f>
        <v>43</v>
      </c>
      <c r="Y1027" s="2426"/>
      <c r="Z1027" s="80"/>
      <c r="AA1027" s="80"/>
      <c r="AB1027" s="80"/>
      <c r="AC1027" s="80"/>
      <c r="AD1027" s="80"/>
      <c r="AE1027" s="81"/>
      <c r="AF1027" s="1624"/>
      <c r="AG1027" s="1625"/>
      <c r="AH1027" s="1625"/>
      <c r="AI1027" s="1626"/>
      <c r="AJ1027" s="2444"/>
      <c r="AK1027" s="2445"/>
      <c r="AL1027" s="2445"/>
      <c r="AM1027" s="2445"/>
      <c r="AN1027" s="2445"/>
      <c r="AO1027" s="2445"/>
      <c r="AP1027" s="2445"/>
      <c r="AQ1027" s="2446"/>
      <c r="AR1027" s="1585"/>
      <c r="AS1027" s="1585"/>
      <c r="AT1027" s="1585"/>
      <c r="AU1027" s="1585"/>
      <c r="AV1027" s="1585"/>
      <c r="AW1027" s="1585"/>
      <c r="AX1027" s="1585"/>
      <c r="AY1027" s="1585"/>
      <c r="CR1027" s="25"/>
    </row>
    <row r="1028" spans="1:96" ht="12.75" customHeight="1">
      <c r="A1028" s="51"/>
      <c r="B1028" s="117"/>
      <c r="C1028" s="198" t="s">
        <v>2188</v>
      </c>
      <c r="D1028" s="2419" t="s">
        <v>2460</v>
      </c>
      <c r="E1028" s="2420"/>
      <c r="F1028" s="2420"/>
      <c r="G1028" s="2420"/>
      <c r="H1028" s="2420"/>
      <c r="I1028" s="2420"/>
      <c r="J1028" s="2420"/>
      <c r="K1028" s="2420"/>
      <c r="L1028" s="2420"/>
      <c r="M1028" s="2420"/>
      <c r="N1028" s="2420"/>
      <c r="O1028" s="2420"/>
      <c r="P1028" s="2420"/>
      <c r="Q1028" s="2420"/>
      <c r="R1028" s="2420"/>
      <c r="S1028" s="2420"/>
      <c r="T1028" s="2420"/>
      <c r="U1028" s="2420"/>
      <c r="V1028" s="2420"/>
      <c r="W1028" s="2420"/>
      <c r="X1028" s="2420"/>
      <c r="Y1028" s="2420"/>
      <c r="Z1028" s="2420"/>
      <c r="AA1028" s="2420"/>
      <c r="AB1028" s="2420"/>
      <c r="AC1028" s="2420"/>
      <c r="AD1028" s="2420"/>
      <c r="AE1028" s="2421"/>
      <c r="AF1028" s="110"/>
      <c r="AG1028" s="2429" t="str">
        <f>IF(X1031&gt;0,"Yes","No")</f>
        <v>Yes</v>
      </c>
      <c r="AH1028" s="2430"/>
      <c r="AI1028" s="121"/>
      <c r="AJ1028" s="2438">
        <f>IF((X1031=0),0,(2*BA990)*AJ975)</f>
        <v>13712691.200000001</v>
      </c>
      <c r="AK1028" s="2439"/>
      <c r="AL1028" s="2439"/>
      <c r="AM1028" s="2439"/>
      <c r="AN1028" s="2439"/>
      <c r="AO1028" s="2439"/>
      <c r="AP1028" s="2439"/>
      <c r="AQ1028" s="2440"/>
      <c r="AR1028" s="1585"/>
      <c r="AS1028" s="1585"/>
      <c r="AT1028" s="1585"/>
      <c r="AU1028" s="1585"/>
      <c r="AV1028" s="1585"/>
      <c r="AW1028" s="1585"/>
      <c r="AX1028" s="1585"/>
      <c r="AY1028" s="1585"/>
    </row>
    <row r="1029" spans="1:96" ht="12.75" customHeight="1">
      <c r="A1029" s="51"/>
      <c r="B1029" s="110"/>
      <c r="C1029" s="703"/>
      <c r="D1029" s="2422" t="s">
        <v>1555</v>
      </c>
      <c r="E1029" s="2423"/>
      <c r="F1029" s="2423"/>
      <c r="G1029" s="2423"/>
      <c r="H1029" s="2423"/>
      <c r="I1029" s="2423"/>
      <c r="J1029" s="2423"/>
      <c r="K1029" s="2423"/>
      <c r="L1029" s="2423"/>
      <c r="M1029" s="2423"/>
      <c r="N1029" s="2423"/>
      <c r="O1029" s="2423"/>
      <c r="P1029" s="2423"/>
      <c r="Q1029" s="2423"/>
      <c r="R1029" s="2423"/>
      <c r="S1029" s="2423"/>
      <c r="T1029" s="2423"/>
      <c r="U1029" s="2423"/>
      <c r="V1029" s="2423"/>
      <c r="W1029" s="2423"/>
      <c r="X1029" s="2423"/>
      <c r="Y1029" s="2423"/>
      <c r="Z1029" s="2423"/>
      <c r="AA1029" s="2423"/>
      <c r="AB1029" s="2423"/>
      <c r="AC1029" s="2423"/>
      <c r="AD1029" s="2423"/>
      <c r="AE1029" s="2424"/>
      <c r="AF1029" s="110"/>
      <c r="AG1029" s="704"/>
      <c r="AH1029" s="704"/>
      <c r="AI1029" s="121"/>
      <c r="AJ1029" s="2441"/>
      <c r="AK1029" s="2442"/>
      <c r="AL1029" s="2442"/>
      <c r="AM1029" s="2442"/>
      <c r="AN1029" s="2442"/>
      <c r="AO1029" s="2442"/>
      <c r="AP1029" s="2442"/>
      <c r="AQ1029" s="2443"/>
      <c r="AR1029" s="1585"/>
      <c r="AS1029" s="1585"/>
      <c r="AT1029" s="1585"/>
      <c r="AU1029" s="1585"/>
      <c r="AV1029" s="1585"/>
      <c r="AW1029" s="1585"/>
      <c r="AX1029" s="1585"/>
      <c r="AY1029" s="1585"/>
    </row>
    <row r="1030" spans="1:96" ht="12.75" customHeight="1">
      <c r="A1030" s="51"/>
      <c r="B1030" s="110"/>
      <c r="C1030" s="121"/>
      <c r="D1030" s="2422"/>
      <c r="E1030" s="2423"/>
      <c r="F1030" s="2423"/>
      <c r="G1030" s="2423"/>
      <c r="H1030" s="2423"/>
      <c r="I1030" s="2423"/>
      <c r="J1030" s="2423"/>
      <c r="K1030" s="2423"/>
      <c r="L1030" s="2423"/>
      <c r="M1030" s="2423"/>
      <c r="N1030" s="2423"/>
      <c r="O1030" s="2423"/>
      <c r="P1030" s="2423"/>
      <c r="Q1030" s="2423"/>
      <c r="R1030" s="2423"/>
      <c r="S1030" s="2423"/>
      <c r="T1030" s="2423"/>
      <c r="U1030" s="2423"/>
      <c r="V1030" s="2423"/>
      <c r="W1030" s="2423"/>
      <c r="X1030" s="2423"/>
      <c r="Y1030" s="2423"/>
      <c r="Z1030" s="2423"/>
      <c r="AA1030" s="2423"/>
      <c r="AB1030" s="2423"/>
      <c r="AC1030" s="2423"/>
      <c r="AD1030" s="2423"/>
      <c r="AE1030" s="2424"/>
      <c r="AF1030" s="1621"/>
      <c r="AG1030" s="1622"/>
      <c r="AH1030" s="1622"/>
      <c r="AI1030" s="1623"/>
      <c r="AJ1030" s="2441"/>
      <c r="AK1030" s="2442"/>
      <c r="AL1030" s="2442"/>
      <c r="AM1030" s="2442"/>
      <c r="AN1030" s="2442"/>
      <c r="AO1030" s="2442"/>
      <c r="AP1030" s="2442"/>
      <c r="AQ1030" s="2443"/>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27">
        <f>BA987</f>
        <v>163</v>
      </c>
      <c r="J1031" s="2428"/>
      <c r="K1031" s="51"/>
      <c r="L1031" s="200"/>
      <c r="M1031" s="200"/>
      <c r="N1031" s="200"/>
      <c r="O1031" s="200"/>
      <c r="P1031" s="200"/>
      <c r="Q1031" s="200"/>
      <c r="R1031" s="200"/>
      <c r="S1031" s="200"/>
      <c r="T1031" s="200"/>
      <c r="U1031" s="200"/>
      <c r="V1031" s="201" t="s">
        <v>1056</v>
      </c>
      <c r="X1031" s="2425">
        <f>BK635</f>
        <v>17</v>
      </c>
      <c r="Y1031" s="2426"/>
      <c r="AF1031" s="1624"/>
      <c r="AG1031" s="1625"/>
      <c r="AH1031" s="1625"/>
      <c r="AI1031" s="1626"/>
      <c r="AJ1031" s="2444"/>
      <c r="AK1031" s="2445"/>
      <c r="AL1031" s="2445"/>
      <c r="AM1031" s="2445"/>
      <c r="AN1031" s="2445"/>
      <c r="AO1031" s="2445"/>
      <c r="AP1031" s="2445"/>
      <c r="AQ1031" s="2446"/>
      <c r="AR1031" s="1585"/>
      <c r="AS1031" s="1585"/>
      <c r="AT1031" s="1585"/>
      <c r="AU1031" s="1585"/>
      <c r="AV1031" s="1585"/>
      <c r="AW1031" s="1585"/>
      <c r="AX1031" s="1585"/>
      <c r="AY1031" s="1585"/>
      <c r="CR1031" s="25"/>
    </row>
    <row r="1032" spans="1:96" ht="12.75" customHeight="1">
      <c r="A1032" s="51"/>
      <c r="B1032" s="158"/>
      <c r="C1032" s="159"/>
      <c r="D1032" s="2417" t="s">
        <v>547</v>
      </c>
      <c r="E1032" s="2417"/>
      <c r="F1032" s="2417"/>
      <c r="G1032" s="2417"/>
      <c r="H1032" s="2417"/>
      <c r="I1032" s="2417"/>
      <c r="J1032" s="2417"/>
      <c r="K1032" s="2417"/>
      <c r="L1032" s="2417"/>
      <c r="M1032" s="2417"/>
      <c r="N1032" s="2417"/>
      <c r="O1032" s="2417"/>
      <c r="P1032" s="2417"/>
      <c r="Q1032" s="2417"/>
      <c r="R1032" s="2417"/>
      <c r="S1032" s="2417"/>
      <c r="T1032" s="2417"/>
      <c r="U1032" s="2417"/>
      <c r="V1032" s="2417"/>
      <c r="W1032" s="2417"/>
      <c r="X1032" s="2417"/>
      <c r="Y1032" s="2417"/>
      <c r="Z1032" s="2417"/>
      <c r="AA1032" s="2417"/>
      <c r="AB1032" s="2417"/>
      <c r="AC1032" s="2417"/>
      <c r="AD1032" s="2417"/>
      <c r="AE1032" s="2417"/>
      <c r="AF1032" s="2417"/>
      <c r="AG1032" s="2417"/>
      <c r="AH1032" s="2417"/>
      <c r="AI1032" s="2418"/>
      <c r="AJ1032" s="2447">
        <f>SUM(AJ975:AQ1031)</f>
        <v>104469568.76000001</v>
      </c>
      <c r="AK1032" s="2448"/>
      <c r="AL1032" s="2448"/>
      <c r="AM1032" s="2448"/>
      <c r="AN1032" s="2448"/>
      <c r="AO1032" s="2448"/>
      <c r="AP1032" s="2448"/>
      <c r="AQ1032" s="2449"/>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48" t="s">
        <v>1944</v>
      </c>
      <c r="C1034" s="2148"/>
      <c r="D1034" s="2148"/>
      <c r="E1034" s="2148"/>
      <c r="F1034" s="2148"/>
      <c r="G1034" s="2148"/>
      <c r="H1034" s="2148"/>
      <c r="I1034" s="2148"/>
      <c r="J1034" s="2148"/>
      <c r="K1034" s="2148"/>
      <c r="L1034" s="2148"/>
      <c r="M1034" s="2148"/>
      <c r="N1034" s="2148"/>
      <c r="O1034" s="2148"/>
      <c r="P1034" s="2148"/>
      <c r="Q1034" s="2148"/>
      <c r="R1034" s="2148"/>
      <c r="S1034" s="2148"/>
      <c r="T1034" s="2148"/>
      <c r="U1034" s="2148"/>
      <c r="V1034" s="2148"/>
      <c r="W1034" s="2148"/>
      <c r="X1034" s="2148"/>
      <c r="Y1034" s="214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4"/>
      <c r="Y1035" s="2394"/>
      <c r="Z1035" s="2394"/>
      <c r="AA1035" s="2394"/>
      <c r="AB1035" s="2394"/>
      <c r="AC1035" s="2394"/>
      <c r="AD1035" s="2138">
        <f>R971</f>
        <v>416000</v>
      </c>
      <c r="AE1035" s="2139"/>
      <c r="AF1035" s="2139"/>
      <c r="AG1035" s="2139"/>
      <c r="AH1035" s="2139"/>
      <c r="AI1035" s="2139"/>
      <c r="AJ1035" s="2139"/>
      <c r="AK1035" s="2139"/>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4"/>
      <c r="Y1036" s="2384"/>
      <c r="Z1036" s="2384"/>
      <c r="AA1036" s="2384"/>
      <c r="AB1036" s="2384"/>
      <c r="AC1036" s="2384"/>
      <c r="AD1036" s="2147">
        <f>MIN((BR809:BR866))</f>
        <v>318400</v>
      </c>
      <c r="AE1036" s="2147"/>
      <c r="AF1036" s="2147"/>
      <c r="AG1036" s="2147"/>
      <c r="AH1036" s="2147"/>
      <c r="AI1036" s="2147"/>
      <c r="AJ1036" s="2147"/>
      <c r="AK1036" s="214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40" t="s">
        <v>1947</v>
      </c>
      <c r="C1037" s="2140"/>
      <c r="D1037" s="2140"/>
      <c r="E1037" s="2140"/>
      <c r="F1037" s="2140"/>
      <c r="G1037" s="2140"/>
      <c r="H1037" s="2140"/>
      <c r="I1037" s="2140"/>
      <c r="J1037" s="2140"/>
      <c r="K1037" s="2140"/>
      <c r="L1037" s="2140"/>
      <c r="M1037" s="2140"/>
      <c r="N1037" s="2140"/>
      <c r="O1037" s="2140"/>
      <c r="P1037" s="2140"/>
      <c r="Q1037" s="2140"/>
      <c r="R1037" s="2140"/>
      <c r="S1037" s="2140"/>
      <c r="T1037" s="2140"/>
      <c r="U1037" s="2140"/>
      <c r="V1037" s="2140"/>
      <c r="W1037" s="2140"/>
      <c r="X1037" s="2140"/>
      <c r="Y1037" s="2140"/>
      <c r="Z1037" s="1418"/>
      <c r="AA1037" s="1418"/>
      <c r="AB1037" s="1418"/>
      <c r="AC1037" s="1418"/>
      <c r="AD1037" s="2135">
        <f>IF(((AD1035-AD1036)/AD1036)&gt;0.3,0.3,((AD1035-AD1036)/AD1036))</f>
        <v>0.3</v>
      </c>
      <c r="AE1037" s="2136"/>
      <c r="AF1037" s="2136"/>
      <c r="AG1037" s="2136"/>
      <c r="AH1037" s="2136"/>
      <c r="AI1037" s="2136"/>
      <c r="AJ1037" s="2136"/>
      <c r="AK1037" s="2137"/>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3" t="s">
        <v>855</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2" t="s">
        <v>627</v>
      </c>
      <c r="B1044" s="2022"/>
      <c r="C1044" s="13">
        <v>1</v>
      </c>
      <c r="D1044" s="1871" t="s">
        <v>1226</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2" t="s">
        <v>627</v>
      </c>
      <c r="B1050" s="2022"/>
      <c r="C1050" s="13">
        <v>2</v>
      </c>
      <c r="D1050" s="1871" t="s">
        <v>1225</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2022" t="s">
        <v>627</v>
      </c>
      <c r="B1056" s="2022"/>
      <c r="C1056" s="13">
        <v>3</v>
      </c>
      <c r="D1056" s="1871" t="s">
        <v>1538</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20"/>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20"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2022" t="s">
        <v>627</v>
      </c>
      <c r="B1063" s="2022"/>
      <c r="C1063" s="13">
        <v>4</v>
      </c>
      <c r="D1063" s="1871" t="s">
        <v>1211</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3" customFormat="1" ht="12.6" customHeight="1">
      <c r="A1066" s="2022" t="s">
        <v>627</v>
      </c>
      <c r="B1066" s="2022"/>
      <c r="C1066" s="13">
        <v>5</v>
      </c>
      <c r="D1066" s="1871" t="s">
        <v>1424</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3"/>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2022" t="s">
        <v>627</v>
      </c>
      <c r="B1071" s="2022"/>
      <c r="C1071" s="13">
        <v>6</v>
      </c>
      <c r="D1071" s="1871" t="s">
        <v>1212</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2022" t="s">
        <v>627</v>
      </c>
      <c r="B1074" s="2022"/>
      <c r="C1074" s="319">
        <v>7</v>
      </c>
      <c r="D1074" s="1871" t="s">
        <v>1214</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3"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2022" t="s">
        <v>627</v>
      </c>
      <c r="B1078" s="2022"/>
      <c r="C1078" s="319">
        <v>8</v>
      </c>
      <c r="D1078" s="2393" t="s">
        <v>2183</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 customHeight="1">
      <c r="A1079" s="235"/>
      <c r="B1079" s="235"/>
      <c r="C1079" s="319"/>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 customHeight="1">
      <c r="A1080" s="235"/>
      <c r="B1080" s="235"/>
      <c r="C1080" s="319"/>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3"/>
    </row>
    <row r="1081" spans="1:96" ht="12" customHeight="1">
      <c r="A1081" s="62"/>
      <c r="B1081" s="66"/>
      <c r="C1081" s="319"/>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 customHeight="1">
      <c r="A1082" s="2022" t="s">
        <v>627</v>
      </c>
      <c r="B1082" s="2022"/>
      <c r="C1082" s="319">
        <v>9</v>
      </c>
      <c r="D1082" s="1871" t="s">
        <v>1213</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DR657:DV657"/>
    <mergeCell ref="DC649:DG649"/>
    <mergeCell ref="DR653:DV653"/>
    <mergeCell ref="CS654:CW654"/>
    <mergeCell ref="CX654:DB654"/>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G623:L623"/>
    <mergeCell ref="G622:R622"/>
    <mergeCell ref="Z621:AK621"/>
    <mergeCell ref="AG609:AH609"/>
    <mergeCell ref="AI607:AK607"/>
    <mergeCell ref="O638:Q638"/>
    <mergeCell ref="AG601:AH601"/>
    <mergeCell ref="Z599:AE599"/>
    <mergeCell ref="Z606:AK606"/>
    <mergeCell ref="AG617:AH617"/>
    <mergeCell ref="R638:T638"/>
    <mergeCell ref="G603:R603"/>
    <mergeCell ref="AA616:AK616"/>
    <mergeCell ref="G615:L615"/>
    <mergeCell ref="AA608:AK608"/>
    <mergeCell ref="AA600:AK600"/>
    <mergeCell ref="Z623:AE623"/>
    <mergeCell ref="G620:R620"/>
    <mergeCell ref="H624:R624"/>
    <mergeCell ref="P623:R623"/>
    <mergeCell ref="Z622:AK622"/>
    <mergeCell ref="Z620:AK620"/>
    <mergeCell ref="AK647:AN647"/>
    <mergeCell ref="AF646:AJ646"/>
    <mergeCell ref="N625:O625"/>
    <mergeCell ref="O641:Q641"/>
    <mergeCell ref="U642:W642"/>
    <mergeCell ref="CS634:CW634"/>
    <mergeCell ref="AO634:AS636"/>
    <mergeCell ref="BN648:BR648"/>
    <mergeCell ref="BN641:BR641"/>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7:Q637"/>
    <mergeCell ref="U634:W636"/>
    <mergeCell ref="AC634:AE636"/>
    <mergeCell ref="U637:W637"/>
    <mergeCell ref="ER647:EV647"/>
    <mergeCell ref="EM638:EQ638"/>
    <mergeCell ref="ER638:EV638"/>
    <mergeCell ref="O642:Q642"/>
    <mergeCell ref="R647:T647"/>
    <mergeCell ref="R648:T648"/>
    <mergeCell ref="O646:Q646"/>
    <mergeCell ref="O645:Q645"/>
    <mergeCell ref="U648:W648"/>
    <mergeCell ref="O648:Q648"/>
    <mergeCell ref="EW650:FA650"/>
    <mergeCell ref="EC663:EG663"/>
    <mergeCell ref="EH663:EL663"/>
    <mergeCell ref="EM663:EQ663"/>
    <mergeCell ref="ER663:EV663"/>
    <mergeCell ref="DX653:EB653"/>
    <mergeCell ref="EC653:EG653"/>
    <mergeCell ref="DX662:EB662"/>
    <mergeCell ref="ER653:EV653"/>
    <mergeCell ref="EC651:EG651"/>
    <mergeCell ref="EH652:EL652"/>
    <mergeCell ref="ER652:EV652"/>
    <mergeCell ref="DX655:EB655"/>
    <mergeCell ref="EC655:EG655"/>
    <mergeCell ref="EH655:EL655"/>
    <mergeCell ref="EM655:EQ655"/>
    <mergeCell ref="ER655:EV655"/>
    <mergeCell ref="ER650:EV650"/>
    <mergeCell ref="EM652:EQ652"/>
    <mergeCell ref="EH658:EL658"/>
    <mergeCell ref="EM658:EQ658"/>
    <mergeCell ref="DX656:EB656"/>
    <mergeCell ref="EC656:EG656"/>
    <mergeCell ref="ER658:EV658"/>
    <mergeCell ref="EW658:FA658"/>
    <mergeCell ref="EW653:FA653"/>
    <mergeCell ref="EM654:EQ654"/>
    <mergeCell ref="EH656:EL656"/>
    <mergeCell ref="EM656:EQ656"/>
    <mergeCell ref="ER656:EV656"/>
    <mergeCell ref="EW656:FA656"/>
    <mergeCell ref="EW655:FA655"/>
    <mergeCell ref="ER654:EV654"/>
    <mergeCell ref="EW654:FA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C662:EG662"/>
    <mergeCell ref="EM642:EQ642"/>
    <mergeCell ref="ER642:EV642"/>
    <mergeCell ref="DX658:EB658"/>
    <mergeCell ref="EC658:EG658"/>
    <mergeCell ref="EM661:EQ661"/>
    <mergeCell ref="ER661:EV661"/>
    <mergeCell ref="EW661:FA661"/>
    <mergeCell ref="DX663:EB663"/>
    <mergeCell ref="EH662:EL662"/>
    <mergeCell ref="EM662:EQ662"/>
    <mergeCell ref="ER662:EV662"/>
    <mergeCell ref="EW662:FA662"/>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7:EB657"/>
    <mergeCell ref="EC657:EG657"/>
    <mergeCell ref="EH657:EL657"/>
    <mergeCell ref="EM657:EQ657"/>
    <mergeCell ref="ER657:EV657"/>
    <mergeCell ref="EW657:FA657"/>
    <mergeCell ref="EW651:FA651"/>
    <mergeCell ref="EM635:EQ635"/>
    <mergeCell ref="ER635:EV635"/>
    <mergeCell ref="DX650:EB650"/>
    <mergeCell ref="EC650:EG650"/>
    <mergeCell ref="EH651:EL651"/>
    <mergeCell ref="EM651:EQ651"/>
    <mergeCell ref="ER651:EV651"/>
    <mergeCell ref="DX652:EB652"/>
    <mergeCell ref="EC652:EG652"/>
    <mergeCell ref="DX654:EB654"/>
    <mergeCell ref="EC654:EG654"/>
    <mergeCell ref="EH654:EL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C629:EG629"/>
    <mergeCell ref="EC633:EG633"/>
    <mergeCell ref="EW642:FA642"/>
    <mergeCell ref="ER640:EV640"/>
    <mergeCell ref="DX643:EB643"/>
    <mergeCell ref="EC643:EG643"/>
    <mergeCell ref="EW646:FA646"/>
    <mergeCell ref="DX647:EB647"/>
    <mergeCell ref="EC647:EG647"/>
    <mergeCell ref="EH647:EL647"/>
    <mergeCell ref="EM647:EQ647"/>
    <mergeCell ref="EW652:FA652"/>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DX625:EB625"/>
    <mergeCell ref="EC625:EG625"/>
    <mergeCell ref="EW638:FA638"/>
    <mergeCell ref="DX639:EB639"/>
    <mergeCell ref="ER639:EV63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33:EB633"/>
    <mergeCell ref="EC639:EG639"/>
    <mergeCell ref="EH639:EL639"/>
    <mergeCell ref="EM639:EQ639"/>
    <mergeCell ref="DX629:EB629"/>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5:FA635"/>
    <mergeCell ref="DX638:EB638"/>
    <mergeCell ref="EC638:EG638"/>
    <mergeCell ref="EH638:EL638"/>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1:EB621"/>
    <mergeCell ref="EC621:EG621"/>
    <mergeCell ref="EH625:EL625"/>
    <mergeCell ref="EM625:EQ625"/>
    <mergeCell ref="ER625:EV625"/>
    <mergeCell ref="EW625:FA625"/>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7:EB617"/>
    <mergeCell ref="EC617:EG617"/>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3:EB613"/>
    <mergeCell ref="EC613:EG613"/>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09:EB609"/>
    <mergeCell ref="EC609:EG609"/>
    <mergeCell ref="CS653:CW653"/>
    <mergeCell ref="CX653:DB653"/>
    <mergeCell ref="DC653:DG653"/>
    <mergeCell ref="DH653:DL653"/>
    <mergeCell ref="DM653:DQ653"/>
    <mergeCell ref="CX652:DB652"/>
    <mergeCell ref="DC652:DG652"/>
    <mergeCell ref="DH652:DL652"/>
    <mergeCell ref="DM652:DQ652"/>
    <mergeCell ref="DR652:DV652"/>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AB968:AI968"/>
    <mergeCell ref="AB969:AI969"/>
    <mergeCell ref="AB970:AI970"/>
    <mergeCell ref="AB971:AI971"/>
    <mergeCell ref="AB972:AI972"/>
    <mergeCell ref="AB973:AI973"/>
    <mergeCell ref="M946:S946"/>
    <mergeCell ref="AB974:AI974"/>
    <mergeCell ref="D973:Q973"/>
    <mergeCell ref="AJ968:AQ968"/>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G999:AH999"/>
    <mergeCell ref="AG1004:AH1004"/>
    <mergeCell ref="D995:AE995"/>
    <mergeCell ref="R969:AA969"/>
    <mergeCell ref="B975:AI975"/>
    <mergeCell ref="AJ975:AQ975"/>
    <mergeCell ref="AJ972:AQ972"/>
    <mergeCell ref="AJ973:AQ973"/>
    <mergeCell ref="AJ969:AQ969"/>
    <mergeCell ref="AJ970:AQ970"/>
    <mergeCell ref="AG1024:AH1024"/>
    <mergeCell ref="D996:AE998"/>
    <mergeCell ref="AG1011:AH1011"/>
    <mergeCell ref="R970:AA970"/>
    <mergeCell ref="R971:AA971"/>
    <mergeCell ref="R972:AA972"/>
    <mergeCell ref="R973:AA973"/>
    <mergeCell ref="J793:N793"/>
    <mergeCell ref="AH748:AL748"/>
    <mergeCell ref="K748:N748"/>
    <mergeCell ref="K749:N749"/>
    <mergeCell ref="C835:AJ835"/>
    <mergeCell ref="E883:AB883"/>
    <mergeCell ref="W847:AC847"/>
    <mergeCell ref="AH787:AL787"/>
    <mergeCell ref="AH788:AL788"/>
    <mergeCell ref="AH789:AL789"/>
    <mergeCell ref="AH790:AL790"/>
    <mergeCell ref="AH791:AL791"/>
    <mergeCell ref="J790:N790"/>
    <mergeCell ref="Y748:AB748"/>
    <mergeCell ref="Z804:AE804"/>
    <mergeCell ref="Z805:AE805"/>
    <mergeCell ref="J787:N787"/>
    <mergeCell ref="J789:N789"/>
    <mergeCell ref="D968:Q968"/>
    <mergeCell ref="D969:Q969"/>
    <mergeCell ref="D970:Q970"/>
    <mergeCell ref="D971:Q971"/>
    <mergeCell ref="D972:Q972"/>
    <mergeCell ref="J1003:AE1003"/>
    <mergeCell ref="D1004:AE100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D1016:AE1019"/>
    <mergeCell ref="AJ1015:AQ1019"/>
    <mergeCell ref="D1020:AE1020"/>
    <mergeCell ref="D1021:AE1023"/>
    <mergeCell ref="AJ1020:AQ1023"/>
    <mergeCell ref="D1024:AE1024"/>
    <mergeCell ref="D993:AE994"/>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M828:P828"/>
    <mergeCell ref="O776:S776"/>
    <mergeCell ref="AH749:AL749"/>
    <mergeCell ref="AC788:AG788"/>
    <mergeCell ref="AC825:AF825"/>
    <mergeCell ref="J791:N791"/>
    <mergeCell ref="AC796:AG796"/>
    <mergeCell ref="AC827:AF827"/>
    <mergeCell ref="M827:P827"/>
    <mergeCell ref="M821:P822"/>
    <mergeCell ref="Q821:T822"/>
    <mergeCell ref="J941:S941"/>
    <mergeCell ref="Z897:AE897"/>
    <mergeCell ref="W867:AC867"/>
    <mergeCell ref="AC886:AH886"/>
    <mergeCell ref="U915:Z915"/>
    <mergeCell ref="AJ971:AQ971"/>
    <mergeCell ref="AH792:AL792"/>
    <mergeCell ref="AH793:AL793"/>
    <mergeCell ref="AH794:AL794"/>
    <mergeCell ref="AH795:AL795"/>
    <mergeCell ref="AM747:AO747"/>
    <mergeCell ref="AM748:AO748"/>
    <mergeCell ref="AM746:AO746"/>
    <mergeCell ref="O790:S790"/>
    <mergeCell ref="T742:X742"/>
    <mergeCell ref="T743:X743"/>
    <mergeCell ref="T744:X744"/>
    <mergeCell ref="B740:F740"/>
    <mergeCell ref="B748:F748"/>
    <mergeCell ref="AC786:AG786"/>
    <mergeCell ref="AC787:AG787"/>
    <mergeCell ref="O743:S743"/>
    <mergeCell ref="AC776:AG776"/>
    <mergeCell ref="X776:AB776"/>
    <mergeCell ref="X768:AB771"/>
    <mergeCell ref="K750:N750"/>
    <mergeCell ref="AC745:AG745"/>
    <mergeCell ref="AC746:AG746"/>
    <mergeCell ref="AC747:AG747"/>
    <mergeCell ref="AC748:AG748"/>
    <mergeCell ref="AC749:AG749"/>
    <mergeCell ref="AM742:AO742"/>
    <mergeCell ref="G748:J748"/>
    <mergeCell ref="G747:J747"/>
    <mergeCell ref="G745:J745"/>
    <mergeCell ref="G746:J746"/>
    <mergeCell ref="G740:J740"/>
    <mergeCell ref="AM739:AO739"/>
    <mergeCell ref="AM737:AO737"/>
    <mergeCell ref="K734:N734"/>
    <mergeCell ref="K735:N735"/>
    <mergeCell ref="T787:W787"/>
    <mergeCell ref="Y735:AB735"/>
    <mergeCell ref="AC738:AG738"/>
    <mergeCell ref="AH734:AL734"/>
    <mergeCell ref="AH735:AL735"/>
    <mergeCell ref="AH736:AL736"/>
    <mergeCell ref="AH739:AL739"/>
    <mergeCell ref="AC739:AG739"/>
    <mergeCell ref="AM738:AO738"/>
    <mergeCell ref="T745:X745"/>
    <mergeCell ref="T746:X746"/>
    <mergeCell ref="J776:N776"/>
    <mergeCell ref="AH782:AL785"/>
    <mergeCell ref="AH786:AL786"/>
    <mergeCell ref="K744:N744"/>
    <mergeCell ref="K745:N745"/>
    <mergeCell ref="K746:N746"/>
    <mergeCell ref="K747:N747"/>
    <mergeCell ref="N691:O691"/>
    <mergeCell ref="K730:N730"/>
    <mergeCell ref="G664:R664"/>
    <mergeCell ref="Z688:AK688"/>
    <mergeCell ref="G663:R663"/>
    <mergeCell ref="Z693:AK693"/>
    <mergeCell ref="G689:L689"/>
    <mergeCell ref="Z656:AK656"/>
    <mergeCell ref="AI689:AK689"/>
    <mergeCell ref="AG667:AH667"/>
    <mergeCell ref="G671:R671"/>
    <mergeCell ref="G680:R680"/>
    <mergeCell ref="O730:S730"/>
    <mergeCell ref="H682:R682"/>
    <mergeCell ref="G673:L673"/>
    <mergeCell ref="Z687:AK687"/>
    <mergeCell ref="G655:R655"/>
    <mergeCell ref="AE709:AI709"/>
    <mergeCell ref="G730:J730"/>
    <mergeCell ref="AE708:AI708"/>
    <mergeCell ref="AG699:AH699"/>
    <mergeCell ref="Z672:AK672"/>
    <mergeCell ref="Z677:AK677"/>
    <mergeCell ref="Z655:AK655"/>
    <mergeCell ref="G694:R694"/>
    <mergeCell ref="AI673:AK673"/>
    <mergeCell ref="G695:R695"/>
    <mergeCell ref="AA682:AK682"/>
    <mergeCell ref="AA674:AK674"/>
    <mergeCell ref="Z697:AE697"/>
    <mergeCell ref="AI665:AK665"/>
    <mergeCell ref="Z653:AK653"/>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B728:F728"/>
    <mergeCell ref="G669:R669"/>
    <mergeCell ref="AH750:AL750"/>
    <mergeCell ref="AH751:AL751"/>
    <mergeCell ref="O740:S740"/>
    <mergeCell ref="O741:S741"/>
    <mergeCell ref="AK641:AN641"/>
    <mergeCell ref="AK642:AN642"/>
    <mergeCell ref="AK643:AN643"/>
    <mergeCell ref="AK644:AN644"/>
    <mergeCell ref="AK645:AN645"/>
    <mergeCell ref="AK646:AN646"/>
    <mergeCell ref="AK638:AN638"/>
    <mergeCell ref="A8:AL8"/>
    <mergeCell ref="S501:AK502"/>
    <mergeCell ref="I409:AE409"/>
    <mergeCell ref="AF178:AG178"/>
    <mergeCell ref="M27:Q27"/>
    <mergeCell ref="R645:T645"/>
    <mergeCell ref="R646:T646"/>
    <mergeCell ref="N617:O617"/>
    <mergeCell ref="P607:R607"/>
    <mergeCell ref="G599:L599"/>
    <mergeCell ref="X638:AB638"/>
    <mergeCell ref="Z615:AE615"/>
    <mergeCell ref="Z619:AK619"/>
    <mergeCell ref="G619:R619"/>
    <mergeCell ref="AI623:AK623"/>
    <mergeCell ref="AC637:AE637"/>
    <mergeCell ref="Z612:AK612"/>
    <mergeCell ref="G606:R606"/>
    <mergeCell ref="Z603:AK603"/>
    <mergeCell ref="O639:Q639"/>
    <mergeCell ref="O640:Q640"/>
    <mergeCell ref="X637:AB637"/>
    <mergeCell ref="AA624:AK624"/>
    <mergeCell ref="AG625:AH625"/>
    <mergeCell ref="AA319:AK319"/>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M740:AO740"/>
    <mergeCell ref="BG851:BL851"/>
    <mergeCell ref="Y824:AB824"/>
    <mergeCell ref="AC795:AG79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A1074:B1074"/>
    <mergeCell ref="X1035:AC1035"/>
    <mergeCell ref="D1044:AK1049"/>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AH744:AL744"/>
    <mergeCell ref="C824:H824"/>
    <mergeCell ref="U827:X827"/>
    <mergeCell ref="AM745:AO745"/>
    <mergeCell ref="AM743:AO743"/>
    <mergeCell ref="M940:S940"/>
    <mergeCell ref="AA919:AF919"/>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50:BW650"/>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C629:DG629"/>
    <mergeCell ref="DH629:DL629"/>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M623:DQ623"/>
    <mergeCell ref="DR623:DV623"/>
    <mergeCell ref="DM624:DQ624"/>
    <mergeCell ref="DR624:DV624"/>
    <mergeCell ref="DH621:DL621"/>
    <mergeCell ref="CS623:CW623"/>
    <mergeCell ref="CX623:DB623"/>
    <mergeCell ref="DC623:DG623"/>
    <mergeCell ref="DH623:DL623"/>
    <mergeCell ref="DR621:DV621"/>
    <mergeCell ref="DM621:DQ621"/>
    <mergeCell ref="DR625:DV625"/>
    <mergeCell ref="CS624:CW624"/>
    <mergeCell ref="CX624:DB624"/>
    <mergeCell ref="DC624:DG624"/>
    <mergeCell ref="DH624:DL624"/>
    <mergeCell ref="DM625:DQ625"/>
    <mergeCell ref="DM613:DQ613"/>
    <mergeCell ref="DH619:DL619"/>
    <mergeCell ref="DR613:DV613"/>
    <mergeCell ref="CS612:CW612"/>
    <mergeCell ref="CX612:DB612"/>
    <mergeCell ref="DC612:DG612"/>
    <mergeCell ref="DH612:DL612"/>
    <mergeCell ref="DC614:DG614"/>
    <mergeCell ref="DH614:DL614"/>
    <mergeCell ref="DM622:DQ622"/>
    <mergeCell ref="DR622:DV622"/>
    <mergeCell ref="CS621:CW621"/>
    <mergeCell ref="CX621:DB621"/>
    <mergeCell ref="CS622:CW622"/>
    <mergeCell ref="CX622:DB622"/>
    <mergeCell ref="DC622:DG622"/>
    <mergeCell ref="DH622:DL622"/>
    <mergeCell ref="DC621:DG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8:CW618"/>
    <mergeCell ref="CX618:DB618"/>
    <mergeCell ref="DC618:DG618"/>
    <mergeCell ref="DH618:DL618"/>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H611:DL611"/>
    <mergeCell ref="DM611:DQ611"/>
    <mergeCell ref="DR611:DV611"/>
    <mergeCell ref="DM612:DQ612"/>
    <mergeCell ref="DR612:DV612"/>
    <mergeCell ref="CS611:CW611"/>
    <mergeCell ref="CX615:DB615"/>
    <mergeCell ref="DC611:DG611"/>
    <mergeCell ref="DH609:DL609"/>
    <mergeCell ref="DM614:DQ614"/>
    <mergeCell ref="DR614:DV614"/>
    <mergeCell ref="CS613:CW613"/>
    <mergeCell ref="A13:AL14"/>
    <mergeCell ref="Q389:U389"/>
    <mergeCell ref="AI388:AJ388"/>
    <mergeCell ref="E367:AH368"/>
    <mergeCell ref="AA323:AF323"/>
    <mergeCell ref="H328:R328"/>
    <mergeCell ref="H331:M331"/>
    <mergeCell ref="AA328:AK328"/>
    <mergeCell ref="BN609:BR609"/>
    <mergeCell ref="P330:R330"/>
    <mergeCell ref="H332:R332"/>
    <mergeCell ref="H329:R329"/>
    <mergeCell ref="T196:U196"/>
    <mergeCell ref="M247:AE247"/>
    <mergeCell ref="DM610:DQ610"/>
    <mergeCell ref="AC370:AF370"/>
    <mergeCell ref="AJ355:AK355"/>
    <mergeCell ref="P322:R322"/>
    <mergeCell ref="V381:W381"/>
    <mergeCell ref="AF417:AH417"/>
    <mergeCell ref="H327:R327"/>
    <mergeCell ref="DC609:DG609"/>
    <mergeCell ref="CX611:DB611"/>
    <mergeCell ref="DC613:DG613"/>
    <mergeCell ref="DH613:DL613"/>
    <mergeCell ref="M242:AE242"/>
    <mergeCell ref="AF639:AJ639"/>
    <mergeCell ref="R642:T642"/>
    <mergeCell ref="U641:W641"/>
    <mergeCell ref="U640:W640"/>
    <mergeCell ref="AO638:AS638"/>
    <mergeCell ref="AO641:AS641"/>
    <mergeCell ref="AO648:AS648"/>
    <mergeCell ref="AO639:AS639"/>
    <mergeCell ref="AO646:AS646"/>
    <mergeCell ref="AO637:AS637"/>
    <mergeCell ref="AO647:AS647"/>
    <mergeCell ref="CS615:CW615"/>
    <mergeCell ref="H321:R321"/>
    <mergeCell ref="AK634:AN636"/>
    <mergeCell ref="AK637:AN637"/>
    <mergeCell ref="N371:Q371"/>
    <mergeCell ref="X634:AB636"/>
    <mergeCell ref="AI330:AK330"/>
    <mergeCell ref="P338:R338"/>
    <mergeCell ref="N362:O362"/>
    <mergeCell ref="W468:Y468"/>
    <mergeCell ref="J366:K366"/>
    <mergeCell ref="AG378:AH378"/>
    <mergeCell ref="AF640:AJ640"/>
    <mergeCell ref="AF641:AJ641"/>
    <mergeCell ref="AF642:AJ642"/>
    <mergeCell ref="CS628:CW628"/>
    <mergeCell ref="AO649:AS649"/>
    <mergeCell ref="AO650:AS650"/>
    <mergeCell ref="AC639:AE639"/>
    <mergeCell ref="BS641:BW641"/>
    <mergeCell ref="R640:T640"/>
    <mergeCell ref="R641:T641"/>
    <mergeCell ref="X639:AB639"/>
    <mergeCell ref="X640:AB640"/>
    <mergeCell ref="X641:AB641"/>
    <mergeCell ref="X642:AB642"/>
    <mergeCell ref="X643:AB643"/>
    <mergeCell ref="X644:AB644"/>
    <mergeCell ref="X645:AB645"/>
    <mergeCell ref="U638:W638"/>
    <mergeCell ref="R639:T639"/>
    <mergeCell ref="U639:W639"/>
    <mergeCell ref="AF638:AJ638"/>
    <mergeCell ref="AK640:AN640"/>
    <mergeCell ref="R643:T643"/>
    <mergeCell ref="R644:T644"/>
    <mergeCell ref="X648:AB648"/>
    <mergeCell ref="AF644:AJ644"/>
    <mergeCell ref="AF645:AJ645"/>
    <mergeCell ref="AC646:AE646"/>
    <mergeCell ref="AC647:AE647"/>
    <mergeCell ref="AC640:AE640"/>
    <mergeCell ref="AC641:AE641"/>
    <mergeCell ref="AC642:AE642"/>
    <mergeCell ref="AC643:AE643"/>
    <mergeCell ref="AC644:AE644"/>
    <mergeCell ref="AC645:AE645"/>
    <mergeCell ref="AC638:AE638"/>
    <mergeCell ref="G653:R653"/>
    <mergeCell ref="AF647:AJ647"/>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I681:AK681"/>
    <mergeCell ref="Z679:AK679"/>
    <mergeCell ref="G677:R677"/>
    <mergeCell ref="H674:R674"/>
    <mergeCell ref="Z671:AK671"/>
    <mergeCell ref="G679:R679"/>
    <mergeCell ref="G687:R687"/>
    <mergeCell ref="G686:R686"/>
    <mergeCell ref="G672:R672"/>
    <mergeCell ref="P665:R665"/>
    <mergeCell ref="AF648:AJ648"/>
    <mergeCell ref="Z686:AK686"/>
    <mergeCell ref="AC648:AE648"/>
    <mergeCell ref="B649:AN649"/>
    <mergeCell ref="BN663:BR663"/>
    <mergeCell ref="BN654:BR654"/>
    <mergeCell ref="BN653:BR653"/>
    <mergeCell ref="BN652:BR652"/>
    <mergeCell ref="BN651:BR651"/>
    <mergeCell ref="BN649:BR649"/>
    <mergeCell ref="BN650:BR650"/>
    <mergeCell ref="U643:W643"/>
    <mergeCell ref="U644:W644"/>
    <mergeCell ref="U645:W645"/>
    <mergeCell ref="U646:W646"/>
    <mergeCell ref="U647:W647"/>
    <mergeCell ref="G744:J744"/>
    <mergeCell ref="Y742:AB742"/>
    <mergeCell ref="Y741:AB741"/>
    <mergeCell ref="AC736:AG736"/>
    <mergeCell ref="O733:S733"/>
    <mergeCell ref="AC733:AG733"/>
    <mergeCell ref="O728:S728"/>
    <mergeCell ref="T732:X732"/>
    <mergeCell ref="T733:X733"/>
    <mergeCell ref="T734:X734"/>
    <mergeCell ref="T735:X735"/>
    <mergeCell ref="O729:S729"/>
    <mergeCell ref="AC735:AG735"/>
    <mergeCell ref="Z664:AK664"/>
    <mergeCell ref="AI697:AK697"/>
    <mergeCell ref="AA690:AK690"/>
    <mergeCell ref="G681:L681"/>
    <mergeCell ref="G678:R678"/>
    <mergeCell ref="G661:R661"/>
    <mergeCell ref="AO644:AS644"/>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Z695:AK695"/>
    <mergeCell ref="AH729:AL729"/>
    <mergeCell ref="Y730:AB730"/>
    <mergeCell ref="G656:R656"/>
    <mergeCell ref="AO642:AS642"/>
    <mergeCell ref="B650:AN650"/>
    <mergeCell ref="B651:AN651"/>
    <mergeCell ref="BN658:BR658"/>
    <mergeCell ref="BS658:BW658"/>
    <mergeCell ref="BS651:BW65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M744:AO744"/>
    <mergeCell ref="O732:S732"/>
    <mergeCell ref="AM730:AO730"/>
    <mergeCell ref="K736:N736"/>
    <mergeCell ref="T724:X727"/>
    <mergeCell ref="AC724:AG727"/>
    <mergeCell ref="O742:S742"/>
    <mergeCell ref="Y749:AB749"/>
    <mergeCell ref="AM734:AO734"/>
    <mergeCell ref="AC728:AG728"/>
    <mergeCell ref="G749:J749"/>
    <mergeCell ref="J778:K778"/>
    <mergeCell ref="J786:N786"/>
    <mergeCell ref="O786:S786"/>
    <mergeCell ref="B737:F737"/>
    <mergeCell ref="Y738:AB738"/>
    <mergeCell ref="T736:X736"/>
    <mergeCell ref="T737:X737"/>
    <mergeCell ref="G734:J734"/>
    <mergeCell ref="O794:S794"/>
    <mergeCell ref="Y746:AB746"/>
    <mergeCell ref="X774:AB774"/>
    <mergeCell ref="X775:AB775"/>
    <mergeCell ref="AC773:AG773"/>
    <mergeCell ref="AC774:AG774"/>
    <mergeCell ref="AC782:AG785"/>
    <mergeCell ref="X772:AB772"/>
    <mergeCell ref="T772:W772"/>
    <mergeCell ref="AC750:AG750"/>
    <mergeCell ref="AC752:AG752"/>
    <mergeCell ref="AC789:AG789"/>
    <mergeCell ref="T768:W771"/>
    <mergeCell ref="G752:J752"/>
    <mergeCell ref="B749:F749"/>
    <mergeCell ref="B750:F750"/>
    <mergeCell ref="Y747:AB747"/>
    <mergeCell ref="B743:F743"/>
    <mergeCell ref="O751:S751"/>
    <mergeCell ref="O752:S752"/>
    <mergeCell ref="K740:N740"/>
    <mergeCell ref="K741:N741"/>
    <mergeCell ref="K742:N742"/>
    <mergeCell ref="K743:N743"/>
    <mergeCell ref="T741:X741"/>
    <mergeCell ref="B742:F742"/>
    <mergeCell ref="T793:W79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W872:AC872"/>
    <mergeCell ref="M957:S957"/>
    <mergeCell ref="M959:S959"/>
    <mergeCell ref="M953:S953"/>
    <mergeCell ref="M952:S952"/>
    <mergeCell ref="AC885:AH885"/>
    <mergeCell ref="I934:T934"/>
    <mergeCell ref="AA951:AG951"/>
    <mergeCell ref="T792:W792"/>
    <mergeCell ref="O774:S774"/>
    <mergeCell ref="J774:N774"/>
    <mergeCell ref="Z812:AE812"/>
    <mergeCell ref="W843:AC843"/>
    <mergeCell ref="AC743:AG743"/>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5:AG955"/>
    <mergeCell ref="AE946:AK946"/>
    <mergeCell ref="AA922:AF922"/>
    <mergeCell ref="AE942:AK942"/>
    <mergeCell ref="AA952:AG952"/>
    <mergeCell ref="AE939:AK939"/>
    <mergeCell ref="AA916:AF916"/>
    <mergeCell ref="AA957:AG957"/>
    <mergeCell ref="AA933:AF933"/>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A956:AG956"/>
    <mergeCell ref="W868:AC868"/>
    <mergeCell ref="M956:S956"/>
    <mergeCell ref="M945:S945"/>
    <mergeCell ref="M942:S942"/>
    <mergeCell ref="M955:S955"/>
    <mergeCell ref="M873:V873"/>
    <mergeCell ref="W875:AC875"/>
    <mergeCell ref="A907:AL908"/>
    <mergeCell ref="M943:S943"/>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29:AF929"/>
    <mergeCell ref="F913:T914"/>
    <mergeCell ref="U917:Z917"/>
    <mergeCell ref="U927:Z927"/>
    <mergeCell ref="W857:AC857"/>
    <mergeCell ref="W861:AC861"/>
    <mergeCell ref="U923:Z923"/>
    <mergeCell ref="BD906:BE906"/>
    <mergeCell ref="BD902:BE902"/>
    <mergeCell ref="M875:V875"/>
    <mergeCell ref="W876:AC876"/>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Q827:T827"/>
    <mergeCell ref="M872:V872"/>
    <mergeCell ref="AC884:AH884"/>
    <mergeCell ref="M830:P830"/>
    <mergeCell ref="W855:AC855"/>
    <mergeCell ref="AC826:AF826"/>
    <mergeCell ref="Y828:AB828"/>
    <mergeCell ref="U828:X828"/>
    <mergeCell ref="M844:V844"/>
    <mergeCell ref="W841:AC841"/>
    <mergeCell ref="W864:AC864"/>
    <mergeCell ref="Q829:T829"/>
    <mergeCell ref="AC829:AF829"/>
    <mergeCell ref="U830:X830"/>
    <mergeCell ref="J847:V847"/>
    <mergeCell ref="AC891:AH891"/>
    <mergeCell ref="W853:AC853"/>
    <mergeCell ref="AC890:AH890"/>
    <mergeCell ref="BD907:BF907"/>
    <mergeCell ref="Y827:AB827"/>
    <mergeCell ref="AC828:AF828"/>
    <mergeCell ref="U826:X826"/>
    <mergeCell ref="Y826:AB826"/>
    <mergeCell ref="C830:L830"/>
    <mergeCell ref="Q830:T830"/>
    <mergeCell ref="Y825:AB825"/>
    <mergeCell ref="G750:J750"/>
    <mergeCell ref="T788:W788"/>
    <mergeCell ref="T789:W789"/>
    <mergeCell ref="T790:W790"/>
    <mergeCell ref="T791:W791"/>
    <mergeCell ref="P814:Y814"/>
    <mergeCell ref="B752:F752"/>
    <mergeCell ref="AC793:AG793"/>
    <mergeCell ref="AC794:AG794"/>
    <mergeCell ref="Z813:AE813"/>
    <mergeCell ref="Z806:AE806"/>
    <mergeCell ref="Z816:AE816"/>
    <mergeCell ref="AG829:AJ829"/>
    <mergeCell ref="Y829:AB829"/>
    <mergeCell ref="U829:X829"/>
    <mergeCell ref="AC792:AG792"/>
    <mergeCell ref="U821:X822"/>
    <mergeCell ref="AH752:AL752"/>
    <mergeCell ref="C828:H828"/>
    <mergeCell ref="Z807:AE807"/>
    <mergeCell ref="AH753:AL753"/>
    <mergeCell ref="T753:X753"/>
    <mergeCell ref="AC775:AG775"/>
    <mergeCell ref="J768:N771"/>
    <mergeCell ref="J795:N795"/>
    <mergeCell ref="AC824:AF824"/>
    <mergeCell ref="AG827:AJ827"/>
    <mergeCell ref="M824:P824"/>
    <mergeCell ref="AG825:AJ825"/>
    <mergeCell ref="AG828:AJ828"/>
    <mergeCell ref="O789:S789"/>
    <mergeCell ref="B753:F753"/>
    <mergeCell ref="U823:X823"/>
    <mergeCell ref="Q825:T825"/>
    <mergeCell ref="U825:X825"/>
    <mergeCell ref="AO645:AS645"/>
    <mergeCell ref="AO643:AS643"/>
    <mergeCell ref="X646:AB646"/>
    <mergeCell ref="X647:AB647"/>
    <mergeCell ref="X793:AB793"/>
    <mergeCell ref="T795:W795"/>
    <mergeCell ref="X773:AB773"/>
    <mergeCell ref="O787:S787"/>
    <mergeCell ref="AK648:AN648"/>
    <mergeCell ref="AC734:AG734"/>
    <mergeCell ref="AC730:AG730"/>
    <mergeCell ref="AC731:AG731"/>
    <mergeCell ref="B735:F735"/>
    <mergeCell ref="B734:F734"/>
    <mergeCell ref="B751:F751"/>
    <mergeCell ref="B744:F744"/>
    <mergeCell ref="B746:F746"/>
    <mergeCell ref="Y744:AB744"/>
    <mergeCell ref="Y745:AB745"/>
    <mergeCell ref="B747:F747"/>
    <mergeCell ref="B745:F745"/>
    <mergeCell ref="T794:W794"/>
    <mergeCell ref="Q828:T828"/>
    <mergeCell ref="AO651:AS651"/>
    <mergeCell ref="G654:R654"/>
    <mergeCell ref="B724:F727"/>
    <mergeCell ref="G729:J729"/>
    <mergeCell ref="B741:F741"/>
    <mergeCell ref="B729:F729"/>
    <mergeCell ref="B736:F736"/>
    <mergeCell ref="E717:AK717"/>
    <mergeCell ref="AM733:AO733"/>
    <mergeCell ref="AM729:AO729"/>
    <mergeCell ref="Y729:AB729"/>
    <mergeCell ref="B738:F738"/>
    <mergeCell ref="B730:F730"/>
    <mergeCell ref="Y737:AB737"/>
    <mergeCell ref="B739:F739"/>
    <mergeCell ref="K724:N727"/>
    <mergeCell ref="AC729:AG729"/>
    <mergeCell ref="G724:J727"/>
    <mergeCell ref="AM736:AO736"/>
    <mergeCell ref="P673:R673"/>
    <mergeCell ref="T740:X740"/>
    <mergeCell ref="AC740:AG740"/>
    <mergeCell ref="AC741:AG741"/>
    <mergeCell ref="AE703:AF703"/>
    <mergeCell ref="AE704:AF704"/>
    <mergeCell ref="G685:R685"/>
    <mergeCell ref="AH724:AL727"/>
    <mergeCell ref="AH730:AL730"/>
    <mergeCell ref="AH731:AL731"/>
    <mergeCell ref="P697:R697"/>
    <mergeCell ref="Z654:AK654"/>
    <mergeCell ref="AG659:AH659"/>
    <mergeCell ref="X794:AB794"/>
    <mergeCell ref="X795:AB795"/>
    <mergeCell ref="T782:W785"/>
    <mergeCell ref="AC742:AG742"/>
    <mergeCell ref="AC744:AG744"/>
    <mergeCell ref="O744:S744"/>
    <mergeCell ref="O731:S731"/>
    <mergeCell ref="T738:X738"/>
    <mergeCell ref="AE705:AI705"/>
    <mergeCell ref="T728:X728"/>
    <mergeCell ref="T729:X729"/>
    <mergeCell ref="T730:X730"/>
    <mergeCell ref="Y724:AB727"/>
    <mergeCell ref="AH747:AL747"/>
    <mergeCell ref="O782:S785"/>
    <mergeCell ref="AF755:AH755"/>
    <mergeCell ref="J773:N773"/>
    <mergeCell ref="O773:S773"/>
    <mergeCell ref="G753:J753"/>
    <mergeCell ref="T786:W786"/>
    <mergeCell ref="O734:S734"/>
    <mergeCell ref="O735:S735"/>
    <mergeCell ref="O736:S736"/>
    <mergeCell ref="O737:S737"/>
    <mergeCell ref="O738:S738"/>
    <mergeCell ref="O739:S739"/>
    <mergeCell ref="AC737:AG737"/>
    <mergeCell ref="T739:X739"/>
    <mergeCell ref="X790:AB790"/>
    <mergeCell ref="X791:AB791"/>
    <mergeCell ref="X792:AB792"/>
    <mergeCell ref="M823:P823"/>
    <mergeCell ref="AG824:AJ824"/>
    <mergeCell ref="AG823:AJ823"/>
    <mergeCell ref="Q824:T824"/>
    <mergeCell ref="Y821:AB822"/>
    <mergeCell ref="AC790:AG790"/>
    <mergeCell ref="AC791:AG791"/>
    <mergeCell ref="AC772:AG772"/>
    <mergeCell ref="P681:R681"/>
    <mergeCell ref="Z696:AK696"/>
    <mergeCell ref="Z657:AE657"/>
    <mergeCell ref="Z662:AK662"/>
    <mergeCell ref="AA658:AK658"/>
    <mergeCell ref="H658:R658"/>
    <mergeCell ref="G657:L657"/>
    <mergeCell ref="P657:R657"/>
    <mergeCell ref="AI657:AK657"/>
    <mergeCell ref="Z694:AK694"/>
    <mergeCell ref="N659:O659"/>
    <mergeCell ref="Z663:AK663"/>
    <mergeCell ref="O795:S795"/>
    <mergeCell ref="O796:S796"/>
    <mergeCell ref="C823:H823"/>
    <mergeCell ref="T773:W773"/>
    <mergeCell ref="O745:S745"/>
    <mergeCell ref="Y739:AB739"/>
    <mergeCell ref="AH740:AL740"/>
    <mergeCell ref="AH732:AL732"/>
    <mergeCell ref="B731:F731"/>
    <mergeCell ref="K731:N731"/>
    <mergeCell ref="K732:N732"/>
    <mergeCell ref="K733:N733"/>
    <mergeCell ref="AF643:AJ643"/>
    <mergeCell ref="AK639:AN639"/>
    <mergeCell ref="O647:Q647"/>
    <mergeCell ref="R637:T637"/>
    <mergeCell ref="A627:AS628"/>
    <mergeCell ref="AF634:AJ636"/>
    <mergeCell ref="AF637:AJ637"/>
    <mergeCell ref="G621:R621"/>
    <mergeCell ref="AA330:AF33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11:AL11"/>
    <mergeCell ref="O156:AH156"/>
    <mergeCell ref="O157:X157"/>
    <mergeCell ref="O158:R158"/>
    <mergeCell ref="W159:X159"/>
    <mergeCell ref="P204:U204"/>
    <mergeCell ref="D164:AH164"/>
    <mergeCell ref="AI178:AK178"/>
    <mergeCell ref="J174:Z174"/>
    <mergeCell ref="M233:T233"/>
    <mergeCell ref="W233:X233"/>
    <mergeCell ref="F150:T150"/>
    <mergeCell ref="C124:K124"/>
    <mergeCell ref="O33:P33"/>
    <mergeCell ref="Y132:AK132"/>
    <mergeCell ref="AA329:AK329"/>
    <mergeCell ref="AA332:AK332"/>
    <mergeCell ref="M356:N356"/>
    <mergeCell ref="R410:S410"/>
    <mergeCell ref="Q388:U388"/>
    <mergeCell ref="P346:Z346"/>
    <mergeCell ref="AJ356:AK356"/>
    <mergeCell ref="Y363:Z363"/>
    <mergeCell ref="N370:Q370"/>
    <mergeCell ref="N369:Q369"/>
    <mergeCell ref="N377:P377"/>
    <mergeCell ref="P344:AE344"/>
    <mergeCell ref="AA340:AK340"/>
    <mergeCell ref="H340:R340"/>
    <mergeCell ref="M354:N354"/>
    <mergeCell ref="AG389:AJ389"/>
    <mergeCell ref="J384:U384"/>
    <mergeCell ref="V380:W380"/>
    <mergeCell ref="AC346:AE346"/>
    <mergeCell ref="Q390:U390"/>
    <mergeCell ref="AD376:AE376"/>
    <mergeCell ref="J385:U385"/>
    <mergeCell ref="S391:U391"/>
    <mergeCell ref="AA338:AF338"/>
    <mergeCell ref="V376:W376"/>
    <mergeCell ref="S376:T376"/>
    <mergeCell ref="K403:AJ403"/>
    <mergeCell ref="D405:AJ406"/>
    <mergeCell ref="S404:AJ404"/>
    <mergeCell ref="M357:N357"/>
    <mergeCell ref="P348:AE348"/>
    <mergeCell ref="AA321:AK321"/>
    <mergeCell ref="AA322:AF322"/>
    <mergeCell ref="P345:AE345"/>
    <mergeCell ref="P343:AE343"/>
    <mergeCell ref="AI322:AK322"/>
    <mergeCell ref="AA318:AK318"/>
    <mergeCell ref="H337:R337"/>
    <mergeCell ref="H334:R334"/>
    <mergeCell ref="H335:R335"/>
    <mergeCell ref="H336:R336"/>
    <mergeCell ref="H339:M339"/>
    <mergeCell ref="P347:Z347"/>
    <mergeCell ref="N372:AF373"/>
    <mergeCell ref="AE401:AJ401"/>
    <mergeCell ref="P342:AE342"/>
    <mergeCell ref="Q364:AG364"/>
    <mergeCell ref="AA313:AK313"/>
    <mergeCell ref="AA310:AK310"/>
    <mergeCell ref="AI314:AK314"/>
    <mergeCell ref="P314:R314"/>
    <mergeCell ref="AA326:AK326"/>
    <mergeCell ref="H322:M322"/>
    <mergeCell ref="H323:M323"/>
    <mergeCell ref="H318:R318"/>
    <mergeCell ref="AA320:AK320"/>
    <mergeCell ref="H324:R324"/>
    <mergeCell ref="H326:R326"/>
    <mergeCell ref="H319:R319"/>
    <mergeCell ref="H338:M338"/>
    <mergeCell ref="AI338:AK338"/>
    <mergeCell ref="AA339:AF339"/>
    <mergeCell ref="H320:R320"/>
    <mergeCell ref="AA316:AK316"/>
    <mergeCell ref="AA324:AK324"/>
    <mergeCell ref="H313:R313"/>
    <mergeCell ref="H314:M314"/>
    <mergeCell ref="H315:M315"/>
    <mergeCell ref="AA314:AF314"/>
    <mergeCell ref="AA312:AK312"/>
    <mergeCell ref="H330:M330"/>
    <mergeCell ref="X176:Y176"/>
    <mergeCell ref="X180:Y180"/>
    <mergeCell ref="O155:AH155"/>
    <mergeCell ref="O153:AH153"/>
    <mergeCell ref="O154:AH154"/>
    <mergeCell ref="M236:AE236"/>
    <mergeCell ref="AI226:AJ226"/>
    <mergeCell ref="AA289:AK289"/>
    <mergeCell ref="AI298:AK298"/>
    <mergeCell ref="H302:R302"/>
    <mergeCell ref="M232:AE232"/>
    <mergeCell ref="N191:AE192"/>
    <mergeCell ref="D210:M210"/>
    <mergeCell ref="H286:R286"/>
    <mergeCell ref="H287:R287"/>
    <mergeCell ref="H296:R296"/>
    <mergeCell ref="AA294:AK294"/>
    <mergeCell ref="AA297:AK297"/>
    <mergeCell ref="R177:S177"/>
    <mergeCell ref="U235:W235"/>
    <mergeCell ref="M253:AE253"/>
    <mergeCell ref="M260:T260"/>
    <mergeCell ref="W260:X260"/>
    <mergeCell ref="U262:W262"/>
    <mergeCell ref="Z254:AE254"/>
    <mergeCell ref="AI227:AJ227"/>
    <mergeCell ref="M234:AE234"/>
    <mergeCell ref="AF242:AK242"/>
    <mergeCell ref="Y198:Z198"/>
    <mergeCell ref="M231:AK231"/>
    <mergeCell ref="A169:AL170"/>
    <mergeCell ref="H297:R297"/>
    <mergeCell ref="O159:T159"/>
    <mergeCell ref="T189:AE189"/>
    <mergeCell ref="T194:U194"/>
    <mergeCell ref="E187:AE188"/>
    <mergeCell ref="I189:P189"/>
    <mergeCell ref="U175:V175"/>
    <mergeCell ref="I184:AE184"/>
    <mergeCell ref="H299:M299"/>
    <mergeCell ref="H300:R300"/>
    <mergeCell ref="AH196:AI196"/>
    <mergeCell ref="AI228:AJ228"/>
    <mergeCell ref="M252:T252"/>
    <mergeCell ref="I190:N190"/>
    <mergeCell ref="O160:T160"/>
    <mergeCell ref="O161:AH161"/>
    <mergeCell ref="Z203:AF205"/>
    <mergeCell ref="M254:R254"/>
    <mergeCell ref="M258:AE258"/>
    <mergeCell ref="T195:U195"/>
    <mergeCell ref="D219:Z219"/>
    <mergeCell ref="AC233:AE233"/>
    <mergeCell ref="P290:R290"/>
    <mergeCell ref="AA290:AF290"/>
    <mergeCell ref="AI290:AK290"/>
    <mergeCell ref="H291:M291"/>
    <mergeCell ref="J173:S173"/>
    <mergeCell ref="M262:R262"/>
    <mergeCell ref="T277:V277"/>
    <mergeCell ref="M238:AE238"/>
    <mergeCell ref="AH245:AK245"/>
    <mergeCell ref="D207:M207"/>
    <mergeCell ref="Z246:AE246"/>
    <mergeCell ref="T193:AI193"/>
    <mergeCell ref="D204:M204"/>
    <mergeCell ref="AA308:AK308"/>
    <mergeCell ref="AA300:AK300"/>
    <mergeCell ref="H306:M306"/>
    <mergeCell ref="AA307:AF307"/>
    <mergeCell ref="AI306:AK306"/>
    <mergeCell ref="H304:R304"/>
    <mergeCell ref="AA299:AF299"/>
    <mergeCell ref="H305:R305"/>
    <mergeCell ref="M264:T264"/>
    <mergeCell ref="V275:W275"/>
    <mergeCell ref="H288:R288"/>
    <mergeCell ref="H307:M307"/>
    <mergeCell ref="P306:R306"/>
    <mergeCell ref="AA303:AK303"/>
    <mergeCell ref="AA306:AF306"/>
    <mergeCell ref="L274:AD274"/>
    <mergeCell ref="H289:R289"/>
    <mergeCell ref="L278:AD278"/>
    <mergeCell ref="AA288:AK288"/>
    <mergeCell ref="AA295:AK295"/>
    <mergeCell ref="L279:AD279"/>
    <mergeCell ref="AA291:AF291"/>
    <mergeCell ref="AB275:AD275"/>
    <mergeCell ref="AA237:AK237"/>
    <mergeCell ref="H294:R294"/>
    <mergeCell ref="H295:R295"/>
    <mergeCell ref="AC260:AE260"/>
    <mergeCell ref="Z262:AE262"/>
    <mergeCell ref="M245:AE245"/>
    <mergeCell ref="W244:X244"/>
    <mergeCell ref="U246:W246"/>
    <mergeCell ref="AH253:AK253"/>
    <mergeCell ref="AH261:AK261"/>
    <mergeCell ref="H298:M298"/>
    <mergeCell ref="AA311:AK311"/>
    <mergeCell ref="H311:R311"/>
    <mergeCell ref="H310:R310"/>
    <mergeCell ref="D269:H269"/>
    <mergeCell ref="X269:AC269"/>
    <mergeCell ref="AA287:AK287"/>
    <mergeCell ref="AA286:AK286"/>
    <mergeCell ref="T266:X266"/>
    <mergeCell ref="AA296:AK296"/>
    <mergeCell ref="L273:AJ273"/>
    <mergeCell ref="H290:M290"/>
    <mergeCell ref="M244:T244"/>
    <mergeCell ref="Y277:AD277"/>
    <mergeCell ref="P298:R298"/>
    <mergeCell ref="AF258:AK258"/>
    <mergeCell ref="H303:R303"/>
    <mergeCell ref="A281:AL282"/>
    <mergeCell ref="H292:R292"/>
    <mergeCell ref="AC244:AE244"/>
    <mergeCell ref="AA298:AF298"/>
    <mergeCell ref="AA304:AK304"/>
    <mergeCell ref="H308:R308"/>
    <mergeCell ref="AA305:AK305"/>
    <mergeCell ref="AA302:AK302"/>
    <mergeCell ref="I185:AE185"/>
    <mergeCell ref="M235:R235"/>
    <mergeCell ref="Z235:AE235"/>
    <mergeCell ref="A221:AL222"/>
    <mergeCell ref="M237:T237"/>
    <mergeCell ref="AA256:AK256"/>
    <mergeCell ref="M259:AE259"/>
    <mergeCell ref="M261:AE261"/>
    <mergeCell ref="U254:W254"/>
    <mergeCell ref="L275:S275"/>
    <mergeCell ref="L277:Q277"/>
    <mergeCell ref="T190:AE190"/>
    <mergeCell ref="AI225:AJ225"/>
    <mergeCell ref="M263:AE263"/>
    <mergeCell ref="AA264:AK264"/>
    <mergeCell ref="T493:X493"/>
    <mergeCell ref="D464:V464"/>
    <mergeCell ref="W467:Y467"/>
    <mergeCell ref="AG379:AH379"/>
    <mergeCell ref="H413:AE414"/>
    <mergeCell ref="P417:R417"/>
    <mergeCell ref="W464:Y464"/>
    <mergeCell ref="I391:N391"/>
    <mergeCell ref="D437:AF437"/>
    <mergeCell ref="D438:AF438"/>
    <mergeCell ref="T492:X492"/>
    <mergeCell ref="AA327:AK327"/>
    <mergeCell ref="Q428:R428"/>
    <mergeCell ref="H312:R312"/>
    <mergeCell ref="AA292:AK292"/>
    <mergeCell ref="L276:AD276"/>
    <mergeCell ref="Q393:U393"/>
    <mergeCell ref="Y488:AC488"/>
    <mergeCell ref="AH518:AK518"/>
    <mergeCell ref="L520:AB520"/>
    <mergeCell ref="AH532:AK532"/>
    <mergeCell ref="AH542:AK542"/>
    <mergeCell ref="AH544:AK544"/>
    <mergeCell ref="AC519:AF519"/>
    <mergeCell ref="AH515:AK515"/>
    <mergeCell ref="AC524:AF524"/>
    <mergeCell ref="AC535:AF535"/>
    <mergeCell ref="AC537:AF537"/>
    <mergeCell ref="T490:X490"/>
    <mergeCell ref="E419:AJ419"/>
    <mergeCell ref="P424:Q424"/>
    <mergeCell ref="AG400:AJ400"/>
    <mergeCell ref="W469:Y469"/>
    <mergeCell ref="AD492:AH492"/>
    <mergeCell ref="AC512:AF512"/>
    <mergeCell ref="T486:X486"/>
    <mergeCell ref="Y484:AC485"/>
    <mergeCell ref="B501:P502"/>
    <mergeCell ref="AG442:AJ442"/>
    <mergeCell ref="AG443:AJ443"/>
    <mergeCell ref="AC453:AF453"/>
    <mergeCell ref="Z433:AA433"/>
    <mergeCell ref="AD411:AE411"/>
    <mergeCell ref="AD487:AH487"/>
    <mergeCell ref="AG448:AJ448"/>
    <mergeCell ref="D448:AF448"/>
    <mergeCell ref="D444:AF444"/>
    <mergeCell ref="Q505:AK505"/>
    <mergeCell ref="B526:H528"/>
    <mergeCell ref="Y489:AC489"/>
    <mergeCell ref="T484:X485"/>
    <mergeCell ref="Y487:AC487"/>
    <mergeCell ref="Y486:AC486"/>
    <mergeCell ref="Y494:AC494"/>
    <mergeCell ref="Q499:AK499"/>
    <mergeCell ref="T494:X494"/>
    <mergeCell ref="Y495:AC495"/>
    <mergeCell ref="AC516:AF516"/>
    <mergeCell ref="Q498:AK498"/>
    <mergeCell ref="T487:X487"/>
    <mergeCell ref="AH514:AK514"/>
    <mergeCell ref="AC550:AF550"/>
    <mergeCell ref="D449:AF449"/>
    <mergeCell ref="D450:AJ451"/>
    <mergeCell ref="AF584:AK584"/>
    <mergeCell ref="Z595:AK595"/>
    <mergeCell ref="N593:O593"/>
    <mergeCell ref="AA592:AK592"/>
    <mergeCell ref="M584:R584"/>
    <mergeCell ref="AC515:AF515"/>
    <mergeCell ref="AH531:AK531"/>
    <mergeCell ref="AC511:AK511"/>
    <mergeCell ref="AH530:AK530"/>
    <mergeCell ref="AH526:AK526"/>
    <mergeCell ref="AC527:AF527"/>
    <mergeCell ref="AD484:AH485"/>
    <mergeCell ref="AC520:AF520"/>
    <mergeCell ref="AC518:AF518"/>
    <mergeCell ref="Y492:AC492"/>
    <mergeCell ref="AC526:AF526"/>
    <mergeCell ref="AC528:AF528"/>
    <mergeCell ref="BI623:BJ623"/>
    <mergeCell ref="BI622:BJ622"/>
    <mergeCell ref="BG616:BH616"/>
    <mergeCell ref="BI616:BJ616"/>
    <mergeCell ref="BG618:BH618"/>
    <mergeCell ref="BG615:BH615"/>
    <mergeCell ref="BI615:BJ615"/>
    <mergeCell ref="AI615:AK615"/>
    <mergeCell ref="Z605:AK605"/>
    <mergeCell ref="Z591:AE591"/>
    <mergeCell ref="Z596:AK596"/>
    <mergeCell ref="G604:R604"/>
    <mergeCell ref="Z587:AK587"/>
    <mergeCell ref="Z598:AK598"/>
    <mergeCell ref="H600:R600"/>
    <mergeCell ref="N585:O585"/>
    <mergeCell ref="H608:R608"/>
    <mergeCell ref="G614:R614"/>
    <mergeCell ref="G596:R596"/>
    <mergeCell ref="G613:R613"/>
    <mergeCell ref="Z590:AK590"/>
    <mergeCell ref="H616:R616"/>
    <mergeCell ref="P615:R615"/>
    <mergeCell ref="Z589:AK589"/>
    <mergeCell ref="G598:R598"/>
    <mergeCell ref="Z613:AK613"/>
    <mergeCell ref="Z611:AK611"/>
    <mergeCell ref="N609:O609"/>
    <mergeCell ref="Z614:AK614"/>
    <mergeCell ref="P599:R599"/>
    <mergeCell ref="BE614:BF614"/>
    <mergeCell ref="G611:R611"/>
    <mergeCell ref="BS613:BW613"/>
    <mergeCell ref="CH615:CL615"/>
    <mergeCell ref="BX615:CB615"/>
    <mergeCell ref="CC615:CG615"/>
    <mergeCell ref="BK611:BL611"/>
    <mergeCell ref="BI619:BJ619"/>
    <mergeCell ref="BN617:BR617"/>
    <mergeCell ref="CH617:CL617"/>
    <mergeCell ref="BX617:CB617"/>
    <mergeCell ref="CC617:CG617"/>
    <mergeCell ref="CH616:CL616"/>
    <mergeCell ref="BN621:BR621"/>
    <mergeCell ref="BX620:CB620"/>
    <mergeCell ref="BG623:BH623"/>
    <mergeCell ref="BN622:BR622"/>
    <mergeCell ref="BN623:BR623"/>
    <mergeCell ref="BG611:BH611"/>
    <mergeCell ref="BN618:BR618"/>
    <mergeCell ref="BS618:BW618"/>
    <mergeCell ref="BX618:CB618"/>
    <mergeCell ref="CH618:CL618"/>
    <mergeCell ref="BS614:BW614"/>
    <mergeCell ref="BX614:CB614"/>
    <mergeCell ref="CH619:CL619"/>
    <mergeCell ref="BS617:BW617"/>
    <mergeCell ref="BX619:CB619"/>
    <mergeCell ref="BK619:BL619"/>
    <mergeCell ref="BK617:BL617"/>
    <mergeCell ref="BX623:CB623"/>
    <mergeCell ref="CC623:CG623"/>
    <mergeCell ref="BK623:BL623"/>
    <mergeCell ref="BN619:BR619"/>
    <mergeCell ref="BI624:BJ624"/>
    <mergeCell ref="BX610:CB610"/>
    <mergeCell ref="BS609:BW609"/>
    <mergeCell ref="BG609:BH609"/>
    <mergeCell ref="BN610:BR610"/>
    <mergeCell ref="BG610:BH610"/>
    <mergeCell ref="BI610:BJ610"/>
    <mergeCell ref="BK609:BL609"/>
    <mergeCell ref="BX609:CB609"/>
    <mergeCell ref="CC613:CG613"/>
    <mergeCell ref="BN614:BR614"/>
    <mergeCell ref="CC616:CG616"/>
    <mergeCell ref="BX616:CB616"/>
    <mergeCell ref="BS616:BW616"/>
    <mergeCell ref="BK616:BL616"/>
    <mergeCell ref="BG613:BH613"/>
    <mergeCell ref="BI613:BJ613"/>
    <mergeCell ref="BN616:BR616"/>
    <mergeCell ref="BX612:CB612"/>
    <mergeCell ref="CC612:CG612"/>
    <mergeCell ref="BG622:BH622"/>
    <mergeCell ref="BS620:BW620"/>
    <mergeCell ref="CC609:CG609"/>
    <mergeCell ref="CC610:CG610"/>
    <mergeCell ref="BK610:BL610"/>
    <mergeCell ref="BS610:BW610"/>
    <mergeCell ref="CC614:CG614"/>
    <mergeCell ref="BG612:BH612"/>
    <mergeCell ref="BG614:BH614"/>
    <mergeCell ref="BI614:BJ614"/>
    <mergeCell ref="BI612:BJ612"/>
    <mergeCell ref="CC611:CG611"/>
    <mergeCell ref="BK622:BL622"/>
    <mergeCell ref="BS621:BW621"/>
    <mergeCell ref="BN620:BR620"/>
    <mergeCell ref="CC624:CG624"/>
    <mergeCell ref="CH624:CL624"/>
    <mergeCell ref="BG627:BH627"/>
    <mergeCell ref="BN627:BR627"/>
    <mergeCell ref="BK620:BL620"/>
    <mergeCell ref="BK615:BL615"/>
    <mergeCell ref="BI611:BJ611"/>
    <mergeCell ref="BK612:BL612"/>
    <mergeCell ref="BN612:BR612"/>
    <mergeCell ref="BS611:BW611"/>
    <mergeCell ref="BS612:BW612"/>
    <mergeCell ref="BK618:BL618"/>
    <mergeCell ref="BK614:BL614"/>
    <mergeCell ref="BK613:BL613"/>
    <mergeCell ref="CC620:CG620"/>
    <mergeCell ref="CH620:CL620"/>
    <mergeCell ref="BN615:BR615"/>
    <mergeCell ref="BS619:BW619"/>
    <mergeCell ref="BN611:BR611"/>
    <mergeCell ref="CC619:CG619"/>
    <mergeCell ref="BX611:CB611"/>
    <mergeCell ref="BG624:BH624"/>
    <mergeCell ref="BN613:BR613"/>
    <mergeCell ref="BX613:CB613"/>
    <mergeCell ref="CC618:CG618"/>
    <mergeCell ref="BS615:BW615"/>
    <mergeCell ref="BS625:BW625"/>
    <mergeCell ref="BX625:CB625"/>
    <mergeCell ref="CC625:CG62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11:CL611"/>
    <mergeCell ref="CH623:CL623"/>
    <mergeCell ref="CH613:CL613"/>
    <mergeCell ref="CH609:CL609"/>
    <mergeCell ref="CH610:CL610"/>
    <mergeCell ref="CH614:CL614"/>
    <mergeCell ref="CH612:CL61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E628:BF628"/>
    <mergeCell ref="BG632:BH632"/>
    <mergeCell ref="BI632:BJ632"/>
    <mergeCell ref="BK632:BL632"/>
    <mergeCell ref="BE626:BF626"/>
    <mergeCell ref="BG629:BH629"/>
    <mergeCell ref="BN628:BR628"/>
    <mergeCell ref="BG628:BH628"/>
    <mergeCell ref="BI628:BJ628"/>
    <mergeCell ref="BK628:BL628"/>
    <mergeCell ref="BS628:BW628"/>
    <mergeCell ref="BN629:BR629"/>
    <mergeCell ref="BS627:BW627"/>
    <mergeCell ref="BS626:BW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24:BL624"/>
    <mergeCell ref="BI625:BJ625"/>
    <mergeCell ref="BK625:BL625"/>
    <mergeCell ref="BG625:BH625"/>
    <mergeCell ref="BN624:BR624"/>
    <mergeCell ref="BS624:BW624"/>
    <mergeCell ref="BX624:CB624"/>
    <mergeCell ref="BS622:BW622"/>
    <mergeCell ref="BX622:CB622"/>
    <mergeCell ref="CC622:CG622"/>
    <mergeCell ref="BG620:BH620"/>
    <mergeCell ref="BI620:BJ620"/>
    <mergeCell ref="BE619:BF619"/>
    <mergeCell ref="CM625:CQ62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CH626:CL626"/>
    <mergeCell ref="CH627:CL627"/>
    <mergeCell ref="BX630:CB630"/>
    <mergeCell ref="CC630:CG630"/>
    <mergeCell ref="CH630:CL630"/>
    <mergeCell ref="CH629:CL629"/>
    <mergeCell ref="CC627:CG627"/>
    <mergeCell ref="BX628:CB628"/>
    <mergeCell ref="CC628:CG628"/>
    <mergeCell ref="BX626:CB626"/>
    <mergeCell ref="CC626:CG626"/>
    <mergeCell ref="CH628:CL628"/>
    <mergeCell ref="CH625:CL625"/>
    <mergeCell ref="BX627:CB627"/>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M633:CQ633"/>
    <mergeCell ref="CM634:CQ634"/>
    <mergeCell ref="CM635:CQ635"/>
    <mergeCell ref="CM640:CQ640"/>
    <mergeCell ref="CH633:CL633"/>
    <mergeCell ref="CH649:CL649"/>
    <mergeCell ref="BX644:CB644"/>
    <mergeCell ref="CC644:CG644"/>
    <mergeCell ref="CH644:CL644"/>
    <mergeCell ref="BX656:CB656"/>
    <mergeCell ref="BX657:CB657"/>
    <mergeCell ref="CC652:CG652"/>
    <mergeCell ref="CC653:CG653"/>
    <mergeCell ref="CC655:CG655"/>
    <mergeCell ref="CC656:CG656"/>
    <mergeCell ref="CC657:CG657"/>
    <mergeCell ref="BS640:BW640"/>
    <mergeCell ref="BN640:BR640"/>
    <mergeCell ref="BE634:BF634"/>
    <mergeCell ref="BS629:BW629"/>
    <mergeCell ref="BS634:BW634"/>
    <mergeCell ref="BS633:BW633"/>
    <mergeCell ref="BX640:CB640"/>
    <mergeCell ref="BX635:CB635"/>
    <mergeCell ref="CC635:CG635"/>
    <mergeCell ref="CH655:CL655"/>
    <mergeCell ref="CH656:CL656"/>
    <mergeCell ref="CH657:CL657"/>
    <mergeCell ref="BX658:CB658"/>
    <mergeCell ref="CC658:CG658"/>
    <mergeCell ref="CH658:CL658"/>
    <mergeCell ref="BN632:BR632"/>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Q500:AK500"/>
    <mergeCell ref="AH528:AK528"/>
    <mergeCell ref="Y491:AC491"/>
    <mergeCell ref="AH521:AK521"/>
    <mergeCell ref="AC522:AF522"/>
    <mergeCell ref="AH522:AK522"/>
    <mergeCell ref="AC525:AF525"/>
    <mergeCell ref="AH525:AK525"/>
    <mergeCell ref="AH529:AK529"/>
    <mergeCell ref="AC529:AF529"/>
    <mergeCell ref="T495:X495"/>
    <mergeCell ref="Q504:AK504"/>
    <mergeCell ref="AD493:AH493"/>
    <mergeCell ref="Y493:AC493"/>
    <mergeCell ref="AC513:AF513"/>
    <mergeCell ref="Q497:AK49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AH519:AK519"/>
    <mergeCell ref="AH516:AK516"/>
    <mergeCell ref="AE568:AH568"/>
    <mergeCell ref="AI568:AL568"/>
    <mergeCell ref="T567:V567"/>
    <mergeCell ref="W564:Y564"/>
    <mergeCell ref="W573:Y573"/>
    <mergeCell ref="W574:Y574"/>
    <mergeCell ref="O547:AA547"/>
    <mergeCell ref="AH548:AK548"/>
    <mergeCell ref="AC530:AF530"/>
    <mergeCell ref="AH536:AK536"/>
    <mergeCell ref="AH550:AK550"/>
    <mergeCell ref="AH552:AK552"/>
    <mergeCell ref="AC552:AF552"/>
    <mergeCell ref="AC551:AF551"/>
    <mergeCell ref="Z563:AD563"/>
    <mergeCell ref="AE564:AH564"/>
    <mergeCell ref="AI565:AL565"/>
    <mergeCell ref="AE566:AH566"/>
    <mergeCell ref="Z567:AD567"/>
    <mergeCell ref="AC546:AF546"/>
    <mergeCell ref="AH533:AK533"/>
    <mergeCell ref="AC542:AF542"/>
    <mergeCell ref="O538:AA538"/>
    <mergeCell ref="AH546:AK546"/>
    <mergeCell ref="T573:V573"/>
    <mergeCell ref="C573:P573"/>
    <mergeCell ref="AE572:AH572"/>
    <mergeCell ref="AC539:AF539"/>
    <mergeCell ref="B529:H531"/>
    <mergeCell ref="T563:V563"/>
    <mergeCell ref="AC531:AF531"/>
    <mergeCell ref="AC533:AF533"/>
    <mergeCell ref="W565:Y565"/>
    <mergeCell ref="AC536:AF536"/>
    <mergeCell ref="AH534:AK534"/>
    <mergeCell ref="O541:AA541"/>
    <mergeCell ref="AH538:AK538"/>
    <mergeCell ref="C566:P566"/>
    <mergeCell ref="G580:R580"/>
    <mergeCell ref="G581:R581"/>
    <mergeCell ref="T564:V564"/>
    <mergeCell ref="T565:V565"/>
    <mergeCell ref="T566:V566"/>
    <mergeCell ref="W567:Y567"/>
    <mergeCell ref="Q566:S566"/>
    <mergeCell ref="W566:Y566"/>
    <mergeCell ref="Q568:S568"/>
    <mergeCell ref="Z568:AD568"/>
    <mergeCell ref="B532:H554"/>
    <mergeCell ref="G579:R579"/>
    <mergeCell ref="C564:P564"/>
    <mergeCell ref="C565:P565"/>
    <mergeCell ref="O532:AA532"/>
    <mergeCell ref="AC534:AF534"/>
    <mergeCell ref="AH537:AK537"/>
    <mergeCell ref="AC538:AF538"/>
    <mergeCell ref="AM571:AS571"/>
    <mergeCell ref="AM569:AS569"/>
    <mergeCell ref="AE569:AH569"/>
    <mergeCell ref="AI569:AL569"/>
    <mergeCell ref="AE570:AH570"/>
    <mergeCell ref="AM574:AS574"/>
    <mergeCell ref="AI573:AL573"/>
    <mergeCell ref="BE611:BF611"/>
    <mergeCell ref="AM573:AS573"/>
    <mergeCell ref="P591:R591"/>
    <mergeCell ref="Z581:AK581"/>
    <mergeCell ref="C570:P570"/>
    <mergeCell ref="C571:P571"/>
    <mergeCell ref="AI572:AL572"/>
    <mergeCell ref="AE571:AH571"/>
    <mergeCell ref="W569:Y569"/>
    <mergeCell ref="W570:Y570"/>
    <mergeCell ref="Z573:AD573"/>
    <mergeCell ref="AI575:AL575"/>
    <mergeCell ref="AI574:AL574"/>
    <mergeCell ref="Z569:AD569"/>
    <mergeCell ref="Z570:AD570"/>
    <mergeCell ref="AE573:AH573"/>
    <mergeCell ref="Z574:AD574"/>
    <mergeCell ref="Z575:AD575"/>
    <mergeCell ref="Z582:AE582"/>
    <mergeCell ref="P582:R582"/>
    <mergeCell ref="BE610:BF610"/>
    <mergeCell ref="H583:R583"/>
    <mergeCell ref="G578:R578"/>
    <mergeCell ref="G589:R589"/>
    <mergeCell ref="AE575:AH575"/>
    <mergeCell ref="BE613:BF613"/>
    <mergeCell ref="AI570:AL570"/>
    <mergeCell ref="H592:R592"/>
    <mergeCell ref="G605:R605"/>
    <mergeCell ref="BE612:BF612"/>
    <mergeCell ref="N601:O601"/>
    <mergeCell ref="AM565:AS565"/>
    <mergeCell ref="AM575:AS575"/>
    <mergeCell ref="T571:V571"/>
    <mergeCell ref="T572:V572"/>
    <mergeCell ref="T568:V568"/>
    <mergeCell ref="T569:V569"/>
    <mergeCell ref="G595:R595"/>
    <mergeCell ref="AG585:AH585"/>
    <mergeCell ref="AM567:AS567"/>
    <mergeCell ref="AI567:AL567"/>
    <mergeCell ref="Q569:S569"/>
    <mergeCell ref="Q570:S570"/>
    <mergeCell ref="AA583:AK583"/>
    <mergeCell ref="Z604:AK604"/>
    <mergeCell ref="AE565:AH565"/>
    <mergeCell ref="G612:R612"/>
    <mergeCell ref="C567:P567"/>
    <mergeCell ref="C568:P568"/>
    <mergeCell ref="AE567:AH567"/>
    <mergeCell ref="Z571:AD571"/>
    <mergeCell ref="Z607:AE607"/>
    <mergeCell ref="W575:Y575"/>
    <mergeCell ref="B576:AL576"/>
    <mergeCell ref="Z566:AD566"/>
    <mergeCell ref="C572:P572"/>
    <mergeCell ref="C569:P569"/>
    <mergeCell ref="AD1037:AK1037"/>
    <mergeCell ref="AD1035:AK1035"/>
    <mergeCell ref="B1037:Y1037"/>
    <mergeCell ref="D469:V469"/>
    <mergeCell ref="AC889:AH889"/>
    <mergeCell ref="C891:AB891"/>
    <mergeCell ref="C892:AB892"/>
    <mergeCell ref="T774:W774"/>
    <mergeCell ref="T775:W775"/>
    <mergeCell ref="X782:AB785"/>
    <mergeCell ref="X786:AB786"/>
    <mergeCell ref="AD1036:AK1036"/>
    <mergeCell ref="B1034:Y1034"/>
    <mergeCell ref="Q563:S563"/>
    <mergeCell ref="AI563:AL563"/>
    <mergeCell ref="AE563:AH563"/>
    <mergeCell ref="AI564:AL564"/>
    <mergeCell ref="AI566:AL566"/>
    <mergeCell ref="W568:Y568"/>
    <mergeCell ref="C574:P574"/>
    <mergeCell ref="Z597:AK597"/>
    <mergeCell ref="B515:H520"/>
    <mergeCell ref="AH517:AK517"/>
    <mergeCell ref="W866:AC866"/>
    <mergeCell ref="AC883:AH883"/>
    <mergeCell ref="Z899:AE899"/>
    <mergeCell ref="G582:L582"/>
    <mergeCell ref="G597:R597"/>
    <mergeCell ref="G588:R588"/>
    <mergeCell ref="AG593:AH593"/>
    <mergeCell ref="AI591:AK591"/>
    <mergeCell ref="B563:P563"/>
    <mergeCell ref="G607:L607"/>
    <mergeCell ref="Q564:S564"/>
    <mergeCell ref="Q565:S565"/>
    <mergeCell ref="AI599:AK599"/>
    <mergeCell ref="Z580:AK580"/>
    <mergeCell ref="AH539:AK539"/>
    <mergeCell ref="O544:AA544"/>
    <mergeCell ref="AC549:AF549"/>
    <mergeCell ref="W563:Y563"/>
    <mergeCell ref="AC548:AF548"/>
    <mergeCell ref="AH554:AK554"/>
    <mergeCell ref="G591:L591"/>
    <mergeCell ref="AI582:AK582"/>
    <mergeCell ref="Q571:S571"/>
    <mergeCell ref="Q572:S572"/>
    <mergeCell ref="Q573:S573"/>
    <mergeCell ref="Q574:S574"/>
    <mergeCell ref="Q575:S575"/>
    <mergeCell ref="AH541:AK541"/>
    <mergeCell ref="AH551:AK551"/>
    <mergeCell ref="AC544:AF544"/>
    <mergeCell ref="AC545:AF545"/>
    <mergeCell ref="AH545:AK545"/>
    <mergeCell ref="AH547:AK547"/>
    <mergeCell ref="D468:V468"/>
    <mergeCell ref="T488:X488"/>
    <mergeCell ref="AD490:AH490"/>
    <mergeCell ref="X787:AB787"/>
    <mergeCell ref="X788:AB788"/>
    <mergeCell ref="Q506:AK506"/>
    <mergeCell ref="X789:AB789"/>
    <mergeCell ref="AC455:AF455"/>
    <mergeCell ref="D442:AF442"/>
    <mergeCell ref="AE424:AF424"/>
    <mergeCell ref="D467:V467"/>
    <mergeCell ref="AH527:AK527"/>
    <mergeCell ref="AC532:AF532"/>
    <mergeCell ref="AC554:AF554"/>
    <mergeCell ref="AC547:AF547"/>
    <mergeCell ref="AI571:AL571"/>
    <mergeCell ref="AC768:AG771"/>
    <mergeCell ref="Z578:AK578"/>
    <mergeCell ref="D466:V466"/>
    <mergeCell ref="G590:R590"/>
    <mergeCell ref="M507:P507"/>
    <mergeCell ref="AH507:AK507"/>
    <mergeCell ref="A556:AS557"/>
    <mergeCell ref="AC553:AF553"/>
    <mergeCell ref="AH540:AK540"/>
    <mergeCell ref="AC543:AF543"/>
    <mergeCell ref="AH543:AK543"/>
    <mergeCell ref="AC541:AF541"/>
    <mergeCell ref="T570:V570"/>
    <mergeCell ref="AM563:AS563"/>
    <mergeCell ref="AM568:AS568"/>
    <mergeCell ref="Q567:S56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D436:AF436"/>
    <mergeCell ref="P423:Q423"/>
    <mergeCell ref="AA315:AF315"/>
    <mergeCell ref="H316:R316"/>
    <mergeCell ref="A12:AL12"/>
    <mergeCell ref="G122:H122"/>
    <mergeCell ref="L122:N122"/>
    <mergeCell ref="Y129:AK129"/>
    <mergeCell ref="M256:T256"/>
    <mergeCell ref="M255:AE255"/>
    <mergeCell ref="M26:Q26"/>
    <mergeCell ref="AF250:AK250"/>
    <mergeCell ref="H16:AJ16"/>
    <mergeCell ref="A21:AL21"/>
    <mergeCell ref="M243:AE243"/>
    <mergeCell ref="D445:AF445"/>
    <mergeCell ref="D446:AF446"/>
    <mergeCell ref="AG441:AJ441"/>
    <mergeCell ref="AG440:AJ440"/>
    <mergeCell ref="W417:Y417"/>
    <mergeCell ref="D447:AF447"/>
    <mergeCell ref="AG444:AJ444"/>
    <mergeCell ref="AG445:AJ445"/>
    <mergeCell ref="Q503:AK503"/>
    <mergeCell ref="D439:AF439"/>
    <mergeCell ref="AG437:AJ437"/>
    <mergeCell ref="AE423:AF423"/>
    <mergeCell ref="AG393:AJ393"/>
    <mergeCell ref="AJ354:AK354"/>
    <mergeCell ref="AD488:AH488"/>
    <mergeCell ref="AD486:AH486"/>
    <mergeCell ref="AD494:AH494"/>
    <mergeCell ref="T397:AJ397"/>
    <mergeCell ref="AG439:AJ439"/>
    <mergeCell ref="D470:V470"/>
    <mergeCell ref="A478:AL479"/>
    <mergeCell ref="D441:AF441"/>
    <mergeCell ref="AG446:AJ446"/>
    <mergeCell ref="AG447:AJ447"/>
    <mergeCell ref="Z431:AA431"/>
    <mergeCell ref="AG438:AJ438"/>
    <mergeCell ref="D443:AF443"/>
    <mergeCell ref="S412:T412"/>
    <mergeCell ref="Y490:AC490"/>
    <mergeCell ref="K402:AJ402"/>
    <mergeCell ref="T483:AH483"/>
    <mergeCell ref="W471:Y471"/>
    <mergeCell ref="BN657:BR657"/>
    <mergeCell ref="A350:AL351"/>
    <mergeCell ref="AC384:AJ384"/>
    <mergeCell ref="AG376:AH376"/>
    <mergeCell ref="E417:G417"/>
    <mergeCell ref="I417:K417"/>
    <mergeCell ref="AC386:AJ386"/>
    <mergeCell ref="V387:AJ387"/>
    <mergeCell ref="J387:U387"/>
    <mergeCell ref="AD410:AE410"/>
    <mergeCell ref="F426:AH427"/>
    <mergeCell ref="R411:S411"/>
    <mergeCell ref="W571:Y571"/>
    <mergeCell ref="W572:Y572"/>
    <mergeCell ref="AM566:AS566"/>
    <mergeCell ref="AM564:AS564"/>
    <mergeCell ref="AM572:AS572"/>
    <mergeCell ref="C575:P575"/>
    <mergeCell ref="AF429:AG429"/>
    <mergeCell ref="J386:U386"/>
    <mergeCell ref="AC385:AJ385"/>
    <mergeCell ref="T491:X491"/>
    <mergeCell ref="BE615:BF615"/>
    <mergeCell ref="AM576:AS576"/>
    <mergeCell ref="AG394:AJ394"/>
    <mergeCell ref="AI391:AJ391"/>
    <mergeCell ref="AG392:AJ392"/>
    <mergeCell ref="AG390:AJ390"/>
    <mergeCell ref="AC514:AF514"/>
    <mergeCell ref="AH512:AK512"/>
    <mergeCell ref="AH535:AK535"/>
    <mergeCell ref="AC369:AF369"/>
    <mergeCell ref="CM656:CQ656"/>
    <mergeCell ref="Q392:U392"/>
    <mergeCell ref="AH524:AK524"/>
    <mergeCell ref="Z564:AD564"/>
    <mergeCell ref="Z565:AD565"/>
    <mergeCell ref="AC521:AF521"/>
    <mergeCell ref="AM570:AS570"/>
    <mergeCell ref="Z579:AK579"/>
    <mergeCell ref="Z572:AD572"/>
    <mergeCell ref="AI396:AJ396"/>
    <mergeCell ref="T398:AJ398"/>
    <mergeCell ref="T489:X489"/>
    <mergeCell ref="AC517:AF517"/>
    <mergeCell ref="AH520:AK520"/>
    <mergeCell ref="AH513:AK513"/>
    <mergeCell ref="S401:U401"/>
    <mergeCell ref="O535:AA535"/>
    <mergeCell ref="Z588:AK588"/>
    <mergeCell ref="G587:R587"/>
    <mergeCell ref="B513:H514"/>
    <mergeCell ref="Q501:R502"/>
    <mergeCell ref="AE574:AH574"/>
    <mergeCell ref="AH553:AK553"/>
    <mergeCell ref="AH549:AK549"/>
    <mergeCell ref="AC540:AF540"/>
    <mergeCell ref="BN656:BR656"/>
    <mergeCell ref="AD489:AH489"/>
    <mergeCell ref="W466:Y466"/>
    <mergeCell ref="AD491:AH491"/>
    <mergeCell ref="AD495:AH495"/>
    <mergeCell ref="W470:Y470"/>
    <mergeCell ref="W465:Y465"/>
    <mergeCell ref="CM657:CQ657"/>
    <mergeCell ref="BN655:BR655"/>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8:BF618"/>
    <mergeCell ref="BE616:BF616"/>
    <mergeCell ref="CM644:CQ644"/>
    <mergeCell ref="BS652:BW652"/>
    <mergeCell ref="BX655:CB655"/>
    <mergeCell ref="BE625:BF625"/>
    <mergeCell ref="BG633:BH633"/>
    <mergeCell ref="BI633:BJ633"/>
    <mergeCell ref="BK633:BL633"/>
    <mergeCell ref="CC641:CG641"/>
    <mergeCell ref="BN633:BR633"/>
    <mergeCell ref="BE633:BF633"/>
    <mergeCell ref="BE630:BF630"/>
    <mergeCell ref="BS653:BW653"/>
    <mergeCell ref="BS655:BW655"/>
    <mergeCell ref="BE620:BF620"/>
    <mergeCell ref="BE617:BF617"/>
    <mergeCell ref="CM655:CQ655"/>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37" zoomScale="90" zoomScaleNormal="100" zoomScaleSheetLayoutView="90" workbookViewId="0">
      <selection activeCell="S86" sqref="S86"/>
    </sheetView>
  </sheetViews>
  <sheetFormatPr defaultColWidth="0" defaultRowHeight="11.4" zeroHeight="1"/>
  <cols>
    <col min="1" max="1" width="35.5546875" style="299" customWidth="1"/>
    <col min="2" max="12" width="12.33203125" style="229" customWidth="1"/>
    <col min="13" max="17" width="11.44140625" style="229" customWidth="1"/>
    <col min="18" max="18" width="12.5546875" style="229" customWidth="1"/>
    <col min="19" max="20" width="12.33203125" style="229" customWidth="1"/>
    <col min="21" max="21" width="0.44140625" style="232" customWidth="1"/>
    <col min="22" max="16383" width="8.6640625" style="229" hidden="1"/>
    <col min="16384" max="16384" width="0.33203125" style="229" customWidth="1"/>
  </cols>
  <sheetData>
    <row r="1" spans="1:21" s="166" customFormat="1" ht="13.8">
      <c r="A1" s="246" t="s">
        <v>583</v>
      </c>
      <c r="B1" s="189"/>
      <c r="C1" s="189"/>
      <c r="D1" s="189"/>
      <c r="E1" s="190"/>
      <c r="F1" s="2565" t="s">
        <v>657</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394</v>
      </c>
      <c r="D2" s="208" t="s">
        <v>393</v>
      </c>
      <c r="E2" s="208" t="s">
        <v>25</v>
      </c>
      <c r="F2" s="209" t="str">
        <f>Application!B637&amp;Application!C637</f>
        <v>1)Citibank, N.A.</v>
      </c>
      <c r="G2" s="209" t="str">
        <f>Application!B638&amp;Application!C638</f>
        <v>2)Sonoma County CDC</v>
      </c>
      <c r="H2" s="209" t="str">
        <f>Application!B639&amp;Application!C639</f>
        <v>3)USA Multi-Family Development, Inc.</v>
      </c>
      <c r="I2" s="209" t="str">
        <f>Application!B640&amp;Application!C640</f>
        <v xml:space="preserve">4)NOI prior to Conversion </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4428000</v>
      </c>
      <c r="C4" s="217">
        <v>4428000</v>
      </c>
      <c r="D4" s="217"/>
      <c r="E4" s="217"/>
      <c r="F4" s="217"/>
      <c r="G4" s="217">
        <f>C4</f>
        <v>4428000</v>
      </c>
      <c r="H4" s="217"/>
      <c r="I4" s="217"/>
      <c r="J4" s="217"/>
      <c r="K4" s="217"/>
      <c r="L4" s="217"/>
      <c r="M4" s="217"/>
      <c r="N4" s="217"/>
      <c r="O4" s="217"/>
      <c r="P4" s="217"/>
      <c r="Q4" s="217"/>
      <c r="R4" s="881">
        <f>SUM(E4:Q4)</f>
        <v>4428000</v>
      </c>
      <c r="S4" s="218"/>
      <c r="T4" s="218"/>
      <c r="U4" s="213"/>
    </row>
    <row r="5" spans="1:21" s="214" customFormat="1">
      <c r="A5" s="215" t="s">
        <v>29</v>
      </c>
      <c r="B5" s="216">
        <f>SUM(C5+D5)</f>
        <v>416248</v>
      </c>
      <c r="C5" s="217">
        <v>416248</v>
      </c>
      <c r="D5" s="217"/>
      <c r="E5" s="217"/>
      <c r="F5" s="217">
        <f>C5</f>
        <v>416248</v>
      </c>
      <c r="G5" s="217"/>
      <c r="H5" s="217"/>
      <c r="I5" s="217"/>
      <c r="J5" s="217"/>
      <c r="K5" s="217"/>
      <c r="L5" s="217"/>
      <c r="M5" s="217"/>
      <c r="N5" s="217"/>
      <c r="O5" s="217"/>
      <c r="P5" s="217"/>
      <c r="Q5" s="217"/>
      <c r="R5" s="881">
        <f>SUM(E5:Q5)</f>
        <v>416248</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629</v>
      </c>
      <c r="B8" s="216">
        <f>SUM(C8:D8)</f>
        <v>4844248</v>
      </c>
      <c r="C8" s="216">
        <f t="shared" ref="C8:Q8" si="0">SUM(C4:C7)</f>
        <v>4844248</v>
      </c>
      <c r="D8" s="216">
        <f t="shared" si="0"/>
        <v>0</v>
      </c>
      <c r="E8" s="216">
        <f t="shared" si="0"/>
        <v>0</v>
      </c>
      <c r="F8" s="216">
        <f t="shared" si="0"/>
        <v>416248</v>
      </c>
      <c r="G8" s="216">
        <f t="shared" si="0"/>
        <v>4428000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4844248</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335233</v>
      </c>
      <c r="C10" s="217">
        <v>335233</v>
      </c>
      <c r="D10" s="217"/>
      <c r="E10" s="217"/>
      <c r="F10" s="217">
        <f>C10</f>
        <v>335233</v>
      </c>
      <c r="G10" s="217"/>
      <c r="H10" s="217"/>
      <c r="I10" s="217"/>
      <c r="J10" s="217"/>
      <c r="K10" s="217"/>
      <c r="L10" s="217"/>
      <c r="M10" s="217"/>
      <c r="N10" s="217"/>
      <c r="O10" s="217"/>
      <c r="P10" s="217"/>
      <c r="Q10" s="217"/>
      <c r="R10" s="881">
        <f>SUM(E10:Q10)</f>
        <v>335233</v>
      </c>
      <c r="S10" s="217">
        <f>C10</f>
        <v>335233</v>
      </c>
      <c r="T10" s="217"/>
      <c r="U10" s="213"/>
    </row>
    <row r="11" spans="1:21" s="214" customFormat="1" ht="12">
      <c r="A11" s="219" t="s">
        <v>632</v>
      </c>
      <c r="B11" s="216">
        <f>SUM(C11:D11)</f>
        <v>335233</v>
      </c>
      <c r="C11" s="216">
        <f t="shared" ref="C11:Q11" si="1">SUM(C9:C10)</f>
        <v>335233</v>
      </c>
      <c r="D11" s="216">
        <f t="shared" si="1"/>
        <v>0</v>
      </c>
      <c r="E11" s="216">
        <f t="shared" si="1"/>
        <v>0</v>
      </c>
      <c r="F11" s="216">
        <f t="shared" si="1"/>
        <v>335233</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335233</v>
      </c>
      <c r="S11" s="218"/>
      <c r="T11" s="220">
        <f>SUM(T9:T10)</f>
        <v>0</v>
      </c>
      <c r="U11" s="213"/>
    </row>
    <row r="12" spans="1:21" s="214" customFormat="1" ht="12">
      <c r="A12" s="219" t="s">
        <v>89</v>
      </c>
      <c r="B12" s="216">
        <f t="shared" ref="B12:Q12" si="2">SUM(B8+B11)</f>
        <v>5179481</v>
      </c>
      <c r="C12" s="216">
        <f t="shared" si="2"/>
        <v>5179481</v>
      </c>
      <c r="D12" s="216">
        <f t="shared" si="2"/>
        <v>0</v>
      </c>
      <c r="E12" s="216">
        <f t="shared" si="2"/>
        <v>0</v>
      </c>
      <c r="F12" s="216">
        <f t="shared" si="2"/>
        <v>751481</v>
      </c>
      <c r="G12" s="216">
        <f t="shared" si="2"/>
        <v>4428000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5179481</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2.8">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4296268</v>
      </c>
      <c r="C29" s="217">
        <f>4712516-C5</f>
        <v>4296268</v>
      </c>
      <c r="D29" s="217"/>
      <c r="E29" s="217"/>
      <c r="F29" s="217">
        <f>C29</f>
        <v>4296268</v>
      </c>
      <c r="G29" s="217"/>
      <c r="H29" s="217"/>
      <c r="I29" s="217"/>
      <c r="J29" s="217"/>
      <c r="K29" s="217"/>
      <c r="L29" s="217"/>
      <c r="M29" s="217"/>
      <c r="N29" s="217"/>
      <c r="O29" s="217"/>
      <c r="P29" s="217"/>
      <c r="Q29" s="217"/>
      <c r="R29" s="881">
        <f t="shared" ref="R29:R37" si="7">SUM(E29:Q29)</f>
        <v>4296268</v>
      </c>
      <c r="S29" s="217">
        <f>C29</f>
        <v>4296268</v>
      </c>
      <c r="T29" s="217"/>
      <c r="U29" s="213"/>
    </row>
    <row r="30" spans="1:21" s="214" customFormat="1">
      <c r="A30" s="215" t="s">
        <v>635</v>
      </c>
      <c r="B30" s="216">
        <f t="shared" si="6"/>
        <v>26987450</v>
      </c>
      <c r="C30" s="217">
        <f>557500+911125+25518825</f>
        <v>26987450</v>
      </c>
      <c r="D30" s="217"/>
      <c r="E30" s="217">
        <f>C30-F30</f>
        <v>4535199</v>
      </c>
      <c r="F30" s="217">
        <f>27500000-F29-F10-F5</f>
        <v>22452251</v>
      </c>
      <c r="G30" s="217"/>
      <c r="H30" s="217"/>
      <c r="I30" s="217"/>
      <c r="J30" s="217"/>
      <c r="K30" s="217"/>
      <c r="L30" s="217"/>
      <c r="M30" s="217"/>
      <c r="N30" s="217"/>
      <c r="O30" s="217"/>
      <c r="P30" s="217"/>
      <c r="Q30" s="217"/>
      <c r="R30" s="881">
        <f t="shared" si="7"/>
        <v>26987450</v>
      </c>
      <c r="S30" s="217">
        <f>C30</f>
        <v>26987450</v>
      </c>
      <c r="T30" s="217"/>
      <c r="U30" s="213"/>
    </row>
    <row r="31" spans="1:21" s="214" customFormat="1">
      <c r="A31" s="215" t="s">
        <v>636</v>
      </c>
      <c r="B31" s="216">
        <f t="shared" si="6"/>
        <v>1700000</v>
      </c>
      <c r="C31" s="217">
        <v>1700000</v>
      </c>
      <c r="D31" s="217"/>
      <c r="E31" s="217">
        <f>C31</f>
        <v>1700000</v>
      </c>
      <c r="F31" s="217"/>
      <c r="G31" s="217"/>
      <c r="H31" s="217"/>
      <c r="I31" s="217"/>
      <c r="J31" s="217"/>
      <c r="K31" s="217"/>
      <c r="L31" s="217"/>
      <c r="M31" s="217"/>
      <c r="N31" s="217"/>
      <c r="O31" s="217"/>
      <c r="P31" s="217"/>
      <c r="Q31" s="217"/>
      <c r="R31" s="881">
        <f t="shared" si="7"/>
        <v>1700000</v>
      </c>
      <c r="S31" s="217">
        <f>C31-22089</f>
        <v>1677911</v>
      </c>
      <c r="T31" s="217"/>
      <c r="U31" s="213"/>
    </row>
    <row r="32" spans="1:21" s="214" customFormat="1">
      <c r="A32" s="215" t="s">
        <v>142</v>
      </c>
      <c r="B32" s="216">
        <f t="shared" si="6"/>
        <v>1392464</v>
      </c>
      <c r="C32" s="217">
        <f>2784928/2</f>
        <v>1392464</v>
      </c>
      <c r="D32" s="217"/>
      <c r="E32" s="217">
        <f>C32</f>
        <v>1392464</v>
      </c>
      <c r="F32" s="217"/>
      <c r="G32" s="217"/>
      <c r="H32" s="217"/>
      <c r="I32" s="217"/>
      <c r="J32" s="217"/>
      <c r="K32" s="217"/>
      <c r="L32" s="217"/>
      <c r="M32" s="217"/>
      <c r="N32" s="217"/>
      <c r="O32" s="217"/>
      <c r="P32" s="217"/>
      <c r="Q32" s="217"/>
      <c r="R32" s="881">
        <f t="shared" si="7"/>
        <v>1392464</v>
      </c>
      <c r="S32" s="217">
        <f>C32-36186</f>
        <v>1356278</v>
      </c>
      <c r="T32" s="217"/>
      <c r="U32" s="213"/>
    </row>
    <row r="33" spans="1:21" s="214" customFormat="1">
      <c r="A33" s="215" t="s">
        <v>143</v>
      </c>
      <c r="B33" s="216">
        <f t="shared" si="6"/>
        <v>1392463</v>
      </c>
      <c r="C33" s="217">
        <f>C32-1</f>
        <v>1392463</v>
      </c>
      <c r="D33" s="217"/>
      <c r="E33" s="217">
        <f>C33</f>
        <v>1392463</v>
      </c>
      <c r="F33" s="217"/>
      <c r="G33" s="217"/>
      <c r="H33" s="217"/>
      <c r="I33" s="217"/>
      <c r="J33" s="217"/>
      <c r="K33" s="217"/>
      <c r="L33" s="217"/>
      <c r="M33" s="217"/>
      <c r="N33" s="217"/>
      <c r="O33" s="217"/>
      <c r="P33" s="217"/>
      <c r="Q33" s="217"/>
      <c r="R33" s="881">
        <f t="shared" si="7"/>
        <v>1392463</v>
      </c>
      <c r="S33" s="217">
        <f t="shared" ref="S33:S35" si="8">C33</f>
        <v>1392463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817378</v>
      </c>
      <c r="C35" s="217">
        <v>817378</v>
      </c>
      <c r="D35" s="217"/>
      <c r="E35" s="217">
        <f>C35</f>
        <v>817378</v>
      </c>
      <c r="F35" s="217"/>
      <c r="G35" s="217"/>
      <c r="H35" s="217"/>
      <c r="I35" s="217"/>
      <c r="J35" s="217"/>
      <c r="K35" s="217"/>
      <c r="L35" s="217"/>
      <c r="M35" s="217"/>
      <c r="N35" s="217"/>
      <c r="O35" s="217"/>
      <c r="P35" s="217"/>
      <c r="Q35" s="217"/>
      <c r="R35" s="881">
        <f t="shared" si="7"/>
        <v>817378</v>
      </c>
      <c r="S35" s="217">
        <f t="shared" si="8"/>
        <v>817378</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ht="12">
      <c r="A38" s="219" t="s">
        <v>148</v>
      </c>
      <c r="B38" s="216">
        <f t="shared" si="6"/>
        <v>36586023</v>
      </c>
      <c r="C38" s="216">
        <f>SUM(C29:C37)</f>
        <v>36586023</v>
      </c>
      <c r="D38" s="216">
        <f t="shared" ref="D38:Q38" si="9">SUM(D29:D37)</f>
        <v>0</v>
      </c>
      <c r="E38" s="216">
        <f t="shared" si="9"/>
        <v>9837504</v>
      </c>
      <c r="F38" s="216">
        <f t="shared" si="9"/>
        <v>26748519</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36586023</v>
      </c>
      <c r="S38" s="220">
        <f>SUM(S29:S37)</f>
        <v>36527748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1848359</v>
      </c>
      <c r="C40" s="217">
        <f>1366240+482119</f>
        <v>1848359</v>
      </c>
      <c r="D40" s="217"/>
      <c r="E40" s="217">
        <f>C40</f>
        <v>1848359</v>
      </c>
      <c r="F40" s="217"/>
      <c r="G40" s="217"/>
      <c r="H40" s="217"/>
      <c r="I40" s="217"/>
      <c r="J40" s="217"/>
      <c r="K40" s="217"/>
      <c r="L40" s="217"/>
      <c r="M40" s="217"/>
      <c r="N40" s="217"/>
      <c r="O40" s="217"/>
      <c r="P40" s="217"/>
      <c r="Q40" s="217"/>
      <c r="R40" s="881">
        <f>SUM(E40:Q40)</f>
        <v>1848359</v>
      </c>
      <c r="S40" s="217">
        <f>C40</f>
        <v>1848359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ht="12">
      <c r="A42" s="219" t="s">
        <v>152</v>
      </c>
      <c r="B42" s="216">
        <f>SUM(C42:D42)</f>
        <v>1848359</v>
      </c>
      <c r="C42" s="216">
        <f>SUM(C39:C41)</f>
        <v>1848359</v>
      </c>
      <c r="D42" s="216">
        <f>SUM(D39:D41)</f>
        <v>0</v>
      </c>
      <c r="E42" s="216">
        <f t="shared" ref="E42:T42" si="10">SUM(E40:E41)</f>
        <v>1848359</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1848359</v>
      </c>
      <c r="S42" s="220">
        <f t="shared" si="10"/>
        <v>1848359</v>
      </c>
      <c r="T42" s="220">
        <f t="shared" si="10"/>
        <v>0</v>
      </c>
      <c r="U42" s="213"/>
    </row>
    <row r="43" spans="1:21" s="214" customFormat="1" ht="12">
      <c r="A43" s="219" t="s">
        <v>153</v>
      </c>
      <c r="B43" s="216">
        <f>SUM(C43:D43)</f>
        <v>443162</v>
      </c>
      <c r="C43" s="217">
        <v>443162</v>
      </c>
      <c r="D43" s="217"/>
      <c r="E43" s="217">
        <f>C43</f>
        <v>443162</v>
      </c>
      <c r="F43" s="217"/>
      <c r="G43" s="217"/>
      <c r="H43" s="217"/>
      <c r="I43" s="217"/>
      <c r="J43" s="217"/>
      <c r="K43" s="217"/>
      <c r="L43" s="217"/>
      <c r="M43" s="217"/>
      <c r="N43" s="217"/>
      <c r="O43" s="217"/>
      <c r="P43" s="217"/>
      <c r="Q43" s="217"/>
      <c r="R43" s="881">
        <f>SUM(E43:Q43)</f>
        <v>443162</v>
      </c>
      <c r="S43" s="217">
        <f>C43</f>
        <v>443162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1870425</v>
      </c>
      <c r="C45" s="217">
        <v>1870425</v>
      </c>
      <c r="D45" s="217"/>
      <c r="E45" s="217">
        <f>C45</f>
        <v>1870425</v>
      </c>
      <c r="F45" s="217"/>
      <c r="G45" s="217"/>
      <c r="H45" s="217"/>
      <c r="I45" s="217"/>
      <c r="J45" s="217"/>
      <c r="K45" s="217"/>
      <c r="L45" s="217"/>
      <c r="M45" s="217"/>
      <c r="N45" s="217"/>
      <c r="O45" s="217"/>
      <c r="P45" s="217"/>
      <c r="Q45" s="217"/>
      <c r="R45" s="881">
        <f t="shared" ref="R45:R53" si="12">SUM(E45:Q45)</f>
        <v>1870425</v>
      </c>
      <c r="S45" s="217">
        <f>C45</f>
        <v>1870425</v>
      </c>
      <c r="T45" s="217"/>
      <c r="U45" s="213"/>
    </row>
    <row r="46" spans="1:21" s="214" customFormat="1">
      <c r="A46" s="215" t="s">
        <v>156</v>
      </c>
      <c r="B46" s="216">
        <f t="shared" si="11"/>
        <v>437300</v>
      </c>
      <c r="C46" s="217">
        <f>341375+95925</f>
        <v>437300</v>
      </c>
      <c r="D46" s="217"/>
      <c r="E46" s="217">
        <f>C46</f>
        <v>437300</v>
      </c>
      <c r="F46" s="217"/>
      <c r="G46" s="217"/>
      <c r="H46" s="217"/>
      <c r="I46" s="217"/>
      <c r="J46" s="217"/>
      <c r="K46" s="217"/>
      <c r="L46" s="217"/>
      <c r="M46" s="217"/>
      <c r="N46" s="217"/>
      <c r="O46" s="217"/>
      <c r="P46" s="217"/>
      <c r="Q46" s="217"/>
      <c r="R46" s="881">
        <f t="shared" si="12"/>
        <v>437300</v>
      </c>
      <c r="S46" s="217">
        <f>31609+53292</f>
        <v>84901</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37500</v>
      </c>
      <c r="C50" s="217">
        <v>37500</v>
      </c>
      <c r="D50" s="217"/>
      <c r="E50" s="217">
        <f>C50</f>
        <v>37500</v>
      </c>
      <c r="F50" s="217"/>
      <c r="G50" s="217"/>
      <c r="H50" s="217"/>
      <c r="I50" s="217"/>
      <c r="J50" s="217"/>
      <c r="K50" s="217"/>
      <c r="L50" s="217"/>
      <c r="M50" s="217"/>
      <c r="N50" s="217"/>
      <c r="O50" s="217"/>
      <c r="P50" s="217"/>
      <c r="Q50" s="217"/>
      <c r="R50" s="881">
        <f t="shared" si="12"/>
        <v>37500</v>
      </c>
      <c r="S50" s="217">
        <f>C50</f>
        <v>37500</v>
      </c>
      <c r="T50" s="217"/>
      <c r="U50" s="213"/>
    </row>
    <row r="51" spans="1:21" s="214" customFormat="1">
      <c r="A51" s="441" t="s">
        <v>159</v>
      </c>
      <c r="B51" s="216">
        <f t="shared" si="11"/>
        <v>16400</v>
      </c>
      <c r="C51" s="217">
        <v>16400</v>
      </c>
      <c r="D51" s="217"/>
      <c r="E51" s="217">
        <f>C51</f>
        <v>16400</v>
      </c>
      <c r="F51" s="217"/>
      <c r="G51" s="217"/>
      <c r="H51" s="217"/>
      <c r="I51" s="217"/>
      <c r="J51" s="217"/>
      <c r="K51" s="217"/>
      <c r="L51" s="217"/>
      <c r="M51" s="217"/>
      <c r="N51" s="217"/>
      <c r="O51" s="217"/>
      <c r="P51" s="217"/>
      <c r="Q51" s="217"/>
      <c r="R51" s="881">
        <f t="shared" si="12"/>
        <v>16400</v>
      </c>
      <c r="S51" s="217">
        <f>C51</f>
        <v>16400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81">
        <f t="shared" si="12"/>
        <v>0</v>
      </c>
      <c r="S52" s="217"/>
      <c r="T52" s="217"/>
      <c r="U52" s="213"/>
    </row>
    <row r="53" spans="1:21" s="214" customFormat="1">
      <c r="A53" s="1847" t="s">
        <v>2524</v>
      </c>
      <c r="B53" s="216">
        <f t="shared" si="11"/>
        <v>36000</v>
      </c>
      <c r="C53" s="217">
        <v>36000</v>
      </c>
      <c r="D53" s="217"/>
      <c r="E53" s="217">
        <f>C53</f>
        <v>36000</v>
      </c>
      <c r="F53" s="217"/>
      <c r="G53" s="217"/>
      <c r="H53" s="217"/>
      <c r="I53" s="217"/>
      <c r="J53" s="217"/>
      <c r="K53" s="217"/>
      <c r="L53" s="217"/>
      <c r="M53" s="217"/>
      <c r="N53" s="217"/>
      <c r="O53" s="217"/>
      <c r="P53" s="217"/>
      <c r="Q53" s="217"/>
      <c r="R53" s="881">
        <f t="shared" si="12"/>
        <v>36000</v>
      </c>
      <c r="S53" s="217">
        <f>C53</f>
        <v>36000</v>
      </c>
      <c r="T53" s="217"/>
      <c r="U53" s="213"/>
    </row>
    <row r="54" spans="1:21" s="224" customFormat="1" ht="12">
      <c r="A54" s="219" t="s">
        <v>162</v>
      </c>
      <c r="B54" s="220">
        <f>SUM(C54:D54)</f>
        <v>2397625</v>
      </c>
      <c r="C54" s="220">
        <f t="shared" ref="C54:T54" si="13">SUM(C45:C53)</f>
        <v>2397625</v>
      </c>
      <c r="D54" s="220">
        <f t="shared" si="13"/>
        <v>0</v>
      </c>
      <c r="E54" s="220">
        <f t="shared" si="13"/>
        <v>2397625</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2397625</v>
      </c>
      <c r="S54" s="220">
        <f t="shared" si="13"/>
        <v>2045226</v>
      </c>
      <c r="T54" s="220">
        <f t="shared" si="13"/>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167267</v>
      </c>
      <c r="C56" s="217">
        <v>167267</v>
      </c>
      <c r="D56" s="217"/>
      <c r="E56" s="217">
        <f>C56</f>
        <v>167267</v>
      </c>
      <c r="F56" s="217"/>
      <c r="G56" s="217"/>
      <c r="H56" s="217"/>
      <c r="I56" s="217"/>
      <c r="J56" s="217"/>
      <c r="K56" s="217"/>
      <c r="L56" s="217"/>
      <c r="M56" s="217"/>
      <c r="N56" s="217"/>
      <c r="O56" s="217"/>
      <c r="P56" s="217"/>
      <c r="Q56" s="217"/>
      <c r="R56" s="881">
        <f t="shared" ref="R56:R61" si="15">SUM(E56:Q56)</f>
        <v>167267</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81">
        <f t="shared" si="15"/>
        <v>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1847" t="s">
        <v>2523</v>
      </c>
      <c r="B61" s="216">
        <f t="shared" si="14"/>
        <v>1915203</v>
      </c>
      <c r="C61" s="217">
        <v>1915203</v>
      </c>
      <c r="D61" s="217"/>
      <c r="E61" s="217">
        <f>C61-I61</f>
        <v>264705</v>
      </c>
      <c r="F61" s="217"/>
      <c r="G61" s="217"/>
      <c r="H61" s="217"/>
      <c r="I61" s="217">
        <v>1650498</v>
      </c>
      <c r="J61" s="217"/>
      <c r="K61" s="217"/>
      <c r="L61" s="217"/>
      <c r="M61" s="217"/>
      <c r="N61" s="217"/>
      <c r="O61" s="217"/>
      <c r="P61" s="217"/>
      <c r="Q61" s="217"/>
      <c r="R61" s="881">
        <f t="shared" si="15"/>
        <v>1915203</v>
      </c>
      <c r="S61" s="218"/>
      <c r="T61" s="218"/>
      <c r="U61" s="213"/>
    </row>
    <row r="62" spans="1:21" s="214" customFormat="1" ht="13.95" customHeight="1">
      <c r="A62" s="219" t="s">
        <v>311</v>
      </c>
      <c r="B62" s="216">
        <f>SUM(C62:D62)</f>
        <v>2082470</v>
      </c>
      <c r="C62" s="216">
        <f t="shared" ref="C62:R62" si="16">SUM(C56:C61)</f>
        <v>2082470</v>
      </c>
      <c r="D62" s="216">
        <f t="shared" si="16"/>
        <v>0</v>
      </c>
      <c r="E62" s="216">
        <f t="shared" si="16"/>
        <v>431972</v>
      </c>
      <c r="F62" s="216">
        <f t="shared" si="16"/>
        <v>0</v>
      </c>
      <c r="G62" s="216">
        <f t="shared" si="16"/>
        <v>0</v>
      </c>
      <c r="H62" s="216">
        <f t="shared" si="16"/>
        <v>0</v>
      </c>
      <c r="I62" s="216">
        <f t="shared" si="16"/>
        <v>1650498</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2082470</v>
      </c>
      <c r="S62" s="218"/>
      <c r="T62" s="218"/>
      <c r="U62" s="213"/>
    </row>
    <row r="63" spans="1:21" s="214" customFormat="1">
      <c r="A63" s="225" t="s">
        <v>312</v>
      </c>
      <c r="B63" s="216">
        <f t="shared" ref="B63:R63" si="17">SUM(B8+B11+B13+B14+B15+B26+B27+B38+B42+B43+B54+B62)</f>
        <v>48537120</v>
      </c>
      <c r="C63" s="216">
        <f t="shared" si="17"/>
        <v>48537120</v>
      </c>
      <c r="D63" s="216">
        <f t="shared" si="17"/>
        <v>0</v>
      </c>
      <c r="E63" s="216">
        <f t="shared" si="17"/>
        <v>14958622</v>
      </c>
      <c r="F63" s="216">
        <f t="shared" si="17"/>
        <v>27500000</v>
      </c>
      <c r="G63" s="216">
        <f t="shared" si="17"/>
        <v>4428000</v>
      </c>
      <c r="H63" s="216">
        <f t="shared" si="17"/>
        <v>0</v>
      </c>
      <c r="I63" s="216">
        <f t="shared" si="17"/>
        <v>1650498</v>
      </c>
      <c r="J63" s="216">
        <f t="shared" si="17"/>
        <v>0</v>
      </c>
      <c r="K63" s="216">
        <f t="shared" si="17"/>
        <v>0</v>
      </c>
      <c r="L63" s="216">
        <f t="shared" si="17"/>
        <v>0</v>
      </c>
      <c r="M63" s="216">
        <f t="shared" si="17"/>
        <v>0</v>
      </c>
      <c r="N63" s="216">
        <f t="shared" si="17"/>
        <v>0</v>
      </c>
      <c r="O63" s="216">
        <f t="shared" si="17"/>
        <v>0</v>
      </c>
      <c r="P63" s="216">
        <f t="shared" si="17"/>
        <v>0</v>
      </c>
      <c r="Q63" s="216">
        <f t="shared" si="17"/>
        <v>0</v>
      </c>
      <c r="R63" s="535">
        <f t="shared" si="17"/>
        <v>48537120</v>
      </c>
      <c r="S63" s="216">
        <f>SUM(S10+S13+S14+S15+S26+S27+S38+S42+S43+S54)</f>
        <v>41199728</v>
      </c>
      <c r="T63" s="216">
        <f>SUM(T11+T13+T14+T15+T26+T27+T38+T42+T43+T54)</f>
        <v>0</v>
      </c>
      <c r="U63" s="213"/>
    </row>
    <row r="64" spans="1:21" s="214" customFormat="1" ht="22.8">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7" t="s">
        <v>2522</v>
      </c>
      <c r="B69" s="216">
        <f>SUM(C69+D69)</f>
        <v>75000</v>
      </c>
      <c r="C69" s="217">
        <v>75000</v>
      </c>
      <c r="D69" s="217"/>
      <c r="E69" s="217">
        <f>C69</f>
        <v>75000</v>
      </c>
      <c r="F69" s="217"/>
      <c r="G69" s="217"/>
      <c r="H69" s="217"/>
      <c r="I69" s="217"/>
      <c r="J69" s="217"/>
      <c r="K69" s="217"/>
      <c r="L69" s="217"/>
      <c r="M69" s="217"/>
      <c r="N69" s="217"/>
      <c r="O69" s="217"/>
      <c r="P69" s="217"/>
      <c r="Q69" s="217"/>
      <c r="R69" s="881">
        <f>SUM(E69:Q69)</f>
        <v>75000</v>
      </c>
      <c r="S69" s="217"/>
      <c r="T69" s="217"/>
      <c r="U69" s="213"/>
    </row>
    <row r="70" spans="1:21" s="214" customFormat="1" ht="12">
      <c r="A70" s="219" t="s">
        <v>2013</v>
      </c>
      <c r="B70" s="216">
        <f>SUM(C70:D70)</f>
        <v>75000</v>
      </c>
      <c r="C70" s="216">
        <f>SUM(C65:C69)</f>
        <v>75000</v>
      </c>
      <c r="D70" s="216">
        <f>SUM(D65:D69)</f>
        <v>0</v>
      </c>
      <c r="E70" s="216">
        <f t="shared" ref="E70:T70" si="19">SUM(E65:E69)</f>
        <v>75000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75000</v>
      </c>
      <c r="S70" s="220">
        <f t="shared" si="19"/>
        <v>0</v>
      </c>
      <c r="T70" s="220">
        <f t="shared" si="19"/>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599189</v>
      </c>
      <c r="C75" s="217">
        <v>599189</v>
      </c>
      <c r="D75" s="217"/>
      <c r="E75" s="217">
        <f>C75</f>
        <v>599189</v>
      </c>
      <c r="F75" s="217"/>
      <c r="G75" s="217"/>
      <c r="H75" s="217"/>
      <c r="I75" s="217"/>
      <c r="J75" s="217"/>
      <c r="K75" s="217"/>
      <c r="L75" s="217"/>
      <c r="M75" s="217"/>
      <c r="N75" s="217"/>
      <c r="O75" s="217"/>
      <c r="P75" s="217"/>
      <c r="Q75" s="217"/>
      <c r="R75" s="881">
        <f>SUM(E75:Q75)</f>
        <v>599189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ht="12">
      <c r="A77" s="219" t="s">
        <v>642</v>
      </c>
      <c r="B77" s="216">
        <f>SUM(C77:D77)</f>
        <v>599189</v>
      </c>
      <c r="C77" s="216">
        <f>SUM(C72:C76)</f>
        <v>599189</v>
      </c>
      <c r="D77" s="216">
        <f>SUM(D72:D76)</f>
        <v>0</v>
      </c>
      <c r="E77" s="216">
        <f t="shared" ref="E77:Q77" si="20">SUM(E72:E76)</f>
        <v>599189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599189</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2402640</v>
      </c>
      <c r="C79" s="217">
        <v>2402640</v>
      </c>
      <c r="D79" s="217"/>
      <c r="E79" s="217">
        <f>C79</f>
        <v>2402640</v>
      </c>
      <c r="F79" s="217"/>
      <c r="G79" s="217"/>
      <c r="H79" s="217"/>
      <c r="I79" s="217"/>
      <c r="J79" s="217"/>
      <c r="K79" s="217"/>
      <c r="L79" s="217"/>
      <c r="M79" s="217"/>
      <c r="N79" s="217"/>
      <c r="O79" s="217"/>
      <c r="P79" s="217"/>
      <c r="Q79" s="217"/>
      <c r="R79" s="881">
        <f>SUM(E79:Q79)</f>
        <v>2402640</v>
      </c>
      <c r="S79" s="217">
        <f>C79</f>
        <v>2402640</v>
      </c>
      <c r="T79" s="217"/>
      <c r="U79" s="213"/>
    </row>
    <row r="80" spans="1:21" s="214" customFormat="1">
      <c r="A80" s="441" t="s">
        <v>61</v>
      </c>
      <c r="B80" s="216">
        <f>SUM(C80:D80)</f>
        <v>248031</v>
      </c>
      <c r="C80" s="217">
        <v>248031</v>
      </c>
      <c r="D80" s="217"/>
      <c r="E80" s="217">
        <f>C80</f>
        <v>248031</v>
      </c>
      <c r="F80" s="217"/>
      <c r="G80" s="217"/>
      <c r="H80" s="217"/>
      <c r="I80" s="217"/>
      <c r="J80" s="217"/>
      <c r="K80" s="217"/>
      <c r="L80" s="217"/>
      <c r="M80" s="217"/>
      <c r="N80" s="217"/>
      <c r="O80" s="217"/>
      <c r="P80" s="217"/>
      <c r="Q80" s="217"/>
      <c r="R80" s="881">
        <f>SUM(E80:Q80)</f>
        <v>248031</v>
      </c>
      <c r="S80" s="217">
        <f>C80</f>
        <v>248031</v>
      </c>
      <c r="T80" s="217"/>
      <c r="U80" s="213"/>
    </row>
    <row r="81" spans="1:21" s="214" customFormat="1" ht="12">
      <c r="A81" s="219" t="s">
        <v>1426</v>
      </c>
      <c r="B81" s="216">
        <f>SUM(C81:D81)</f>
        <v>2650671</v>
      </c>
      <c r="C81" s="861">
        <f>SUM(C79:C80)</f>
        <v>2650671</v>
      </c>
      <c r="D81" s="861">
        <f t="shared" ref="D81:T81" si="21">SUM(D79:D80)</f>
        <v>0</v>
      </c>
      <c r="E81" s="861">
        <f t="shared" si="21"/>
        <v>2650671</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2650671</v>
      </c>
      <c r="S81" s="861">
        <f t="shared" si="21"/>
        <v>2650671</v>
      </c>
      <c r="T81" s="861">
        <f t="shared" si="21"/>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95" customHeight="1">
      <c r="A83" s="215" t="s">
        <v>827</v>
      </c>
      <c r="B83" s="216">
        <f t="shared" ref="B83:B95" si="22">SUM(C83+D83)</f>
        <v>91061</v>
      </c>
      <c r="C83" s="217">
        <v>91061</v>
      </c>
      <c r="D83" s="217"/>
      <c r="E83" s="217">
        <f>C83</f>
        <v>91061</v>
      </c>
      <c r="F83" s="217"/>
      <c r="G83" s="217"/>
      <c r="H83" s="217"/>
      <c r="I83" s="217"/>
      <c r="J83" s="217"/>
      <c r="K83" s="217"/>
      <c r="L83" s="217"/>
      <c r="M83" s="217"/>
      <c r="N83" s="217"/>
      <c r="O83" s="217"/>
      <c r="P83" s="217"/>
      <c r="Q83" s="217"/>
      <c r="R83" s="881">
        <f t="shared" ref="R83:R95" si="23">SUM(E83:Q83)</f>
        <v>91061</v>
      </c>
      <c r="S83" s="218"/>
      <c r="T83" s="218"/>
      <c r="U83" s="213"/>
    </row>
    <row r="84" spans="1:21" s="214" customFormat="1">
      <c r="A84" s="215" t="s">
        <v>828</v>
      </c>
      <c r="B84" s="216">
        <f t="shared" si="22"/>
        <v>0</v>
      </c>
      <c r="C84" s="217"/>
      <c r="D84" s="217"/>
      <c r="E84" s="217"/>
      <c r="F84" s="217"/>
      <c r="G84" s="217"/>
      <c r="H84" s="217"/>
      <c r="I84" s="217"/>
      <c r="J84" s="217"/>
      <c r="K84" s="217"/>
      <c r="L84" s="217"/>
      <c r="M84" s="217"/>
      <c r="N84" s="217"/>
      <c r="O84" s="217"/>
      <c r="P84" s="217"/>
      <c r="Q84" s="217"/>
      <c r="R84" s="881">
        <f t="shared" si="23"/>
        <v>0</v>
      </c>
      <c r="S84" s="217"/>
      <c r="T84" s="217"/>
      <c r="U84" s="213"/>
    </row>
    <row r="85" spans="1:21" s="214" customFormat="1">
      <c r="A85" s="215" t="s">
        <v>829</v>
      </c>
      <c r="B85" s="216">
        <f t="shared" si="22"/>
        <v>4366923</v>
      </c>
      <c r="C85" s="217">
        <v>4366923</v>
      </c>
      <c r="D85" s="217"/>
      <c r="E85" s="217">
        <f>C85</f>
        <v>4366923</v>
      </c>
      <c r="F85" s="217"/>
      <c r="G85" s="217"/>
      <c r="H85" s="217"/>
      <c r="I85" s="217"/>
      <c r="J85" s="217"/>
      <c r="K85" s="217"/>
      <c r="L85" s="217"/>
      <c r="M85" s="217"/>
      <c r="N85" s="217"/>
      <c r="O85" s="217"/>
      <c r="P85" s="217"/>
      <c r="Q85" s="217"/>
      <c r="R85" s="881">
        <f t="shared" si="23"/>
        <v>4366923</v>
      </c>
      <c r="S85" s="217">
        <f>C85</f>
        <v>4366923</v>
      </c>
      <c r="T85" s="217"/>
      <c r="U85" s="213"/>
    </row>
    <row r="86" spans="1:21" s="214" customFormat="1">
      <c r="A86" s="215" t="s">
        <v>830</v>
      </c>
      <c r="B86" s="216">
        <f t="shared" si="22"/>
        <v>1052845</v>
      </c>
      <c r="C86" s="217">
        <v>1052845</v>
      </c>
      <c r="D86" s="217"/>
      <c r="E86" s="217">
        <f>C86</f>
        <v>1052845</v>
      </c>
      <c r="F86" s="217"/>
      <c r="G86" s="217"/>
      <c r="H86" s="217"/>
      <c r="I86" s="217"/>
      <c r="J86" s="217"/>
      <c r="K86" s="217"/>
      <c r="L86" s="217"/>
      <c r="M86" s="217"/>
      <c r="N86" s="217"/>
      <c r="O86" s="217"/>
      <c r="P86" s="217"/>
      <c r="Q86" s="217"/>
      <c r="R86" s="881">
        <f t="shared" si="23"/>
        <v>1052845</v>
      </c>
      <c r="S86" s="217">
        <f>C86</f>
        <v>1052845</v>
      </c>
      <c r="T86" s="217"/>
      <c r="U86" s="213"/>
    </row>
    <row r="87" spans="1:21" s="214" customFormat="1">
      <c r="A87" s="215" t="s">
        <v>831</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832</v>
      </c>
      <c r="B88" s="216">
        <f t="shared" si="22"/>
        <v>50000</v>
      </c>
      <c r="C88" s="217">
        <v>50000</v>
      </c>
      <c r="D88" s="217"/>
      <c r="E88" s="217">
        <f>C88</f>
        <v>50000</v>
      </c>
      <c r="F88" s="217"/>
      <c r="G88" s="217"/>
      <c r="H88" s="217"/>
      <c r="I88" s="217"/>
      <c r="J88" s="217"/>
      <c r="K88" s="217"/>
      <c r="L88" s="217"/>
      <c r="M88" s="217"/>
      <c r="N88" s="217"/>
      <c r="O88" s="217"/>
      <c r="P88" s="217"/>
      <c r="Q88" s="217"/>
      <c r="R88" s="881">
        <f t="shared" si="23"/>
        <v>50000</v>
      </c>
      <c r="S88" s="218"/>
      <c r="T88" s="218"/>
      <c r="U88" s="213"/>
    </row>
    <row r="89" spans="1:21" s="214" customFormat="1">
      <c r="A89" s="215" t="s">
        <v>833</v>
      </c>
      <c r="B89" s="216">
        <f t="shared" si="22"/>
        <v>291500</v>
      </c>
      <c r="C89" s="217">
        <f>266500+25000</f>
        <v>291500</v>
      </c>
      <c r="D89" s="217"/>
      <c r="E89" s="217">
        <f>C89</f>
        <v>291500</v>
      </c>
      <c r="F89" s="217"/>
      <c r="G89" s="217"/>
      <c r="H89" s="217"/>
      <c r="I89" s="217"/>
      <c r="J89" s="217"/>
      <c r="K89" s="217"/>
      <c r="L89" s="217"/>
      <c r="M89" s="217"/>
      <c r="N89" s="217"/>
      <c r="O89" s="217"/>
      <c r="P89" s="217"/>
      <c r="Q89" s="217"/>
      <c r="R89" s="881">
        <f t="shared" si="23"/>
        <v>291500</v>
      </c>
      <c r="S89" s="217">
        <f>C89</f>
        <v>291500</v>
      </c>
      <c r="T89" s="217"/>
      <c r="U89" s="213"/>
    </row>
    <row r="90" spans="1:21" s="214" customFormat="1">
      <c r="A90" s="215" t="s">
        <v>834</v>
      </c>
      <c r="B90" s="216">
        <f t="shared" si="22"/>
        <v>15000</v>
      </c>
      <c r="C90" s="217">
        <v>15000</v>
      </c>
      <c r="D90" s="217"/>
      <c r="E90" s="217">
        <f>C90</f>
        <v>15000</v>
      </c>
      <c r="F90" s="217"/>
      <c r="G90" s="217"/>
      <c r="H90" s="217"/>
      <c r="I90" s="217"/>
      <c r="J90" s="217"/>
      <c r="K90" s="217"/>
      <c r="L90" s="217"/>
      <c r="M90" s="217"/>
      <c r="N90" s="217"/>
      <c r="O90" s="217"/>
      <c r="P90" s="217"/>
      <c r="Q90" s="217"/>
      <c r="R90" s="881">
        <f t="shared" si="23"/>
        <v>15000</v>
      </c>
      <c r="S90" s="217">
        <f t="shared" ref="S90:S92" si="24">C90</f>
        <v>15000</v>
      </c>
      <c r="T90" s="217"/>
      <c r="U90" s="213"/>
    </row>
    <row r="91" spans="1:21" s="214" customFormat="1">
      <c r="A91" s="1828" t="s">
        <v>392</v>
      </c>
      <c r="B91" s="216">
        <f t="shared" si="22"/>
        <v>25000</v>
      </c>
      <c r="C91" s="217">
        <v>25000</v>
      </c>
      <c r="D91" s="217"/>
      <c r="E91" s="217">
        <f>C91</f>
        <v>25000</v>
      </c>
      <c r="F91" s="217"/>
      <c r="G91" s="217"/>
      <c r="H91" s="217"/>
      <c r="I91" s="217"/>
      <c r="J91" s="217"/>
      <c r="K91" s="217"/>
      <c r="L91" s="217"/>
      <c r="M91" s="217"/>
      <c r="N91" s="217"/>
      <c r="O91" s="217"/>
      <c r="P91" s="217"/>
      <c r="Q91" s="217"/>
      <c r="R91" s="881">
        <f t="shared" si="23"/>
        <v>25000</v>
      </c>
      <c r="S91" s="217">
        <f t="shared" si="24"/>
        <v>25000</v>
      </c>
      <c r="T91" s="217"/>
      <c r="U91" s="213"/>
    </row>
    <row r="92" spans="1:21" s="214" customFormat="1">
      <c r="A92" s="1827" t="s">
        <v>1428</v>
      </c>
      <c r="B92" s="216">
        <f t="shared" si="22"/>
        <v>10000</v>
      </c>
      <c r="C92" s="217">
        <v>10000</v>
      </c>
      <c r="D92" s="217"/>
      <c r="E92" s="217">
        <f>C92</f>
        <v>10000</v>
      </c>
      <c r="F92" s="217"/>
      <c r="G92" s="217"/>
      <c r="H92" s="217"/>
      <c r="I92" s="217"/>
      <c r="J92" s="217"/>
      <c r="K92" s="217"/>
      <c r="L92" s="217"/>
      <c r="M92" s="217"/>
      <c r="N92" s="217"/>
      <c r="O92" s="217"/>
      <c r="P92" s="217"/>
      <c r="Q92" s="217"/>
      <c r="R92" s="881">
        <f t="shared" si="23"/>
        <v>10000</v>
      </c>
      <c r="S92" s="217">
        <f t="shared" si="24"/>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8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8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ht="12">
      <c r="A96" s="219" t="s">
        <v>835</v>
      </c>
      <c r="B96" s="216">
        <f>SUM(C96:D96)</f>
        <v>5902329</v>
      </c>
      <c r="C96" s="216">
        <f t="shared" ref="C96:R96" si="25">SUM(C83:C95)</f>
        <v>5902329</v>
      </c>
      <c r="D96" s="216">
        <f t="shared" si="25"/>
        <v>0</v>
      </c>
      <c r="E96" s="216">
        <f t="shared" si="25"/>
        <v>5902329</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5">
        <f t="shared" si="25"/>
        <v>5902329</v>
      </c>
      <c r="S96" s="220">
        <f>SUM(S84:S87,S89:S95)</f>
        <v>5761268</v>
      </c>
      <c r="T96" s="216">
        <f>SUM(T84:T87,T89:T95)</f>
        <v>0</v>
      </c>
      <c r="U96" s="213"/>
    </row>
    <row r="97" spans="1:21" s="214" customFormat="1" ht="12">
      <c r="A97" s="219" t="s">
        <v>836</v>
      </c>
      <c r="B97" s="216">
        <f>SUM(C97:D97)</f>
        <v>57764309</v>
      </c>
      <c r="C97" s="216">
        <f t="shared" ref="C97:R97" si="26">SUM(C63+C70+C77+C81+C96)</f>
        <v>57764309</v>
      </c>
      <c r="D97" s="216">
        <f t="shared" si="26"/>
        <v>0</v>
      </c>
      <c r="E97" s="216">
        <f t="shared" si="26"/>
        <v>24185811</v>
      </c>
      <c r="F97" s="216">
        <f t="shared" si="26"/>
        <v>27500000</v>
      </c>
      <c r="G97" s="216">
        <f t="shared" si="26"/>
        <v>4428000</v>
      </c>
      <c r="H97" s="216">
        <f t="shared" si="26"/>
        <v>0</v>
      </c>
      <c r="I97" s="216">
        <f t="shared" si="26"/>
        <v>1650498</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57764309</v>
      </c>
      <c r="S97" s="216">
        <f>SUM(S63+S70+S81+S96)</f>
        <v>49611667</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7441750</v>
      </c>
      <c r="C99" s="1706">
        <v>7441750</v>
      </c>
      <c r="D99" s="1706"/>
      <c r="E99" s="1706">
        <f>C99-H99</f>
        <v>1673644</v>
      </c>
      <c r="F99" s="217"/>
      <c r="G99" s="217"/>
      <c r="H99" s="217">
        <v>5768106</v>
      </c>
      <c r="I99" s="217"/>
      <c r="J99" s="217"/>
      <c r="K99" s="217"/>
      <c r="L99" s="217"/>
      <c r="M99" s="217"/>
      <c r="N99" s="217"/>
      <c r="O99" s="217"/>
      <c r="P99" s="217"/>
      <c r="Q99" s="217"/>
      <c r="R99" s="881">
        <f t="shared" ref="R99:R103" si="27">SUM(E99:Q99)</f>
        <v>7441750</v>
      </c>
      <c r="S99" s="217">
        <f>C99</f>
        <v>7441750</v>
      </c>
      <c r="T99" s="217"/>
      <c r="U99" s="213"/>
    </row>
    <row r="100" spans="1:21" s="214" customFormat="1">
      <c r="A100" s="441" t="s">
        <v>2014</v>
      </c>
      <c r="B100" s="216">
        <f t="shared" ref="B100:B103" si="28">SUM(C100+D100)</f>
        <v>0</v>
      </c>
      <c r="C100" s="217"/>
      <c r="D100" s="217"/>
      <c r="E100" s="217"/>
      <c r="F100" s="217"/>
      <c r="G100" s="217"/>
      <c r="H100" s="217"/>
      <c r="I100" s="217"/>
      <c r="J100" s="217"/>
      <c r="K100" s="217"/>
      <c r="L100" s="217"/>
      <c r="M100" s="217"/>
      <c r="N100" s="217"/>
      <c r="O100" s="217"/>
      <c r="P100" s="217"/>
      <c r="Q100" s="217"/>
      <c r="R100" s="881">
        <f t="shared" si="27"/>
        <v>0</v>
      </c>
      <c r="S100" s="217"/>
      <c r="T100" s="217"/>
      <c r="U100" s="213"/>
    </row>
    <row r="101" spans="1:21" s="214" customFormat="1" ht="12" customHeight="1">
      <c r="A101" s="215" t="s">
        <v>839</v>
      </c>
      <c r="B101" s="216">
        <f t="shared" si="28"/>
        <v>0</v>
      </c>
      <c r="C101" s="217"/>
      <c r="D101" s="217"/>
      <c r="E101" s="217"/>
      <c r="F101" s="217"/>
      <c r="G101" s="217"/>
      <c r="H101" s="217"/>
      <c r="I101" s="217"/>
      <c r="J101" s="217"/>
      <c r="K101" s="217"/>
      <c r="L101" s="217"/>
      <c r="M101" s="217"/>
      <c r="N101" s="217"/>
      <c r="O101" s="217"/>
      <c r="P101" s="217"/>
      <c r="Q101" s="217"/>
      <c r="R101" s="881">
        <f t="shared" si="27"/>
        <v>0</v>
      </c>
      <c r="S101" s="217"/>
      <c r="T101" s="217"/>
      <c r="U101" s="213"/>
    </row>
    <row r="102" spans="1:21" s="214" customFormat="1">
      <c r="A102" s="441" t="s">
        <v>2015</v>
      </c>
      <c r="B102" s="216">
        <f t="shared" si="28"/>
        <v>0</v>
      </c>
      <c r="C102" s="217"/>
      <c r="D102" s="217"/>
      <c r="E102" s="217"/>
      <c r="F102" s="217"/>
      <c r="G102" s="217"/>
      <c r="H102" s="217"/>
      <c r="I102" s="217"/>
      <c r="J102" s="217"/>
      <c r="K102" s="217"/>
      <c r="L102" s="217"/>
      <c r="M102" s="217"/>
      <c r="N102" s="217"/>
      <c r="O102" s="217"/>
      <c r="P102" s="217"/>
      <c r="Q102" s="217"/>
      <c r="R102" s="88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81">
        <f t="shared" si="27"/>
        <v>0</v>
      </c>
      <c r="S103" s="217"/>
      <c r="T103" s="217"/>
      <c r="U103" s="213"/>
    </row>
    <row r="104" spans="1:21" s="214" customFormat="1" ht="12">
      <c r="A104" s="219" t="s">
        <v>840</v>
      </c>
      <c r="B104" s="216">
        <f>SUM(C104:D104)</f>
        <v>7441750</v>
      </c>
      <c r="C104" s="216">
        <f>SUM(C99:C103)</f>
        <v>7441750</v>
      </c>
      <c r="D104" s="216">
        <f t="shared" ref="D104:T104" si="29">SUM(D99:D103)</f>
        <v>0</v>
      </c>
      <c r="E104" s="216">
        <f t="shared" si="29"/>
        <v>1673644</v>
      </c>
      <c r="F104" s="216">
        <f t="shared" si="29"/>
        <v>0</v>
      </c>
      <c r="G104" s="216">
        <f t="shared" si="29"/>
        <v>0</v>
      </c>
      <c r="H104" s="216">
        <f t="shared" si="29"/>
        <v>5768106</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5">
        <f t="shared" si="29"/>
        <v>7441750</v>
      </c>
      <c r="S104" s="220">
        <f t="shared" si="29"/>
        <v>7441750</v>
      </c>
      <c r="T104" s="220">
        <f t="shared" si="29"/>
        <v>0</v>
      </c>
      <c r="U104" s="213"/>
    </row>
    <row r="105" spans="1:21" s="214" customFormat="1" ht="12">
      <c r="A105" s="219" t="s">
        <v>841</v>
      </c>
      <c r="B105" s="220">
        <f>SUM(C105:D105)</f>
        <v>65206059</v>
      </c>
      <c r="C105" s="220">
        <f t="shared" ref="C105:R105" si="30">SUM(C97+C104)</f>
        <v>65206059</v>
      </c>
      <c r="D105" s="220">
        <f t="shared" si="30"/>
        <v>0</v>
      </c>
      <c r="E105" s="220">
        <f t="shared" si="30"/>
        <v>25859455</v>
      </c>
      <c r="F105" s="220">
        <f t="shared" si="30"/>
        <v>27500000</v>
      </c>
      <c r="G105" s="220">
        <f t="shared" si="30"/>
        <v>4428000</v>
      </c>
      <c r="H105" s="220">
        <f t="shared" si="30"/>
        <v>5768106</v>
      </c>
      <c r="I105" s="220">
        <f t="shared" si="30"/>
        <v>1650498</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5">
        <f t="shared" si="30"/>
        <v>65206059</v>
      </c>
      <c r="S105" s="220">
        <f>S97+S104</f>
        <v>57053417</v>
      </c>
      <c r="T105" s="220">
        <f>T97+T104</f>
        <v>0</v>
      </c>
      <c r="U105" s="213"/>
    </row>
    <row r="106" spans="1:21" ht="12">
      <c r="A106" s="868" t="s">
        <v>1136</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57053417</v>
      </c>
      <c r="T107" s="234">
        <f>T105+T106</f>
        <v>0</v>
      </c>
    </row>
    <row r="108" spans="1:21" s="301" customFormat="1" ht="12">
      <c r="A108" s="233" t="s">
        <v>947</v>
      </c>
      <c r="B108" s="228"/>
      <c r="C108" s="228"/>
      <c r="D108" s="228"/>
      <c r="E108" s="465">
        <f>Application!AO650</f>
        <v>25859455</v>
      </c>
      <c r="F108" s="465">
        <f>Application!AO637</f>
        <v>27500000</v>
      </c>
      <c r="G108" s="465">
        <f>Application!AO638</f>
        <v>4428000</v>
      </c>
      <c r="H108" s="465">
        <f>Application!AO639</f>
        <v>5768106</v>
      </c>
      <c r="I108" s="465">
        <f>Application!AO640</f>
        <v>1650498</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ht="12">
      <c r="A110" s="233" t="s">
        <v>1040</v>
      </c>
      <c r="B110" s="228"/>
      <c r="C110" s="228"/>
      <c r="D110" s="228"/>
    </row>
    <row r="111" spans="1:21" ht="12">
      <c r="A111" s="227" t="s">
        <v>1041</v>
      </c>
      <c r="B111" s="228"/>
      <c r="C111" s="228"/>
      <c r="D111" s="228"/>
    </row>
    <row r="112" spans="1:21" ht="12" customHeight="1">
      <c r="A112" s="486"/>
      <c r="B112" s="228"/>
      <c r="C112" s="228"/>
      <c r="D112" s="228"/>
    </row>
    <row r="113" spans="1:21" ht="12">
      <c r="A113" s="227" t="s">
        <v>1130</v>
      </c>
      <c r="B113" s="228"/>
      <c r="C113" s="228"/>
      <c r="D113" s="228"/>
    </row>
    <row r="114" spans="1:21" ht="12">
      <c r="A114" s="227" t="s">
        <v>1131</v>
      </c>
      <c r="B114" s="228"/>
      <c r="C114" s="228"/>
      <c r="D114" s="228"/>
    </row>
    <row r="115" spans="1:21" ht="12" customHeight="1">
      <c r="A115" s="486"/>
      <c r="B115" s="228"/>
      <c r="C115" s="228"/>
      <c r="D115" s="228"/>
    </row>
    <row r="116" spans="1:21" ht="12">
      <c r="A116" s="538" t="s">
        <v>1138</v>
      </c>
      <c r="B116" s="228"/>
      <c r="C116" s="228"/>
      <c r="D116" s="228"/>
    </row>
    <row r="117" spans="1:21" ht="12">
      <c r="A117" s="538" t="s">
        <v>1445</v>
      </c>
      <c r="B117" s="228"/>
      <c r="C117" s="228"/>
      <c r="D117" s="228"/>
    </row>
    <row r="118" spans="1:21" ht="12">
      <c r="A118" s="538" t="s">
        <v>1137</v>
      </c>
      <c r="B118" s="228"/>
      <c r="C118" s="228"/>
      <c r="D118" s="228"/>
    </row>
    <row r="119" spans="1:21" ht="12">
      <c r="A119" s="538" t="s">
        <v>1139</v>
      </c>
      <c r="B119" s="228"/>
      <c r="C119" s="228"/>
      <c r="D119" s="228"/>
    </row>
    <row r="120" spans="1:21" ht="12" customHeight="1">
      <c r="A120" s="537"/>
      <c r="B120" s="228"/>
      <c r="C120" s="228"/>
      <c r="D120" s="228"/>
    </row>
    <row r="121" spans="1:21" ht="15.6">
      <c r="A121" s="531" t="s">
        <v>1114</v>
      </c>
      <c r="B121" s="228"/>
      <c r="C121" s="228"/>
      <c r="D121" s="228"/>
    </row>
    <row r="122" spans="1:21">
      <c r="A122" s="516" t="s">
        <v>1098</v>
      </c>
      <c r="B122" s="515"/>
      <c r="C122" s="515"/>
      <c r="D122" s="2570" t="s">
        <v>1099</v>
      </c>
      <c r="E122" s="2570"/>
      <c r="F122" s="2570"/>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0" t="s">
        <v>1446</v>
      </c>
      <c r="E123" s="2561"/>
      <c r="F123" s="2561"/>
      <c r="G123" s="2561"/>
      <c r="H123" s="2561"/>
      <c r="I123" s="2561"/>
      <c r="J123" s="2561"/>
      <c r="K123" s="2561"/>
      <c r="L123" s="2561"/>
      <c r="M123" s="2561"/>
      <c r="N123" s="2561"/>
      <c r="O123" s="2561"/>
      <c r="P123" s="2561"/>
      <c r="Q123" s="2561"/>
      <c r="R123" s="2561"/>
      <c r="S123" s="2561"/>
      <c r="T123" s="515"/>
      <c r="U123" s="517"/>
    </row>
    <row r="124" spans="1:21" ht="13.2">
      <c r="A124" s="514" t="s">
        <v>1101</v>
      </c>
      <c r="B124" s="524"/>
      <c r="C124" s="514"/>
      <c r="D124" s="2561"/>
      <c r="E124" s="2561"/>
      <c r="F124" s="2561"/>
      <c r="G124" s="2561"/>
      <c r="H124" s="2561"/>
      <c r="I124" s="2561"/>
      <c r="J124" s="2561"/>
      <c r="K124" s="2561"/>
      <c r="L124" s="2561"/>
      <c r="M124" s="2561"/>
      <c r="N124" s="2561"/>
      <c r="O124" s="2561"/>
      <c r="P124" s="2561"/>
      <c r="Q124" s="2561"/>
      <c r="R124" s="2561"/>
      <c r="S124" s="2561"/>
      <c r="T124" s="515"/>
      <c r="U124" s="517"/>
    </row>
    <row r="125" spans="1:21" ht="13.2">
      <c r="A125" s="514" t="s">
        <v>1102</v>
      </c>
      <c r="B125" s="524"/>
      <c r="C125" s="514"/>
      <c r="D125" s="2561"/>
      <c r="E125" s="2561"/>
      <c r="F125" s="2561"/>
      <c r="G125" s="2561"/>
      <c r="H125" s="2561"/>
      <c r="I125" s="2561"/>
      <c r="J125" s="2561"/>
      <c r="K125" s="2561"/>
      <c r="L125" s="2561"/>
      <c r="M125" s="2561"/>
      <c r="N125" s="2561"/>
      <c r="O125" s="2561"/>
      <c r="P125" s="2561"/>
      <c r="Q125" s="2561"/>
      <c r="R125" s="2561"/>
      <c r="S125" s="2561"/>
      <c r="T125" s="515"/>
      <c r="U125" s="517"/>
    </row>
    <row r="126" spans="1:21" ht="13.2">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1105</v>
      </c>
      <c r="B128" s="524"/>
      <c r="C128" s="514"/>
      <c r="D128" s="2568"/>
      <c r="E128" s="2568"/>
      <c r="F128" s="2568"/>
      <c r="G128" s="2568"/>
      <c r="H128" s="2568"/>
      <c r="I128" s="514"/>
      <c r="J128" s="2559"/>
      <c r="K128" s="2559"/>
      <c r="L128" s="514"/>
      <c r="M128" s="514"/>
      <c r="N128" s="514"/>
      <c r="O128" s="514"/>
      <c r="P128" s="514"/>
      <c r="Q128" s="514"/>
      <c r="R128" s="514"/>
      <c r="S128" s="514"/>
      <c r="T128" s="515"/>
      <c r="U128" s="517"/>
    </row>
    <row r="129" spans="1:21" ht="13.2">
      <c r="A129" s="514" t="s">
        <v>310</v>
      </c>
      <c r="B129" s="524"/>
      <c r="C129" s="514"/>
      <c r="D129" s="2569" t="s">
        <v>1106</v>
      </c>
      <c r="E129" s="2569"/>
      <c r="F129" s="2569"/>
      <c r="G129" s="2569"/>
      <c r="H129" s="2569"/>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1108</v>
      </c>
      <c r="B131" s="525">
        <f>SUM(B123:B129)</f>
        <v>0</v>
      </c>
      <c r="C131" s="514"/>
      <c r="D131" s="2220"/>
      <c r="E131" s="2220"/>
      <c r="F131" s="2220"/>
      <c r="G131" s="2220"/>
      <c r="H131" s="2220"/>
      <c r="I131" s="514"/>
      <c r="J131" s="2220"/>
      <c r="K131" s="2220"/>
      <c r="L131" s="2220"/>
      <c r="M131" s="2220"/>
      <c r="N131" s="514"/>
      <c r="O131" s="514"/>
      <c r="P131" s="514"/>
      <c r="Q131" s="514"/>
      <c r="R131" s="514"/>
      <c r="S131" s="514"/>
      <c r="T131" s="515"/>
      <c r="U131" s="517"/>
    </row>
    <row r="132" spans="1:21" ht="12" customHeight="1">
      <c r="A132" s="528"/>
      <c r="B132" s="514"/>
      <c r="C132" s="514"/>
      <c r="D132" s="2562" t="s">
        <v>1109</v>
      </c>
      <c r="E132" s="2562"/>
      <c r="F132" s="2562"/>
      <c r="G132" s="2562"/>
      <c r="H132" s="2562"/>
      <c r="I132" s="514"/>
      <c r="J132" s="2562" t="s">
        <v>1110</v>
      </c>
      <c r="K132" s="2562"/>
      <c r="L132" s="2562"/>
      <c r="M132" s="256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3"/>
      <c r="B138" s="2564"/>
      <c r="C138" s="2564"/>
      <c r="D138" s="519"/>
      <c r="E138" s="2559"/>
      <c r="F138" s="2559"/>
      <c r="G138" s="514"/>
      <c r="H138" s="514"/>
      <c r="I138" s="514"/>
      <c r="J138" s="514"/>
      <c r="K138" s="514"/>
      <c r="L138" s="514"/>
      <c r="M138" s="514"/>
      <c r="N138" s="514"/>
      <c r="O138" s="514"/>
      <c r="P138" s="514"/>
      <c r="Q138" s="514"/>
      <c r="R138" s="514"/>
      <c r="S138" s="514"/>
      <c r="T138" s="521"/>
      <c r="U138" s="522"/>
    </row>
    <row r="139" spans="1:21" ht="13.2">
      <c r="A139" s="2557" t="s">
        <v>1113</v>
      </c>
      <c r="B139" s="2558"/>
      <c r="C139" s="2558"/>
      <c r="D139" s="519"/>
      <c r="E139" s="514" t="s">
        <v>1107</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
    <cfRule type="expression" dxfId="113" priority="193" stopIfTrue="1">
      <formula>(S17+T17)&gt;C17</formula>
    </cfRule>
  </conditionalFormatting>
  <conditionalFormatting sqref="S18">
    <cfRule type="expression" dxfId="112" priority="185" stopIfTrue="1">
      <formula>(S18+T18)&gt;C18</formula>
    </cfRule>
  </conditionalFormatting>
  <conditionalFormatting sqref="S19">
    <cfRule type="expression" dxfId="111" priority="183" stopIfTrue="1">
      <formula>(S19+T19)&gt;C19</formula>
    </cfRule>
  </conditionalFormatting>
  <conditionalFormatting sqref="S20">
    <cfRule type="expression" dxfId="110" priority="182" stopIfTrue="1">
      <formula>(S20+T20)&gt;C20</formula>
    </cfRule>
  </conditionalFormatting>
  <conditionalFormatting sqref="S21">
    <cfRule type="expression" dxfId="109" priority="181" stopIfTrue="1">
      <formula>(S21+T21)&gt;C21</formula>
    </cfRule>
  </conditionalFormatting>
  <conditionalFormatting sqref="S22">
    <cfRule type="expression" dxfId="108" priority="180" stopIfTrue="1">
      <formula>(S22+T22)&gt;C22</formula>
    </cfRule>
  </conditionalFormatting>
  <conditionalFormatting sqref="S23:S24">
    <cfRule type="expression" dxfId="107" priority="179" stopIfTrue="1">
      <formula>(S23+T23)&gt;C23</formula>
    </cfRule>
  </conditionalFormatting>
  <conditionalFormatting sqref="S25">
    <cfRule type="expression" dxfId="106" priority="178" stopIfTrue="1">
      <formula>(S25+T25)&gt;C25</formula>
    </cfRule>
  </conditionalFormatting>
  <conditionalFormatting sqref="S27">
    <cfRule type="expression" dxfId="105" priority="171" stopIfTrue="1">
      <formula>(S27+T27)&gt;C27</formula>
    </cfRule>
  </conditionalFormatting>
  <conditionalFormatting sqref="S29:S35">
    <cfRule type="expression" dxfId="104" priority="169" stopIfTrue="1">
      <formula>(S29+T29)&gt;C29</formula>
    </cfRule>
  </conditionalFormatting>
  <conditionalFormatting sqref="S36">
    <cfRule type="expression" dxfId="103" priority="162" stopIfTrue="1">
      <formula>(S36+T36)&gt;C36</formula>
    </cfRule>
  </conditionalFormatting>
  <conditionalFormatting sqref="S37">
    <cfRule type="expression" dxfId="102" priority="161" stopIfTrue="1">
      <formula>(S37+T37)&gt;C37</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
    <cfRule type="expression" dxfId="93" priority="138" stopIfTrue="1">
      <formula>(S50+T50)&gt;C50</formula>
    </cfRule>
  </conditionalFormatting>
  <conditionalFormatting sqref="S51">
    <cfRule type="expression" dxfId="92" priority="137" stopIfTrue="1">
      <formula>(S51+T51)&gt;C51</formula>
    </cfRule>
  </conditionalFormatting>
  <conditionalFormatting sqref="S52">
    <cfRule type="expression" dxfId="91" priority="136" stopIfTrue="1">
      <formula>(S52+T52)&gt;C52</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
    <cfRule type="expression" dxfId="87" priority="120" stopIfTrue="1">
      <formula>(S79+T79)&gt;C79</formula>
    </cfRule>
  </conditionalFormatting>
  <conditionalFormatting sqref="S80">
    <cfRule type="expression" dxfId="86" priority="119" stopIfTrue="1">
      <formula>(S80+T80)&gt;C80</formula>
    </cfRule>
  </conditionalFormatting>
  <conditionalFormatting sqref="S84">
    <cfRule type="expression" dxfId="85" priority="116" stopIfTrue="1">
      <formula>(S84+T84)&gt;C84</formula>
    </cfRule>
  </conditionalFormatting>
  <conditionalFormatting sqref="S85">
    <cfRule type="expression" dxfId="84" priority="115" stopIfTrue="1">
      <formula>(S85+T85)&gt;C85</formula>
    </cfRule>
  </conditionalFormatting>
  <conditionalFormatting sqref="S86">
    <cfRule type="expression" dxfId="83" priority="114" stopIfTrue="1">
      <formula>(S86+T86)&gt;C86</formula>
    </cfRule>
  </conditionalFormatting>
  <conditionalFormatting sqref="S87">
    <cfRule type="expression" dxfId="82" priority="113" stopIfTrue="1">
      <formula>(S87+T87)&gt;C87</formula>
    </cfRule>
  </conditionalFormatting>
  <conditionalFormatting sqref="S89:S92">
    <cfRule type="expression" dxfId="81" priority="108" stopIfTrue="1">
      <formula>(S89+T89)&gt;C89</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G100" sqref="G100"/>
    </sheetView>
  </sheetViews>
  <sheetFormatPr defaultColWidth="0" defaultRowHeight="12" zeroHeight="1"/>
  <cols>
    <col min="1" max="1" width="32.5546875" style="611" customWidth="1"/>
    <col min="2" max="3" width="12.33203125" style="604" customWidth="1"/>
    <col min="4" max="6" width="12.6640625" style="604" customWidth="1"/>
    <col min="7" max="9" width="12.33203125" style="604" customWidth="1"/>
    <col min="10" max="10" width="12.33203125" style="605" customWidth="1"/>
    <col min="11" max="11" width="8.6640625" style="606" hidden="1" customWidth="1"/>
    <col min="12" max="21" width="8.6640625" style="604" hidden="1" customWidth="1"/>
    <col min="22" max="23" width="0" style="604" hidden="1"/>
    <col min="24" max="256" width="8.6640625" style="604" hidden="1"/>
    <col min="257" max="257" width="32.5546875" style="604" hidden="1" customWidth="1"/>
    <col min="258" max="259" width="12.33203125" style="604" hidden="1" customWidth="1"/>
    <col min="260" max="260" width="12.6640625" style="604" hidden="1" customWidth="1"/>
    <col min="261" max="266" width="12.33203125" style="604" hidden="1" customWidth="1"/>
    <col min="267" max="277" width="8.6640625" style="604" hidden="1" customWidth="1"/>
    <col min="278" max="512" width="8.6640625" style="604" hidden="1"/>
    <col min="513" max="513" width="32.5546875" style="604" hidden="1" customWidth="1"/>
    <col min="514" max="515" width="12.33203125" style="604" hidden="1" customWidth="1"/>
    <col min="516" max="516" width="12.6640625" style="604" hidden="1" customWidth="1"/>
    <col min="517" max="522" width="12.33203125" style="604" hidden="1" customWidth="1"/>
    <col min="523" max="533" width="8.6640625" style="604" hidden="1" customWidth="1"/>
    <col min="534" max="768" width="8.6640625" style="604" hidden="1"/>
    <col min="769" max="769" width="32.5546875" style="604" hidden="1" customWidth="1"/>
    <col min="770" max="771" width="12.33203125" style="604" hidden="1" customWidth="1"/>
    <col min="772" max="772" width="12.6640625" style="604" hidden="1" customWidth="1"/>
    <col min="773" max="778" width="12.33203125" style="604" hidden="1" customWidth="1"/>
    <col min="779" max="789" width="8.6640625" style="604" hidden="1" customWidth="1"/>
    <col min="790" max="1024" width="8.6640625" style="604" hidden="1"/>
    <col min="1025" max="1025" width="32.5546875" style="604" hidden="1" customWidth="1"/>
    <col min="1026" max="1027" width="12.33203125" style="604" hidden="1" customWidth="1"/>
    <col min="1028" max="1028" width="12.6640625" style="604" hidden="1" customWidth="1"/>
    <col min="1029" max="1034" width="12.33203125" style="604" hidden="1" customWidth="1"/>
    <col min="1035" max="1045" width="8.6640625" style="604" hidden="1" customWidth="1"/>
    <col min="1046" max="1280" width="8.6640625" style="604" hidden="1"/>
    <col min="1281" max="1281" width="32.5546875" style="604" hidden="1" customWidth="1"/>
    <col min="1282" max="1283" width="12.33203125" style="604" hidden="1" customWidth="1"/>
    <col min="1284" max="1284" width="12.6640625" style="604" hidden="1" customWidth="1"/>
    <col min="1285" max="1290" width="12.33203125" style="604" hidden="1" customWidth="1"/>
    <col min="1291" max="1301" width="8.6640625" style="604" hidden="1" customWidth="1"/>
    <col min="1302" max="1536" width="8.6640625" style="604" hidden="1"/>
    <col min="1537" max="1537" width="32.5546875" style="604" hidden="1" customWidth="1"/>
    <col min="1538" max="1539" width="12.33203125" style="604" hidden="1" customWidth="1"/>
    <col min="1540" max="1540" width="12.6640625" style="604" hidden="1" customWidth="1"/>
    <col min="1541" max="1546" width="12.33203125" style="604" hidden="1" customWidth="1"/>
    <col min="1547" max="1557" width="8.6640625" style="604" hidden="1" customWidth="1"/>
    <col min="1558" max="1792" width="8.6640625" style="604" hidden="1"/>
    <col min="1793" max="1793" width="32.5546875" style="604" hidden="1" customWidth="1"/>
    <col min="1794" max="1795" width="12.33203125" style="604" hidden="1" customWidth="1"/>
    <col min="1796" max="1796" width="12.6640625" style="604" hidden="1" customWidth="1"/>
    <col min="1797" max="1802" width="12.33203125" style="604" hidden="1" customWidth="1"/>
    <col min="1803" max="1813" width="8.6640625" style="604" hidden="1" customWidth="1"/>
    <col min="1814" max="2048" width="8.6640625" style="604" hidden="1"/>
    <col min="2049" max="2049" width="32.5546875" style="604" hidden="1" customWidth="1"/>
    <col min="2050" max="2051" width="12.33203125" style="604" hidden="1" customWidth="1"/>
    <col min="2052" max="2052" width="12.6640625" style="604" hidden="1" customWidth="1"/>
    <col min="2053" max="2058" width="12.33203125" style="604" hidden="1" customWidth="1"/>
    <col min="2059" max="2069" width="8.6640625" style="604" hidden="1" customWidth="1"/>
    <col min="2070" max="2304" width="8.6640625" style="604" hidden="1"/>
    <col min="2305" max="2305" width="32.5546875" style="604" hidden="1" customWidth="1"/>
    <col min="2306" max="2307" width="12.33203125" style="604" hidden="1" customWidth="1"/>
    <col min="2308" max="2308" width="12.6640625" style="604" hidden="1" customWidth="1"/>
    <col min="2309" max="2314" width="12.33203125" style="604" hidden="1" customWidth="1"/>
    <col min="2315" max="2325" width="8.6640625" style="604" hidden="1" customWidth="1"/>
    <col min="2326" max="2560" width="8.6640625" style="604" hidden="1"/>
    <col min="2561" max="2561" width="32.5546875" style="604" hidden="1" customWidth="1"/>
    <col min="2562" max="2563" width="12.33203125" style="604" hidden="1" customWidth="1"/>
    <col min="2564" max="2564" width="12.6640625" style="604" hidden="1" customWidth="1"/>
    <col min="2565" max="2570" width="12.33203125" style="604" hidden="1" customWidth="1"/>
    <col min="2571" max="2581" width="8.6640625" style="604" hidden="1" customWidth="1"/>
    <col min="2582" max="2816" width="8.6640625" style="604" hidden="1"/>
    <col min="2817" max="2817" width="32.5546875" style="604" hidden="1" customWidth="1"/>
    <col min="2818" max="2819" width="12.33203125" style="604" hidden="1" customWidth="1"/>
    <col min="2820" max="2820" width="12.6640625" style="604" hidden="1" customWidth="1"/>
    <col min="2821" max="2826" width="12.33203125" style="604" hidden="1" customWidth="1"/>
    <col min="2827" max="2837" width="8.6640625" style="604" hidden="1" customWidth="1"/>
    <col min="2838" max="3072" width="8.6640625" style="604" hidden="1"/>
    <col min="3073" max="3073" width="32.5546875" style="604" hidden="1" customWidth="1"/>
    <col min="3074" max="3075" width="12.33203125" style="604" hidden="1" customWidth="1"/>
    <col min="3076" max="3076" width="12.6640625" style="604" hidden="1" customWidth="1"/>
    <col min="3077" max="3082" width="12.33203125" style="604" hidden="1" customWidth="1"/>
    <col min="3083" max="3093" width="8.6640625" style="604" hidden="1" customWidth="1"/>
    <col min="3094" max="3328" width="8.6640625" style="604" hidden="1"/>
    <col min="3329" max="3329" width="32.5546875" style="604" hidden="1" customWidth="1"/>
    <col min="3330" max="3331" width="12.33203125" style="604" hidden="1" customWidth="1"/>
    <col min="3332" max="3332" width="12.6640625" style="604" hidden="1" customWidth="1"/>
    <col min="3333" max="3338" width="12.33203125" style="604" hidden="1" customWidth="1"/>
    <col min="3339" max="3349" width="8.6640625" style="604" hidden="1" customWidth="1"/>
    <col min="3350" max="3584" width="8.6640625" style="604" hidden="1"/>
    <col min="3585" max="3585" width="32.5546875" style="604" hidden="1" customWidth="1"/>
    <col min="3586" max="3587" width="12.33203125" style="604" hidden="1" customWidth="1"/>
    <col min="3588" max="3588" width="12.6640625" style="604" hidden="1" customWidth="1"/>
    <col min="3589" max="3594" width="12.33203125" style="604" hidden="1" customWidth="1"/>
    <col min="3595" max="3605" width="8.6640625" style="604" hidden="1" customWidth="1"/>
    <col min="3606" max="3840" width="8.6640625" style="604" hidden="1"/>
    <col min="3841" max="3841" width="32.5546875" style="604" hidden="1" customWidth="1"/>
    <col min="3842" max="3843" width="12.33203125" style="604" hidden="1" customWidth="1"/>
    <col min="3844" max="3844" width="12.6640625" style="604" hidden="1" customWidth="1"/>
    <col min="3845" max="3850" width="12.33203125" style="604" hidden="1" customWidth="1"/>
    <col min="3851" max="3861" width="8.6640625" style="604" hidden="1" customWidth="1"/>
    <col min="3862" max="4096" width="8.6640625" style="604" hidden="1"/>
    <col min="4097" max="4097" width="32.5546875" style="604" hidden="1" customWidth="1"/>
    <col min="4098" max="4099" width="12.33203125" style="604" hidden="1" customWidth="1"/>
    <col min="4100" max="4100" width="12.6640625" style="604" hidden="1" customWidth="1"/>
    <col min="4101" max="4106" width="12.33203125" style="604" hidden="1" customWidth="1"/>
    <col min="4107" max="4117" width="8.6640625" style="604" hidden="1" customWidth="1"/>
    <col min="4118" max="4352" width="8.6640625" style="604" hidden="1"/>
    <col min="4353" max="4353" width="32.5546875" style="604" hidden="1" customWidth="1"/>
    <col min="4354" max="4355" width="12.33203125" style="604" hidden="1" customWidth="1"/>
    <col min="4356" max="4356" width="12.6640625" style="604" hidden="1" customWidth="1"/>
    <col min="4357" max="4362" width="12.33203125" style="604" hidden="1" customWidth="1"/>
    <col min="4363" max="4373" width="8.6640625" style="604" hidden="1" customWidth="1"/>
    <col min="4374" max="4608" width="8.6640625" style="604" hidden="1"/>
    <col min="4609" max="4609" width="32.5546875" style="604" hidden="1" customWidth="1"/>
    <col min="4610" max="4611" width="12.33203125" style="604" hidden="1" customWidth="1"/>
    <col min="4612" max="4612" width="12.6640625" style="604" hidden="1" customWidth="1"/>
    <col min="4613" max="4618" width="12.33203125" style="604" hidden="1" customWidth="1"/>
    <col min="4619" max="4629" width="8.6640625" style="604" hidden="1" customWidth="1"/>
    <col min="4630" max="4864" width="8.6640625" style="604" hidden="1"/>
    <col min="4865" max="4865" width="32.5546875" style="604" hidden="1" customWidth="1"/>
    <col min="4866" max="4867" width="12.33203125" style="604" hidden="1" customWidth="1"/>
    <col min="4868" max="4868" width="12.6640625" style="604" hidden="1" customWidth="1"/>
    <col min="4869" max="4874" width="12.33203125" style="604" hidden="1" customWidth="1"/>
    <col min="4875" max="4885" width="8.6640625" style="604" hidden="1" customWidth="1"/>
    <col min="4886" max="5120" width="8.6640625" style="604" hidden="1"/>
    <col min="5121" max="5121" width="32.5546875" style="604" hidden="1" customWidth="1"/>
    <col min="5122" max="5123" width="12.33203125" style="604" hidden="1" customWidth="1"/>
    <col min="5124" max="5124" width="12.6640625" style="604" hidden="1" customWidth="1"/>
    <col min="5125" max="5130" width="12.33203125" style="604" hidden="1" customWidth="1"/>
    <col min="5131" max="5141" width="8.6640625" style="604" hidden="1" customWidth="1"/>
    <col min="5142" max="5376" width="8.6640625" style="604" hidden="1"/>
    <col min="5377" max="5377" width="32.5546875" style="604" hidden="1" customWidth="1"/>
    <col min="5378" max="5379" width="12.33203125" style="604" hidden="1" customWidth="1"/>
    <col min="5380" max="5380" width="12.6640625" style="604" hidden="1" customWidth="1"/>
    <col min="5381" max="5386" width="12.33203125" style="604" hidden="1" customWidth="1"/>
    <col min="5387" max="5397" width="8.6640625" style="604" hidden="1" customWidth="1"/>
    <col min="5398" max="5632" width="8.6640625" style="604" hidden="1"/>
    <col min="5633" max="5633" width="32.5546875" style="604" hidden="1" customWidth="1"/>
    <col min="5634" max="5635" width="12.33203125" style="604" hidden="1" customWidth="1"/>
    <col min="5636" max="5636" width="12.6640625" style="604" hidden="1" customWidth="1"/>
    <col min="5637" max="5642" width="12.33203125" style="604" hidden="1" customWidth="1"/>
    <col min="5643" max="5653" width="8.6640625" style="604" hidden="1" customWidth="1"/>
    <col min="5654" max="5888" width="8.6640625" style="604" hidden="1"/>
    <col min="5889" max="5889" width="32.5546875" style="604" hidden="1" customWidth="1"/>
    <col min="5890" max="5891" width="12.33203125" style="604" hidden="1" customWidth="1"/>
    <col min="5892" max="5892" width="12.6640625" style="604" hidden="1" customWidth="1"/>
    <col min="5893" max="5898" width="12.33203125" style="604" hidden="1" customWidth="1"/>
    <col min="5899" max="5909" width="8.6640625" style="604" hidden="1" customWidth="1"/>
    <col min="5910" max="6144" width="8.6640625" style="604" hidden="1"/>
    <col min="6145" max="6145" width="32.5546875" style="604" hidden="1" customWidth="1"/>
    <col min="6146" max="6147" width="12.33203125" style="604" hidden="1" customWidth="1"/>
    <col min="6148" max="6148" width="12.6640625" style="604" hidden="1" customWidth="1"/>
    <col min="6149" max="6154" width="12.33203125" style="604" hidden="1" customWidth="1"/>
    <col min="6155" max="6165" width="8.6640625" style="604" hidden="1" customWidth="1"/>
    <col min="6166" max="6400" width="8.6640625" style="604" hidden="1"/>
    <col min="6401" max="6401" width="32.5546875" style="604" hidden="1" customWidth="1"/>
    <col min="6402" max="6403" width="12.33203125" style="604" hidden="1" customWidth="1"/>
    <col min="6404" max="6404" width="12.6640625" style="604" hidden="1" customWidth="1"/>
    <col min="6405" max="6410" width="12.33203125" style="604" hidden="1" customWidth="1"/>
    <col min="6411" max="6421" width="8.6640625" style="604" hidden="1" customWidth="1"/>
    <col min="6422" max="6656" width="8.6640625" style="604" hidden="1"/>
    <col min="6657" max="6657" width="32.5546875" style="604" hidden="1" customWidth="1"/>
    <col min="6658" max="6659" width="12.33203125" style="604" hidden="1" customWidth="1"/>
    <col min="6660" max="6660" width="12.6640625" style="604" hidden="1" customWidth="1"/>
    <col min="6661" max="6666" width="12.33203125" style="604" hidden="1" customWidth="1"/>
    <col min="6667" max="6677" width="8.6640625" style="604" hidden="1" customWidth="1"/>
    <col min="6678" max="6912" width="8.6640625" style="604" hidden="1"/>
    <col min="6913" max="6913" width="32.5546875" style="604" hidden="1" customWidth="1"/>
    <col min="6914" max="6915" width="12.33203125" style="604" hidden="1" customWidth="1"/>
    <col min="6916" max="6916" width="12.6640625" style="604" hidden="1" customWidth="1"/>
    <col min="6917" max="6922" width="12.33203125" style="604" hidden="1" customWidth="1"/>
    <col min="6923" max="6933" width="8.6640625" style="604" hidden="1" customWidth="1"/>
    <col min="6934" max="7168" width="8.6640625" style="604" hidden="1"/>
    <col min="7169" max="7169" width="32.5546875" style="604" hidden="1" customWidth="1"/>
    <col min="7170" max="7171" width="12.33203125" style="604" hidden="1" customWidth="1"/>
    <col min="7172" max="7172" width="12.6640625" style="604" hidden="1" customWidth="1"/>
    <col min="7173" max="7178" width="12.33203125" style="604" hidden="1" customWidth="1"/>
    <col min="7179" max="7189" width="8.6640625" style="604" hidden="1" customWidth="1"/>
    <col min="7190" max="7424" width="8.6640625" style="604" hidden="1"/>
    <col min="7425" max="7425" width="32.5546875" style="604" hidden="1" customWidth="1"/>
    <col min="7426" max="7427" width="12.33203125" style="604" hidden="1" customWidth="1"/>
    <col min="7428" max="7428" width="12.6640625" style="604" hidden="1" customWidth="1"/>
    <col min="7429" max="7434" width="12.33203125" style="604" hidden="1" customWidth="1"/>
    <col min="7435" max="7445" width="8.6640625" style="604" hidden="1" customWidth="1"/>
    <col min="7446" max="7680" width="8.6640625" style="604" hidden="1"/>
    <col min="7681" max="7681" width="32.5546875" style="604" hidden="1" customWidth="1"/>
    <col min="7682" max="7683" width="12.33203125" style="604" hidden="1" customWidth="1"/>
    <col min="7684" max="7684" width="12.6640625" style="604" hidden="1" customWidth="1"/>
    <col min="7685" max="7690" width="12.33203125" style="604" hidden="1" customWidth="1"/>
    <col min="7691" max="7701" width="8.6640625" style="604" hidden="1" customWidth="1"/>
    <col min="7702" max="7936" width="8.6640625" style="604" hidden="1"/>
    <col min="7937" max="7937" width="32.5546875" style="604" hidden="1" customWidth="1"/>
    <col min="7938" max="7939" width="12.33203125" style="604" hidden="1" customWidth="1"/>
    <col min="7940" max="7940" width="12.6640625" style="604" hidden="1" customWidth="1"/>
    <col min="7941" max="7946" width="12.33203125" style="604" hidden="1" customWidth="1"/>
    <col min="7947" max="7957" width="8.6640625" style="604" hidden="1" customWidth="1"/>
    <col min="7958" max="8192" width="8.6640625" style="604" hidden="1"/>
    <col min="8193" max="8193" width="32.5546875" style="604" hidden="1" customWidth="1"/>
    <col min="8194" max="8195" width="12.33203125" style="604" hidden="1" customWidth="1"/>
    <col min="8196" max="8196" width="12.6640625" style="604" hidden="1" customWidth="1"/>
    <col min="8197" max="8202" width="12.33203125" style="604" hidden="1" customWidth="1"/>
    <col min="8203" max="8213" width="8.6640625" style="604" hidden="1" customWidth="1"/>
    <col min="8214" max="8448" width="8.6640625" style="604" hidden="1"/>
    <col min="8449" max="8449" width="32.5546875" style="604" hidden="1" customWidth="1"/>
    <col min="8450" max="8451" width="12.33203125" style="604" hidden="1" customWidth="1"/>
    <col min="8452" max="8452" width="12.6640625" style="604" hidden="1" customWidth="1"/>
    <col min="8453" max="8458" width="12.33203125" style="604" hidden="1" customWidth="1"/>
    <col min="8459" max="8469" width="8.6640625" style="604" hidden="1" customWidth="1"/>
    <col min="8470" max="8704" width="8.6640625" style="604" hidden="1"/>
    <col min="8705" max="8705" width="32.5546875" style="604" hidden="1" customWidth="1"/>
    <col min="8706" max="8707" width="12.33203125" style="604" hidden="1" customWidth="1"/>
    <col min="8708" max="8708" width="12.6640625" style="604" hidden="1" customWidth="1"/>
    <col min="8709" max="8714" width="12.33203125" style="604" hidden="1" customWidth="1"/>
    <col min="8715" max="8725" width="8.6640625" style="604" hidden="1" customWidth="1"/>
    <col min="8726" max="8960" width="8.6640625" style="604" hidden="1"/>
    <col min="8961" max="8961" width="32.5546875" style="604" hidden="1" customWidth="1"/>
    <col min="8962" max="8963" width="12.33203125" style="604" hidden="1" customWidth="1"/>
    <col min="8964" max="8964" width="12.6640625" style="604" hidden="1" customWidth="1"/>
    <col min="8965" max="8970" width="12.33203125" style="604" hidden="1" customWidth="1"/>
    <col min="8971" max="8981" width="8.6640625" style="604" hidden="1" customWidth="1"/>
    <col min="8982" max="9216" width="8.6640625" style="604" hidden="1"/>
    <col min="9217" max="9217" width="32.5546875" style="604" hidden="1" customWidth="1"/>
    <col min="9218" max="9219" width="12.33203125" style="604" hidden="1" customWidth="1"/>
    <col min="9220" max="9220" width="12.6640625" style="604" hidden="1" customWidth="1"/>
    <col min="9221" max="9226" width="12.33203125" style="604" hidden="1" customWidth="1"/>
    <col min="9227" max="9237" width="8.6640625" style="604" hidden="1" customWidth="1"/>
    <col min="9238" max="9472" width="8.6640625" style="604" hidden="1"/>
    <col min="9473" max="9473" width="32.5546875" style="604" hidden="1" customWidth="1"/>
    <col min="9474" max="9475" width="12.33203125" style="604" hidden="1" customWidth="1"/>
    <col min="9476" max="9476" width="12.6640625" style="604" hidden="1" customWidth="1"/>
    <col min="9477" max="9482" width="12.33203125" style="604" hidden="1" customWidth="1"/>
    <col min="9483" max="9493" width="8.6640625" style="604" hidden="1" customWidth="1"/>
    <col min="9494" max="9728" width="8.6640625" style="604" hidden="1"/>
    <col min="9729" max="9729" width="32.5546875" style="604" hidden="1" customWidth="1"/>
    <col min="9730" max="9731" width="12.33203125" style="604" hidden="1" customWidth="1"/>
    <col min="9732" max="9732" width="12.6640625" style="604" hidden="1" customWidth="1"/>
    <col min="9733" max="9738" width="12.33203125" style="604" hidden="1" customWidth="1"/>
    <col min="9739" max="9749" width="8.6640625" style="604" hidden="1" customWidth="1"/>
    <col min="9750" max="9984" width="8.6640625" style="604" hidden="1"/>
    <col min="9985" max="9985" width="32.5546875" style="604" hidden="1" customWidth="1"/>
    <col min="9986" max="9987" width="12.33203125" style="604" hidden="1" customWidth="1"/>
    <col min="9988" max="9988" width="12.6640625" style="604" hidden="1" customWidth="1"/>
    <col min="9989" max="9994" width="12.33203125" style="604" hidden="1" customWidth="1"/>
    <col min="9995" max="10005" width="8.6640625" style="604" hidden="1" customWidth="1"/>
    <col min="10006" max="10240" width="8.6640625" style="604" hidden="1"/>
    <col min="10241" max="10241" width="32.5546875" style="604" hidden="1" customWidth="1"/>
    <col min="10242" max="10243" width="12.33203125" style="604" hidden="1" customWidth="1"/>
    <col min="10244" max="10244" width="12.6640625" style="604" hidden="1" customWidth="1"/>
    <col min="10245" max="10250" width="12.33203125" style="604" hidden="1" customWidth="1"/>
    <col min="10251" max="10261" width="8.6640625" style="604" hidden="1" customWidth="1"/>
    <col min="10262" max="10496" width="8.6640625" style="604" hidden="1"/>
    <col min="10497" max="10497" width="32.5546875" style="604" hidden="1" customWidth="1"/>
    <col min="10498" max="10499" width="12.33203125" style="604" hidden="1" customWidth="1"/>
    <col min="10500" max="10500" width="12.6640625" style="604" hidden="1" customWidth="1"/>
    <col min="10501" max="10506" width="12.33203125" style="604" hidden="1" customWidth="1"/>
    <col min="10507" max="10517" width="8.6640625" style="604" hidden="1" customWidth="1"/>
    <col min="10518" max="10752" width="8.6640625" style="604" hidden="1"/>
    <col min="10753" max="10753" width="32.5546875" style="604" hidden="1" customWidth="1"/>
    <col min="10754" max="10755" width="12.33203125" style="604" hidden="1" customWidth="1"/>
    <col min="10756" max="10756" width="12.6640625" style="604" hidden="1" customWidth="1"/>
    <col min="10757" max="10762" width="12.33203125" style="604" hidden="1" customWidth="1"/>
    <col min="10763" max="10773" width="8.6640625" style="604" hidden="1" customWidth="1"/>
    <col min="10774" max="11008" width="8.6640625" style="604" hidden="1"/>
    <col min="11009" max="11009" width="32.5546875" style="604" hidden="1" customWidth="1"/>
    <col min="11010" max="11011" width="12.33203125" style="604" hidden="1" customWidth="1"/>
    <col min="11012" max="11012" width="12.6640625" style="604" hidden="1" customWidth="1"/>
    <col min="11013" max="11018" width="12.33203125" style="604" hidden="1" customWidth="1"/>
    <col min="11019" max="11029" width="8.6640625" style="604" hidden="1" customWidth="1"/>
    <col min="11030" max="11264" width="8.6640625" style="604" hidden="1"/>
    <col min="11265" max="11265" width="32.5546875" style="604" hidden="1" customWidth="1"/>
    <col min="11266" max="11267" width="12.33203125" style="604" hidden="1" customWidth="1"/>
    <col min="11268" max="11268" width="12.6640625" style="604" hidden="1" customWidth="1"/>
    <col min="11269" max="11274" width="12.33203125" style="604" hidden="1" customWidth="1"/>
    <col min="11275" max="11285" width="8.6640625" style="604" hidden="1" customWidth="1"/>
    <col min="11286" max="11520" width="8.6640625" style="604" hidden="1"/>
    <col min="11521" max="11521" width="32.5546875" style="604" hidden="1" customWidth="1"/>
    <col min="11522" max="11523" width="12.33203125" style="604" hidden="1" customWidth="1"/>
    <col min="11524" max="11524" width="12.6640625" style="604" hidden="1" customWidth="1"/>
    <col min="11525" max="11530" width="12.33203125" style="604" hidden="1" customWidth="1"/>
    <col min="11531" max="11541" width="8.6640625" style="604" hidden="1" customWidth="1"/>
    <col min="11542" max="11776" width="8.6640625" style="604" hidden="1"/>
    <col min="11777" max="11777" width="32.5546875" style="604" hidden="1" customWidth="1"/>
    <col min="11778" max="11779" width="12.33203125" style="604" hidden="1" customWidth="1"/>
    <col min="11780" max="11780" width="12.6640625" style="604" hidden="1" customWidth="1"/>
    <col min="11781" max="11786" width="12.33203125" style="604" hidden="1" customWidth="1"/>
    <col min="11787" max="11797" width="8.6640625" style="604" hidden="1" customWidth="1"/>
    <col min="11798" max="12032" width="8.6640625" style="604" hidden="1"/>
    <col min="12033" max="12033" width="32.5546875" style="604" hidden="1" customWidth="1"/>
    <col min="12034" max="12035" width="12.33203125" style="604" hidden="1" customWidth="1"/>
    <col min="12036" max="12036" width="12.6640625" style="604" hidden="1" customWidth="1"/>
    <col min="12037" max="12042" width="12.33203125" style="604" hidden="1" customWidth="1"/>
    <col min="12043" max="12053" width="8.6640625" style="604" hidden="1" customWidth="1"/>
    <col min="12054" max="12288" width="8.6640625" style="604" hidden="1"/>
    <col min="12289" max="12289" width="32.5546875" style="604" hidden="1" customWidth="1"/>
    <col min="12290" max="12291" width="12.33203125" style="604" hidden="1" customWidth="1"/>
    <col min="12292" max="12292" width="12.6640625" style="604" hidden="1" customWidth="1"/>
    <col min="12293" max="12298" width="12.33203125" style="604" hidden="1" customWidth="1"/>
    <col min="12299" max="12309" width="8.6640625" style="604" hidden="1" customWidth="1"/>
    <col min="12310" max="12544" width="8.6640625" style="604" hidden="1"/>
    <col min="12545" max="12545" width="32.5546875" style="604" hidden="1" customWidth="1"/>
    <col min="12546" max="12547" width="12.33203125" style="604" hidden="1" customWidth="1"/>
    <col min="12548" max="12548" width="12.6640625" style="604" hidden="1" customWidth="1"/>
    <col min="12549" max="12554" width="12.33203125" style="604" hidden="1" customWidth="1"/>
    <col min="12555" max="12565" width="8.6640625" style="604" hidden="1" customWidth="1"/>
    <col min="12566" max="12800" width="8.6640625" style="604" hidden="1"/>
    <col min="12801" max="12801" width="32.5546875" style="604" hidden="1" customWidth="1"/>
    <col min="12802" max="12803" width="12.33203125" style="604" hidden="1" customWidth="1"/>
    <col min="12804" max="12804" width="12.6640625" style="604" hidden="1" customWidth="1"/>
    <col min="12805" max="12810" width="12.33203125" style="604" hidden="1" customWidth="1"/>
    <col min="12811" max="12821" width="8.6640625" style="604" hidden="1" customWidth="1"/>
    <col min="12822" max="13056" width="8.6640625" style="604" hidden="1"/>
    <col min="13057" max="13057" width="32.5546875" style="604" hidden="1" customWidth="1"/>
    <col min="13058" max="13059" width="12.33203125" style="604" hidden="1" customWidth="1"/>
    <col min="13060" max="13060" width="12.6640625" style="604" hidden="1" customWidth="1"/>
    <col min="13061" max="13066" width="12.33203125" style="604" hidden="1" customWidth="1"/>
    <col min="13067" max="13077" width="8.6640625" style="604" hidden="1" customWidth="1"/>
    <col min="13078" max="13312" width="8.6640625" style="604" hidden="1"/>
    <col min="13313" max="13313" width="32.5546875" style="604" hidden="1" customWidth="1"/>
    <col min="13314" max="13315" width="12.33203125" style="604" hidden="1" customWidth="1"/>
    <col min="13316" max="13316" width="12.6640625" style="604" hidden="1" customWidth="1"/>
    <col min="13317" max="13322" width="12.33203125" style="604" hidden="1" customWidth="1"/>
    <col min="13323" max="13333" width="8.6640625" style="604" hidden="1" customWidth="1"/>
    <col min="13334" max="13568" width="8.6640625" style="604" hidden="1"/>
    <col min="13569" max="13569" width="32.5546875" style="604" hidden="1" customWidth="1"/>
    <col min="13570" max="13571" width="12.33203125" style="604" hidden="1" customWidth="1"/>
    <col min="13572" max="13572" width="12.6640625" style="604" hidden="1" customWidth="1"/>
    <col min="13573" max="13578" width="12.33203125" style="604" hidden="1" customWidth="1"/>
    <col min="13579" max="13589" width="8.6640625" style="604" hidden="1" customWidth="1"/>
    <col min="13590" max="13824" width="8.6640625" style="604" hidden="1"/>
    <col min="13825" max="13825" width="32.5546875" style="604" hidden="1" customWidth="1"/>
    <col min="13826" max="13827" width="12.33203125" style="604" hidden="1" customWidth="1"/>
    <col min="13828" max="13828" width="12.6640625" style="604" hidden="1" customWidth="1"/>
    <col min="13829" max="13834" width="12.33203125" style="604" hidden="1" customWidth="1"/>
    <col min="13835" max="13845" width="8.6640625" style="604" hidden="1" customWidth="1"/>
    <col min="13846" max="14080" width="8.6640625" style="604" hidden="1"/>
    <col min="14081" max="14081" width="32.5546875" style="604" hidden="1" customWidth="1"/>
    <col min="14082" max="14083" width="12.33203125" style="604" hidden="1" customWidth="1"/>
    <col min="14084" max="14084" width="12.6640625" style="604" hidden="1" customWidth="1"/>
    <col min="14085" max="14090" width="12.33203125" style="604" hidden="1" customWidth="1"/>
    <col min="14091" max="14101" width="8.6640625" style="604" hidden="1" customWidth="1"/>
    <col min="14102" max="14336" width="8.6640625" style="604" hidden="1"/>
    <col min="14337" max="14337" width="32.5546875" style="604" hidden="1" customWidth="1"/>
    <col min="14338" max="14339" width="12.33203125" style="604" hidden="1" customWidth="1"/>
    <col min="14340" max="14340" width="12.6640625" style="604" hidden="1" customWidth="1"/>
    <col min="14341" max="14346" width="12.33203125" style="604" hidden="1" customWidth="1"/>
    <col min="14347" max="14357" width="8.6640625" style="604" hidden="1" customWidth="1"/>
    <col min="14358" max="14592" width="8.6640625" style="604" hidden="1"/>
    <col min="14593" max="14593" width="32.5546875" style="604" hidden="1" customWidth="1"/>
    <col min="14594" max="14595" width="12.33203125" style="604" hidden="1" customWidth="1"/>
    <col min="14596" max="14596" width="12.6640625" style="604" hidden="1" customWidth="1"/>
    <col min="14597" max="14602" width="12.33203125" style="604" hidden="1" customWidth="1"/>
    <col min="14603" max="14613" width="8.6640625" style="604" hidden="1" customWidth="1"/>
    <col min="14614" max="14848" width="8.6640625" style="604" hidden="1"/>
    <col min="14849" max="14849" width="32.5546875" style="604" hidden="1" customWidth="1"/>
    <col min="14850" max="14851" width="12.33203125" style="604" hidden="1" customWidth="1"/>
    <col min="14852" max="14852" width="12.6640625" style="604" hidden="1" customWidth="1"/>
    <col min="14853" max="14858" width="12.33203125" style="604" hidden="1" customWidth="1"/>
    <col min="14859" max="14869" width="8.6640625" style="604" hidden="1" customWidth="1"/>
    <col min="14870" max="15104" width="8.6640625" style="604" hidden="1"/>
    <col min="15105" max="15105" width="32.5546875" style="604" hidden="1" customWidth="1"/>
    <col min="15106" max="15107" width="12.33203125" style="604" hidden="1" customWidth="1"/>
    <col min="15108" max="15108" width="12.6640625" style="604" hidden="1" customWidth="1"/>
    <col min="15109" max="15114" width="12.33203125" style="604" hidden="1" customWidth="1"/>
    <col min="15115" max="15125" width="8.6640625" style="604" hidden="1" customWidth="1"/>
    <col min="15126" max="15360" width="8.6640625" style="604" hidden="1"/>
    <col min="15361" max="15361" width="32.5546875" style="604" hidden="1" customWidth="1"/>
    <col min="15362" max="15363" width="12.33203125" style="604" hidden="1" customWidth="1"/>
    <col min="15364" max="15364" width="12.6640625" style="604" hidden="1" customWidth="1"/>
    <col min="15365" max="15370" width="12.33203125" style="604" hidden="1" customWidth="1"/>
    <col min="15371" max="15381" width="8.6640625" style="604" hidden="1" customWidth="1"/>
    <col min="15382" max="15616" width="8.6640625" style="604" hidden="1"/>
    <col min="15617" max="15617" width="32.5546875" style="604" hidden="1" customWidth="1"/>
    <col min="15618" max="15619" width="12.33203125" style="604" hidden="1" customWidth="1"/>
    <col min="15620" max="15620" width="12.6640625" style="604" hidden="1" customWidth="1"/>
    <col min="15621" max="15626" width="12.33203125" style="604" hidden="1" customWidth="1"/>
    <col min="15627" max="15637" width="8.6640625" style="604" hidden="1" customWidth="1"/>
    <col min="15638" max="15872" width="8.6640625" style="604" hidden="1"/>
    <col min="15873" max="15873" width="32.5546875" style="604" hidden="1" customWidth="1"/>
    <col min="15874" max="15875" width="12.33203125" style="604" hidden="1" customWidth="1"/>
    <col min="15876" max="15876" width="12.6640625" style="604" hidden="1" customWidth="1"/>
    <col min="15877" max="15882" width="12.33203125" style="604" hidden="1" customWidth="1"/>
    <col min="15883" max="15893" width="8.6640625" style="604" hidden="1" customWidth="1"/>
    <col min="15894" max="16128" width="8.6640625" style="604" hidden="1"/>
    <col min="16129" max="16129" width="32.5546875" style="604" hidden="1" customWidth="1"/>
    <col min="16130" max="16131" width="12.33203125" style="604" hidden="1" customWidth="1"/>
    <col min="16132" max="16132" width="12.6640625" style="604" hidden="1" customWidth="1"/>
    <col min="16133" max="16138" width="12.33203125" style="604" hidden="1" customWidth="1"/>
    <col min="16139" max="16149" width="8.6640625" style="604" hidden="1" customWidth="1"/>
    <col min="16150" max="16384" width="8.6640625" style="604" hidden="1"/>
  </cols>
  <sheetData>
    <row r="1" spans="1:11" s="561" customFormat="1" ht="13.2">
      <c r="A1" s="2577" t="s">
        <v>1449</v>
      </c>
      <c r="B1" s="2578"/>
      <c r="C1" s="2578"/>
      <c r="D1" s="2578"/>
      <c r="E1" s="2578"/>
      <c r="F1" s="2578"/>
      <c r="G1" s="2578"/>
      <c r="H1" s="2578"/>
      <c r="I1" s="2578"/>
      <c r="J1" s="2579"/>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4428000</v>
      </c>
      <c r="C4" s="567"/>
      <c r="D4" s="567">
        <f>B4</f>
        <v>4428000</v>
      </c>
      <c r="E4" s="568"/>
      <c r="F4" s="568"/>
      <c r="G4" s="568"/>
      <c r="H4" s="568"/>
      <c r="I4" s="568"/>
      <c r="J4" s="568"/>
      <c r="K4" s="564"/>
    </row>
    <row r="5" spans="1:11" s="565" customFormat="1" ht="11.4">
      <c r="A5" s="569" t="s">
        <v>29</v>
      </c>
      <c r="B5" s="566">
        <f>'Sources and Uses Budget'!C5</f>
        <v>416248</v>
      </c>
      <c r="C5" s="567"/>
      <c r="D5" s="567">
        <f>B5</f>
        <v>416248</v>
      </c>
      <c r="E5" s="568"/>
      <c r="F5" s="568"/>
      <c r="G5" s="568"/>
      <c r="H5" s="568"/>
      <c r="I5" s="568"/>
      <c r="J5" s="568"/>
      <c r="K5" s="564"/>
    </row>
    <row r="6" spans="1:11" s="565" customFormat="1" ht="11.4">
      <c r="A6" s="569" t="s">
        <v>30</v>
      </c>
      <c r="B6" s="566">
        <f>'Sources and Uses Budget'!C6</f>
        <v>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629</v>
      </c>
      <c r="B8" s="566">
        <f>'Sources and Uses Budget'!C8</f>
        <v>4844248</v>
      </c>
      <c r="C8" s="566">
        <f>SUM(C4:C7)</f>
        <v>0</v>
      </c>
      <c r="D8" s="566">
        <f>SUM(D4:D7)</f>
        <v>4844248</v>
      </c>
      <c r="E8" s="568"/>
      <c r="F8" s="568"/>
      <c r="G8" s="568"/>
      <c r="H8" s="568"/>
      <c r="I8" s="568"/>
      <c r="J8" s="568"/>
      <c r="K8" s="564"/>
    </row>
    <row r="9" spans="1:11" s="565" customFormat="1" ht="11.4">
      <c r="A9" s="569" t="s">
        <v>630</v>
      </c>
      <c r="B9" s="566">
        <f>'Sources and Uses Budget'!C9</f>
        <v>0</v>
      </c>
      <c r="C9" s="567"/>
      <c r="D9" s="567"/>
      <c r="E9" s="568"/>
      <c r="F9" s="568"/>
      <c r="G9" s="568"/>
      <c r="H9" s="566">
        <f>'Sources and Uses Budget'!T9</f>
        <v>0</v>
      </c>
      <c r="I9" s="567"/>
      <c r="J9" s="567"/>
      <c r="K9" s="564"/>
    </row>
    <row r="10" spans="1:11" s="565" customFormat="1" ht="11.4">
      <c r="A10" s="569" t="s">
        <v>631</v>
      </c>
      <c r="B10" s="566">
        <f>'Sources and Uses Budget'!C10</f>
        <v>335233</v>
      </c>
      <c r="C10" s="567"/>
      <c r="D10" s="567">
        <f>B10</f>
        <v>335233</v>
      </c>
      <c r="E10" s="566">
        <f>'Sources and Uses Budget'!S10</f>
        <v>335233</v>
      </c>
      <c r="F10" s="567"/>
      <c r="G10" s="567">
        <f>E10</f>
        <v>335233</v>
      </c>
      <c r="H10" s="566">
        <f>'Sources and Uses Budget'!T10</f>
        <v>0</v>
      </c>
      <c r="I10" s="567"/>
      <c r="J10" s="567"/>
      <c r="K10" s="564"/>
    </row>
    <row r="11" spans="1:11" s="565" customFormat="1">
      <c r="A11" s="570" t="s">
        <v>632</v>
      </c>
      <c r="B11" s="566">
        <f>'Sources and Uses Budget'!C11</f>
        <v>335233</v>
      </c>
      <c r="C11" s="566">
        <f>SUM(C9:C10)</f>
        <v>0</v>
      </c>
      <c r="D11" s="566">
        <f>SUM(D9:D10)</f>
        <v>335233</v>
      </c>
      <c r="E11" s="568"/>
      <c r="F11" s="568"/>
      <c r="G11" s="568"/>
      <c r="H11" s="566">
        <f>'Sources and Uses Budget'!T11</f>
        <v>0</v>
      </c>
      <c r="I11" s="566">
        <f>SUM(I9:I10)</f>
        <v>0</v>
      </c>
      <c r="J11" s="566">
        <f>SUM(J9:J10)</f>
        <v>0</v>
      </c>
      <c r="K11" s="564"/>
    </row>
    <row r="12" spans="1:11" s="565" customFormat="1">
      <c r="A12" s="570" t="s">
        <v>89</v>
      </c>
      <c r="B12" s="566">
        <f>'Sources and Uses Budget'!C12</f>
        <v>5179481</v>
      </c>
      <c r="C12" s="566">
        <f>SUM(C8+C11)</f>
        <v>0</v>
      </c>
      <c r="D12" s="566">
        <f>SUM(D8+D11)</f>
        <v>5179481</v>
      </c>
      <c r="E12" s="568"/>
      <c r="F12" s="568"/>
      <c r="G12" s="568"/>
      <c r="H12" s="568"/>
      <c r="I12" s="568"/>
      <c r="J12" s="568"/>
      <c r="K12" s="564"/>
    </row>
    <row r="13" spans="1:11" s="565" customFormat="1" ht="11.4">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633</v>
      </c>
      <c r="B16" s="563"/>
      <c r="C16" s="563"/>
      <c r="D16" s="563"/>
      <c r="E16" s="563"/>
      <c r="F16" s="563"/>
      <c r="G16" s="563"/>
      <c r="H16" s="563"/>
      <c r="I16" s="563"/>
      <c r="J16" s="563"/>
      <c r="K16" s="564"/>
    </row>
    <row r="17" spans="1:11" s="565" customFormat="1" ht="11.4">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634</v>
      </c>
      <c r="B29" s="566">
        <f>'Sources and Uses Budget'!C29</f>
        <v>4296268</v>
      </c>
      <c r="C29" s="567"/>
      <c r="D29" s="567">
        <f>B29</f>
        <v>4296268</v>
      </c>
      <c r="E29" s="566">
        <f>'Sources and Uses Budget'!S29</f>
        <v>4296268</v>
      </c>
      <c r="F29" s="567"/>
      <c r="G29" s="567">
        <f>E29</f>
        <v>4296268</v>
      </c>
      <c r="H29" s="566">
        <f>'Sources and Uses Budget'!T29</f>
        <v>0</v>
      </c>
      <c r="I29" s="567"/>
      <c r="J29" s="567"/>
      <c r="K29" s="564"/>
    </row>
    <row r="30" spans="1:11" s="565" customFormat="1" ht="11.4">
      <c r="A30" s="215" t="s">
        <v>635</v>
      </c>
      <c r="B30" s="566">
        <f>'Sources and Uses Budget'!C30</f>
        <v>26987450</v>
      </c>
      <c r="C30" s="567"/>
      <c r="D30" s="567">
        <f>B30</f>
        <v>26987450</v>
      </c>
      <c r="E30" s="566">
        <f>'Sources and Uses Budget'!S30</f>
        <v>26987450</v>
      </c>
      <c r="F30" s="567"/>
      <c r="G30" s="567">
        <f>E30</f>
        <v>26987450</v>
      </c>
      <c r="H30" s="566">
        <f>'Sources and Uses Budget'!T30</f>
        <v>0</v>
      </c>
      <c r="I30" s="567"/>
      <c r="J30" s="567"/>
      <c r="K30" s="564"/>
    </row>
    <row r="31" spans="1:11" s="565" customFormat="1" ht="11.4">
      <c r="A31" s="215" t="s">
        <v>636</v>
      </c>
      <c r="B31" s="566">
        <f>'Sources and Uses Budget'!C31</f>
        <v>1700000</v>
      </c>
      <c r="C31" s="567"/>
      <c r="D31" s="567">
        <f>B31</f>
        <v>1700000</v>
      </c>
      <c r="E31" s="566">
        <f>'Sources and Uses Budget'!S31</f>
        <v>1677911</v>
      </c>
      <c r="F31" s="567"/>
      <c r="G31" s="567">
        <f t="shared" ref="G31:G35" si="0">E31</f>
        <v>1677911</v>
      </c>
      <c r="H31" s="566">
        <f>'Sources and Uses Budget'!T31</f>
        <v>0</v>
      </c>
      <c r="I31" s="567"/>
      <c r="J31" s="567"/>
      <c r="K31" s="564"/>
    </row>
    <row r="32" spans="1:11" s="565" customFormat="1" ht="11.4">
      <c r="A32" s="215" t="s">
        <v>142</v>
      </c>
      <c r="B32" s="566">
        <f>'Sources and Uses Budget'!C32</f>
        <v>1392464</v>
      </c>
      <c r="C32" s="567"/>
      <c r="D32" s="567">
        <f>B32</f>
        <v>1392464</v>
      </c>
      <c r="E32" s="566">
        <f>'Sources and Uses Budget'!S32</f>
        <v>1356278</v>
      </c>
      <c r="F32" s="567"/>
      <c r="G32" s="567">
        <f t="shared" si="0"/>
        <v>1356278</v>
      </c>
      <c r="H32" s="566">
        <f>'Sources and Uses Budget'!T32</f>
        <v>0</v>
      </c>
      <c r="I32" s="567"/>
      <c r="J32" s="567"/>
      <c r="K32" s="564"/>
    </row>
    <row r="33" spans="1:11" s="565" customFormat="1" ht="11.4">
      <c r="A33" s="215" t="s">
        <v>143</v>
      </c>
      <c r="B33" s="566">
        <f>'Sources and Uses Budget'!C33</f>
        <v>1392463</v>
      </c>
      <c r="C33" s="567"/>
      <c r="D33" s="567">
        <f>B33</f>
        <v>1392463</v>
      </c>
      <c r="E33" s="566">
        <f>'Sources and Uses Budget'!S33</f>
        <v>1392463</v>
      </c>
      <c r="F33" s="567"/>
      <c r="G33" s="567">
        <f t="shared" si="0"/>
        <v>1392463</v>
      </c>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f t="shared" si="0"/>
        <v>0</v>
      </c>
      <c r="H34" s="566">
        <f>'Sources and Uses Budget'!T34</f>
        <v>0</v>
      </c>
      <c r="I34" s="567"/>
      <c r="J34" s="567"/>
      <c r="K34" s="564"/>
    </row>
    <row r="35" spans="1:11" s="565" customFormat="1" ht="11.4">
      <c r="A35" s="215" t="s">
        <v>145</v>
      </c>
      <c r="B35" s="566">
        <f>'Sources and Uses Budget'!C35</f>
        <v>817378</v>
      </c>
      <c r="C35" s="567"/>
      <c r="D35" s="567">
        <f>B35</f>
        <v>817378</v>
      </c>
      <c r="E35" s="566">
        <f>'Sources and Uses Budget'!S35</f>
        <v>817378</v>
      </c>
      <c r="F35" s="567"/>
      <c r="G35" s="567">
        <f t="shared" si="0"/>
        <v>817378</v>
      </c>
      <c r="H35" s="566">
        <f>'Sources and Uses Budget'!T35</f>
        <v>0</v>
      </c>
      <c r="I35" s="567"/>
      <c r="J35" s="567"/>
      <c r="K35" s="564"/>
    </row>
    <row r="36" spans="1:11" s="565" customFormat="1" ht="11.4">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36586023</v>
      </c>
      <c r="C38" s="566">
        <f>SUM(C29:C37)</f>
        <v>0</v>
      </c>
      <c r="D38" s="566">
        <f>SUM(D29:D37)</f>
        <v>36586023</v>
      </c>
      <c r="E38" s="566">
        <f>'Sources and Uses Budget'!S38</f>
        <v>36527748</v>
      </c>
      <c r="F38" s="573">
        <f>SUM(F29:F37)</f>
        <v>0</v>
      </c>
      <c r="G38" s="573">
        <f>SUM(G29:G37)</f>
        <v>36527748</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1848359</v>
      </c>
      <c r="C40" s="567"/>
      <c r="D40" s="567">
        <f>B40</f>
        <v>1848359</v>
      </c>
      <c r="E40" s="566">
        <f>'Sources and Uses Budget'!S40</f>
        <v>1848359</v>
      </c>
      <c r="F40" s="567"/>
      <c r="G40" s="567">
        <f>E40</f>
        <v>1848359</v>
      </c>
      <c r="H40" s="566">
        <f>'Sources and Uses Budget'!T40</f>
        <v>0</v>
      </c>
      <c r="I40" s="567"/>
      <c r="J40" s="567"/>
      <c r="K40" s="564"/>
    </row>
    <row r="41" spans="1:11" s="565" customFormat="1" ht="11.4">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1848359</v>
      </c>
      <c r="C42" s="566">
        <f>SUM(C39:C41)</f>
        <v>0</v>
      </c>
      <c r="D42" s="566">
        <f>SUM(D39:D41)</f>
        <v>1848359</v>
      </c>
      <c r="E42" s="566">
        <f>'Sources and Uses Budget'!S42</f>
        <v>1848359</v>
      </c>
      <c r="F42" s="573">
        <f>SUM(F40:F41)</f>
        <v>0</v>
      </c>
      <c r="G42" s="573">
        <f>SUM(G40:G41)</f>
        <v>1848359</v>
      </c>
      <c r="H42" s="566">
        <f>'Sources and Uses Budget'!T42</f>
        <v>0</v>
      </c>
      <c r="I42" s="573">
        <f>SUM(I40:I41)</f>
        <v>0</v>
      </c>
      <c r="J42" s="573">
        <f>SUM(J40:J41)</f>
        <v>0</v>
      </c>
      <c r="K42" s="564"/>
    </row>
    <row r="43" spans="1:11" s="565" customFormat="1">
      <c r="A43" s="570" t="s">
        <v>153</v>
      </c>
      <c r="B43" s="566">
        <f>'Sources and Uses Budget'!C43</f>
        <v>443162</v>
      </c>
      <c r="C43" s="567"/>
      <c r="D43" s="567">
        <f>B43</f>
        <v>443162</v>
      </c>
      <c r="E43" s="566">
        <f>'Sources and Uses Budget'!S43</f>
        <v>443162</v>
      </c>
      <c r="F43" s="567"/>
      <c r="G43" s="567">
        <f>E43</f>
        <v>443162</v>
      </c>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1870425</v>
      </c>
      <c r="C45" s="567"/>
      <c r="D45" s="567">
        <f>B45</f>
        <v>1870425</v>
      </c>
      <c r="E45" s="566">
        <f>'Sources and Uses Budget'!S45</f>
        <v>1870425</v>
      </c>
      <c r="F45" s="567"/>
      <c r="G45" s="567">
        <f>E45</f>
        <v>1870425</v>
      </c>
      <c r="H45" s="566">
        <f>'Sources and Uses Budget'!T45</f>
        <v>0</v>
      </c>
      <c r="I45" s="567"/>
      <c r="J45" s="567"/>
      <c r="K45" s="564"/>
    </row>
    <row r="46" spans="1:11" s="565" customFormat="1" ht="11.4">
      <c r="A46" s="569" t="s">
        <v>156</v>
      </c>
      <c r="B46" s="566">
        <f>'Sources and Uses Budget'!C46</f>
        <v>437300</v>
      </c>
      <c r="C46" s="567"/>
      <c r="D46" s="567">
        <f t="shared" ref="D46:D53" si="1">B46</f>
        <v>437300</v>
      </c>
      <c r="E46" s="566">
        <f>'Sources and Uses Budget'!S46</f>
        <v>84901</v>
      </c>
      <c r="F46" s="567"/>
      <c r="G46" s="567">
        <f t="shared" ref="G46:G53" si="2">E46</f>
        <v>84901</v>
      </c>
      <c r="H46" s="566">
        <f>'Sources and Uses Budget'!T46</f>
        <v>0</v>
      </c>
      <c r="I46" s="567"/>
      <c r="J46" s="567"/>
      <c r="K46" s="564"/>
    </row>
    <row r="47" spans="1:11" s="565" customFormat="1" ht="12" customHeight="1">
      <c r="A47" s="569" t="s">
        <v>157</v>
      </c>
      <c r="B47" s="566">
        <f>'Sources and Uses Budget'!C47</f>
        <v>0</v>
      </c>
      <c r="C47" s="567"/>
      <c r="D47" s="567">
        <f t="shared" si="1"/>
        <v>0</v>
      </c>
      <c r="E47" s="566">
        <f>'Sources and Uses Budget'!S47</f>
        <v>0</v>
      </c>
      <c r="F47" s="567"/>
      <c r="G47" s="567">
        <f t="shared" si="2"/>
        <v>0</v>
      </c>
      <c r="H47" s="566">
        <f>'Sources and Uses Budget'!T47</f>
        <v>0</v>
      </c>
      <c r="I47" s="567"/>
      <c r="J47" s="567"/>
      <c r="K47" s="564"/>
    </row>
    <row r="48" spans="1:11" s="565" customFormat="1" ht="11.4">
      <c r="A48" s="569" t="s">
        <v>158</v>
      </c>
      <c r="B48" s="566">
        <f>'Sources and Uses Budget'!C48</f>
        <v>0</v>
      </c>
      <c r="C48" s="567"/>
      <c r="D48" s="567">
        <f t="shared" si="1"/>
        <v>0</v>
      </c>
      <c r="E48" s="566">
        <f>'Sources and Uses Budget'!S48</f>
        <v>0</v>
      </c>
      <c r="F48" s="567"/>
      <c r="G48" s="567">
        <f t="shared" si="2"/>
        <v>0</v>
      </c>
      <c r="H48" s="566">
        <f>'Sources and Uses Budget'!T48</f>
        <v>0</v>
      </c>
      <c r="I48" s="567"/>
      <c r="J48" s="567"/>
      <c r="K48" s="564"/>
    </row>
    <row r="49" spans="1:11" s="565" customFormat="1" ht="11.4">
      <c r="A49" s="441" t="s">
        <v>60</v>
      </c>
      <c r="B49" s="566">
        <f>'Sources and Uses Budget'!C49</f>
        <v>0</v>
      </c>
      <c r="C49" s="567"/>
      <c r="D49" s="567">
        <f t="shared" si="1"/>
        <v>0</v>
      </c>
      <c r="E49" s="566">
        <f>'Sources and Uses Budget'!S49</f>
        <v>0</v>
      </c>
      <c r="F49" s="567"/>
      <c r="G49" s="567">
        <f t="shared" si="2"/>
        <v>0</v>
      </c>
      <c r="H49" s="566">
        <f>'Sources and Uses Budget'!T49</f>
        <v>0</v>
      </c>
      <c r="I49" s="567"/>
      <c r="J49" s="567"/>
      <c r="K49" s="564"/>
    </row>
    <row r="50" spans="1:11" s="565" customFormat="1" ht="11.4">
      <c r="A50" s="569" t="s">
        <v>161</v>
      </c>
      <c r="B50" s="566">
        <f>'Sources and Uses Budget'!C50</f>
        <v>37500</v>
      </c>
      <c r="C50" s="567"/>
      <c r="D50" s="567">
        <f t="shared" si="1"/>
        <v>37500</v>
      </c>
      <c r="E50" s="566">
        <f>'Sources and Uses Budget'!S50</f>
        <v>37500</v>
      </c>
      <c r="F50" s="567"/>
      <c r="G50" s="567">
        <f t="shared" si="2"/>
        <v>37500</v>
      </c>
      <c r="H50" s="566">
        <f>'Sources and Uses Budget'!T50</f>
        <v>0</v>
      </c>
      <c r="I50" s="567"/>
      <c r="J50" s="567"/>
      <c r="K50" s="564"/>
    </row>
    <row r="51" spans="1:11" s="565" customFormat="1" ht="11.4">
      <c r="A51" s="569" t="s">
        <v>159</v>
      </c>
      <c r="B51" s="566">
        <f>'Sources and Uses Budget'!C51</f>
        <v>16400</v>
      </c>
      <c r="C51" s="567"/>
      <c r="D51" s="567">
        <f t="shared" si="1"/>
        <v>16400</v>
      </c>
      <c r="E51" s="566">
        <f>'Sources and Uses Budget'!S51</f>
        <v>16400</v>
      </c>
      <c r="F51" s="567"/>
      <c r="G51" s="567">
        <f t="shared" si="2"/>
        <v>16400</v>
      </c>
      <c r="H51" s="566">
        <f>'Sources and Uses Budget'!T51</f>
        <v>0</v>
      </c>
      <c r="I51" s="567"/>
      <c r="J51" s="567"/>
      <c r="K51" s="564"/>
    </row>
    <row r="52" spans="1:11" s="565" customFormat="1" ht="11.4">
      <c r="A52" s="569" t="s">
        <v>160</v>
      </c>
      <c r="B52" s="566">
        <f>'Sources and Uses Budget'!C52</f>
        <v>0</v>
      </c>
      <c r="C52" s="567"/>
      <c r="D52" s="567">
        <f t="shared" si="1"/>
        <v>0</v>
      </c>
      <c r="E52" s="566">
        <f>'Sources and Uses Budget'!S52</f>
        <v>0</v>
      </c>
      <c r="F52" s="567"/>
      <c r="G52" s="567">
        <f t="shared" si="2"/>
        <v>0</v>
      </c>
      <c r="H52" s="566">
        <f>'Sources and Uses Budget'!T52</f>
        <v>0</v>
      </c>
      <c r="I52" s="567"/>
      <c r="J52" s="567"/>
      <c r="K52" s="564"/>
    </row>
    <row r="53" spans="1:11" s="565" customFormat="1" ht="11.4">
      <c r="A53" s="572" t="str">
        <f>'Sources and Uses Budget'!$A53</f>
        <v>Construction Inspections</v>
      </c>
      <c r="B53" s="566">
        <f>'Sources and Uses Budget'!C53</f>
        <v>36000</v>
      </c>
      <c r="C53" s="567"/>
      <c r="D53" s="567">
        <f t="shared" si="1"/>
        <v>36000</v>
      </c>
      <c r="E53" s="566">
        <f>'Sources and Uses Budget'!S53</f>
        <v>36000</v>
      </c>
      <c r="F53" s="567"/>
      <c r="G53" s="567">
        <f t="shared" si="2"/>
        <v>36000</v>
      </c>
      <c r="H53" s="566">
        <f>'Sources and Uses Budget'!T53</f>
        <v>0</v>
      </c>
      <c r="I53" s="567"/>
      <c r="J53" s="567"/>
      <c r="K53" s="564"/>
    </row>
    <row r="54" spans="1:11" s="576" customFormat="1">
      <c r="A54" s="570" t="s">
        <v>162</v>
      </c>
      <c r="B54" s="566">
        <f>'Sources and Uses Budget'!C54</f>
        <v>2397625</v>
      </c>
      <c r="C54" s="573">
        <f>SUM(C45:C53)</f>
        <v>0</v>
      </c>
      <c r="D54" s="573">
        <f>SUM(D45:D53)</f>
        <v>2397625</v>
      </c>
      <c r="E54" s="566">
        <f>'Sources and Uses Budget'!S54</f>
        <v>2045226</v>
      </c>
      <c r="F54" s="573">
        <f>SUM(F45:F53)</f>
        <v>0</v>
      </c>
      <c r="G54" s="573">
        <f>SUM(G45:G53)</f>
        <v>2045226</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167267</v>
      </c>
      <c r="C56" s="567"/>
      <c r="D56" s="567">
        <f>B56</f>
        <v>167267</v>
      </c>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Interest prior to Conversion</v>
      </c>
      <c r="B61" s="566">
        <f>'Sources and Uses Budget'!C61</f>
        <v>1915203</v>
      </c>
      <c r="C61" s="567"/>
      <c r="D61" s="567">
        <f>B61</f>
        <v>1915203</v>
      </c>
      <c r="E61" s="568"/>
      <c r="F61" s="568"/>
      <c r="G61" s="568"/>
      <c r="H61" s="568"/>
      <c r="I61" s="568"/>
      <c r="J61" s="568"/>
      <c r="K61" s="564"/>
    </row>
    <row r="62" spans="1:11" s="565" customFormat="1" ht="13.95" customHeight="1">
      <c r="A62" s="570" t="s">
        <v>311</v>
      </c>
      <c r="B62" s="566">
        <f>'Sources and Uses Budget'!C62</f>
        <v>2082470</v>
      </c>
      <c r="C62" s="566">
        <f>SUM(C56:C61)</f>
        <v>0</v>
      </c>
      <c r="D62" s="566">
        <f>SUM(D56:D61)</f>
        <v>2082470</v>
      </c>
      <c r="E62" s="568"/>
      <c r="F62" s="568"/>
      <c r="G62" s="568"/>
      <c r="H62" s="568"/>
      <c r="I62" s="568"/>
      <c r="J62" s="568"/>
      <c r="K62" s="564"/>
    </row>
    <row r="63" spans="1:11" s="565" customFormat="1" ht="11.4">
      <c r="A63" s="577" t="s">
        <v>312</v>
      </c>
      <c r="B63" s="566">
        <f>'Sources and Uses Budget'!C63</f>
        <v>48537120</v>
      </c>
      <c r="C63" s="566">
        <f>SUM(C8+C11+C13+C14+C15+C26+C27+C38+C42+C43+C54+C62)</f>
        <v>0</v>
      </c>
      <c r="D63" s="566">
        <f>SUM(D8+D11+D13+D14+D15+D26+D27+D38+D42+D43+D54+D62)</f>
        <v>48537120</v>
      </c>
      <c r="E63" s="566">
        <f>'Sources and Uses Budget'!S63</f>
        <v>41199728</v>
      </c>
      <c r="F63" s="566">
        <f>SUM(F10+F13+F14+F15+F26+F27+F38+F42+F43+F54)</f>
        <v>0</v>
      </c>
      <c r="G63" s="566">
        <f>SUM(G10+G13+G14+G15+G26+G27+G38+G42+G43+G54)</f>
        <v>41199728</v>
      </c>
      <c r="H63" s="566">
        <f>'Sources and Uses Budget'!T63</f>
        <v>0</v>
      </c>
      <c r="I63" s="566">
        <f>SUM(I11+I13+I14+I15+I26+I27+I38+I42+I43+I54)</f>
        <v>0</v>
      </c>
      <c r="J63" s="566">
        <f>SUM(J11+J13+J14+J15+J26+J27+J38+J42+J43+J54)</f>
        <v>0</v>
      </c>
      <c r="K63" s="564"/>
    </row>
    <row r="64" spans="1:11" s="565" customFormat="1" ht="22.8">
      <c r="A64" s="211" t="s">
        <v>2012</v>
      </c>
      <c r="B64" s="563"/>
      <c r="C64" s="563"/>
      <c r="D64" s="563"/>
      <c r="E64" s="563"/>
      <c r="F64" s="563"/>
      <c r="G64" s="563"/>
      <c r="H64" s="563"/>
      <c r="I64" s="563"/>
      <c r="J64" s="563"/>
      <c r="K64" s="564"/>
    </row>
    <row r="65" spans="1:11" s="565" customFormat="1" ht="11.4">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2.8">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Developer Legal</v>
      </c>
      <c r="B69" s="566">
        <f>'Sources and Uses Budget'!C69</f>
        <v>75000</v>
      </c>
      <c r="C69" s="567"/>
      <c r="D69" s="567">
        <f>B69</f>
        <v>75000</v>
      </c>
      <c r="E69" s="566">
        <f>'Sources and Uses Budget'!S69</f>
        <v>0</v>
      </c>
      <c r="F69" s="567"/>
      <c r="G69" s="567"/>
      <c r="H69" s="566">
        <f>'Sources and Uses Budget'!T69</f>
        <v>0</v>
      </c>
      <c r="I69" s="567"/>
      <c r="J69" s="567"/>
      <c r="K69" s="564"/>
    </row>
    <row r="70" spans="1:11" s="565" customFormat="1">
      <c r="A70" s="570" t="s">
        <v>637</v>
      </c>
      <c r="B70" s="566">
        <f>'Sources and Uses Budget'!C70</f>
        <v>75000</v>
      </c>
      <c r="C70" s="566">
        <f>SUM(C64:C69)</f>
        <v>0</v>
      </c>
      <c r="D70" s="566">
        <f>SUM(D64:D69)</f>
        <v>75000</v>
      </c>
      <c r="E70" s="566">
        <f>'Sources and Uses Budget'!S70</f>
        <v>0</v>
      </c>
      <c r="F70" s="573">
        <f>SUM(F65:F69)</f>
        <v>0</v>
      </c>
      <c r="G70" s="573">
        <f>SUM(G65:G69)</f>
        <v>0</v>
      </c>
      <c r="H70" s="566">
        <f>'Sources and Uses Budget'!T70</f>
        <v>0</v>
      </c>
      <c r="I70" s="573">
        <f>SUM(I65:I69)</f>
        <v>0</v>
      </c>
      <c r="J70" s="573">
        <f>SUM(J65:J69)</f>
        <v>0</v>
      </c>
      <c r="K70" s="564"/>
    </row>
    <row r="71" spans="1:11" s="565" customFormat="1" ht="11.4">
      <c r="A71" s="562" t="s">
        <v>638</v>
      </c>
      <c r="B71" s="563"/>
      <c r="C71" s="563"/>
      <c r="D71" s="563"/>
      <c r="E71" s="563"/>
      <c r="F71" s="563"/>
      <c r="G71" s="563"/>
      <c r="H71" s="563"/>
      <c r="I71" s="563"/>
      <c r="J71" s="563"/>
      <c r="K71" s="564"/>
    </row>
    <row r="72" spans="1:11" s="565" customFormat="1" ht="11.4">
      <c r="A72" s="569" t="s">
        <v>639</v>
      </c>
      <c r="B72" s="566">
        <f>'Sources and Uses Budget'!C72</f>
        <v>0</v>
      </c>
      <c r="C72" s="567"/>
      <c r="D72" s="567"/>
      <c r="E72" s="568"/>
      <c r="F72" s="568"/>
      <c r="G72" s="568"/>
      <c r="H72" s="568"/>
      <c r="I72" s="568"/>
      <c r="J72" s="568"/>
      <c r="K72" s="564"/>
    </row>
    <row r="73" spans="1:11" s="565" customFormat="1" ht="11.4">
      <c r="A73" s="569" t="s">
        <v>640</v>
      </c>
      <c r="B73" s="566">
        <f>'Sources and Uses Budget'!C73</f>
        <v>0</v>
      </c>
      <c r="C73" s="567"/>
      <c r="D73" s="567"/>
      <c r="E73" s="568"/>
      <c r="F73" s="568"/>
      <c r="G73" s="568"/>
      <c r="H73" s="568"/>
      <c r="I73" s="568"/>
      <c r="J73" s="568"/>
      <c r="K73" s="564"/>
    </row>
    <row r="74" spans="1:11" s="565" customFormat="1" ht="11.4">
      <c r="A74" s="740" t="s">
        <v>1089</v>
      </c>
      <c r="B74" s="566">
        <f>'Sources and Uses Budget'!C74</f>
        <v>0</v>
      </c>
      <c r="C74" s="567"/>
      <c r="D74" s="567"/>
      <c r="E74" s="568"/>
      <c r="F74" s="568"/>
      <c r="G74" s="568"/>
      <c r="H74" s="568"/>
      <c r="I74" s="568"/>
      <c r="J74" s="568"/>
      <c r="K74" s="564"/>
    </row>
    <row r="75" spans="1:11" s="565" customFormat="1" ht="11.4">
      <c r="A75" s="569" t="s">
        <v>641</v>
      </c>
      <c r="B75" s="566">
        <f>'Sources and Uses Budget'!C75</f>
        <v>599189</v>
      </c>
      <c r="C75" s="567"/>
      <c r="D75" s="567">
        <f>B75</f>
        <v>599189</v>
      </c>
      <c r="E75" s="568"/>
      <c r="F75" s="568"/>
      <c r="G75" s="568"/>
      <c r="H75" s="568"/>
      <c r="I75" s="568"/>
      <c r="J75" s="568"/>
      <c r="K75" s="564"/>
    </row>
    <row r="76" spans="1:11" s="565" customFormat="1" ht="11.4">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599189</v>
      </c>
      <c r="C77" s="566">
        <f>SUM(C72:C76)</f>
        <v>0</v>
      </c>
      <c r="D77" s="566">
        <f>SUM(D72:D76)</f>
        <v>599189</v>
      </c>
      <c r="E77" s="568"/>
      <c r="F77" s="568"/>
      <c r="G77" s="568"/>
      <c r="H77" s="568"/>
      <c r="I77" s="568"/>
      <c r="J77" s="568"/>
      <c r="K77" s="564"/>
    </row>
    <row r="78" spans="1:11" s="565" customFormat="1" ht="11.4">
      <c r="A78" s="562" t="s">
        <v>1427</v>
      </c>
      <c r="B78" s="563"/>
      <c r="C78" s="563"/>
      <c r="D78" s="563"/>
      <c r="E78" s="563"/>
      <c r="F78" s="563"/>
      <c r="G78" s="563"/>
      <c r="H78" s="563"/>
      <c r="I78" s="563"/>
      <c r="J78" s="563"/>
      <c r="K78" s="564"/>
    </row>
    <row r="79" spans="1:11" s="565" customFormat="1" ht="11.4">
      <c r="A79" s="569" t="s">
        <v>1429</v>
      </c>
      <c r="B79" s="566">
        <f>'Sources and Uses Budget'!C79</f>
        <v>2402640</v>
      </c>
      <c r="C79" s="567"/>
      <c r="D79" s="567">
        <f>B79</f>
        <v>2402640</v>
      </c>
      <c r="E79" s="566">
        <f>'Sources and Uses Budget'!S79</f>
        <v>2402640</v>
      </c>
      <c r="F79" s="567"/>
      <c r="G79" s="567">
        <f>E79</f>
        <v>2402640</v>
      </c>
      <c r="H79" s="566">
        <f>'Sources and Uses Budget'!T79</f>
        <v>0</v>
      </c>
      <c r="I79" s="567"/>
      <c r="J79" s="567"/>
      <c r="K79" s="564"/>
    </row>
    <row r="80" spans="1:11" s="565" customFormat="1" ht="11.4">
      <c r="A80" s="569" t="s">
        <v>61</v>
      </c>
      <c r="B80" s="566">
        <f>'Sources and Uses Budget'!C80</f>
        <v>248031</v>
      </c>
      <c r="C80" s="567"/>
      <c r="D80" s="567">
        <f>B80</f>
        <v>248031</v>
      </c>
      <c r="E80" s="566">
        <f>'Sources and Uses Budget'!S80</f>
        <v>248031</v>
      </c>
      <c r="F80" s="567"/>
      <c r="G80" s="567">
        <f>E80</f>
        <v>248031</v>
      </c>
      <c r="H80" s="566">
        <f>'Sources and Uses Budget'!T80</f>
        <v>0</v>
      </c>
      <c r="I80" s="567"/>
      <c r="J80" s="567"/>
      <c r="K80" s="564"/>
    </row>
    <row r="81" spans="1:11" s="565" customFormat="1">
      <c r="A81" s="570" t="s">
        <v>1426</v>
      </c>
      <c r="B81" s="566">
        <f>'Sources and Uses Budget'!C81</f>
        <v>2650671</v>
      </c>
      <c r="C81" s="566">
        <f>SUM(C79:C80)</f>
        <v>0</v>
      </c>
      <c r="D81" s="566">
        <f>SUM(D79:D80)</f>
        <v>2650671</v>
      </c>
      <c r="E81" s="566">
        <f>'Sources and Uses Budget'!S81</f>
        <v>2650671</v>
      </c>
      <c r="F81" s="566">
        <f>SUM(F79:F80)</f>
        <v>0</v>
      </c>
      <c r="G81" s="566">
        <f>SUM(G79:G80)</f>
        <v>2650671</v>
      </c>
      <c r="H81" s="566">
        <f>'Sources and Uses Budget'!T81</f>
        <v>0</v>
      </c>
      <c r="I81" s="566">
        <f>SUM(I79:I80)</f>
        <v>0</v>
      </c>
      <c r="J81" s="566">
        <f>SUM(J79:J80)</f>
        <v>0</v>
      </c>
      <c r="K81" s="564"/>
    </row>
    <row r="82" spans="1:11" s="565" customFormat="1" ht="11.4">
      <c r="A82" s="562" t="s">
        <v>826</v>
      </c>
      <c r="B82" s="563"/>
      <c r="C82" s="563"/>
      <c r="D82" s="563"/>
      <c r="E82" s="563"/>
      <c r="F82" s="563"/>
      <c r="G82" s="563"/>
      <c r="H82" s="563"/>
      <c r="I82" s="563"/>
      <c r="J82" s="563"/>
      <c r="K82" s="564"/>
    </row>
    <row r="83" spans="1:11" s="565" customFormat="1" ht="13.95" customHeight="1">
      <c r="A83" s="215" t="s">
        <v>827</v>
      </c>
      <c r="B83" s="566">
        <f>'Sources and Uses Budget'!C83</f>
        <v>91061</v>
      </c>
      <c r="C83" s="567"/>
      <c r="D83" s="567">
        <f>B83</f>
        <v>91061</v>
      </c>
      <c r="E83" s="568"/>
      <c r="F83" s="568"/>
      <c r="G83" s="568"/>
      <c r="H83" s="568"/>
      <c r="I83" s="568"/>
      <c r="J83" s="568"/>
      <c r="K83" s="564"/>
    </row>
    <row r="84" spans="1:11" s="565" customFormat="1" ht="11.4">
      <c r="A84" s="215" t="s">
        <v>828</v>
      </c>
      <c r="B84" s="566">
        <f>'Sources and Uses Budget'!C84</f>
        <v>0</v>
      </c>
      <c r="C84" s="567"/>
      <c r="D84" s="567">
        <f t="shared" ref="D84:D92" si="3">B84</f>
        <v>0</v>
      </c>
      <c r="E84" s="566">
        <f>'Sources and Uses Budget'!S84</f>
        <v>0</v>
      </c>
      <c r="F84" s="567"/>
      <c r="G84" s="567"/>
      <c r="H84" s="566">
        <f>'Sources and Uses Budget'!T84</f>
        <v>0</v>
      </c>
      <c r="I84" s="567"/>
      <c r="J84" s="567"/>
      <c r="K84" s="564"/>
    </row>
    <row r="85" spans="1:11" s="565" customFormat="1" ht="11.4">
      <c r="A85" s="215" t="s">
        <v>829</v>
      </c>
      <c r="B85" s="566">
        <f>'Sources and Uses Budget'!C85</f>
        <v>4366923</v>
      </c>
      <c r="C85" s="567"/>
      <c r="D85" s="567">
        <f t="shared" si="3"/>
        <v>4366923</v>
      </c>
      <c r="E85" s="566">
        <f>'Sources and Uses Budget'!S85</f>
        <v>4366923</v>
      </c>
      <c r="F85" s="567"/>
      <c r="G85" s="567">
        <f>E85</f>
        <v>4366923</v>
      </c>
      <c r="H85" s="566">
        <f>'Sources and Uses Budget'!T85</f>
        <v>0</v>
      </c>
      <c r="I85" s="567"/>
      <c r="J85" s="567"/>
      <c r="K85" s="564"/>
    </row>
    <row r="86" spans="1:11" s="565" customFormat="1" ht="11.4">
      <c r="A86" s="215" t="s">
        <v>830</v>
      </c>
      <c r="B86" s="566">
        <f>'Sources and Uses Budget'!C86</f>
        <v>1052845</v>
      </c>
      <c r="C86" s="567"/>
      <c r="D86" s="567">
        <f t="shared" si="3"/>
        <v>1052845</v>
      </c>
      <c r="E86" s="566">
        <f>'Sources and Uses Budget'!S86</f>
        <v>1052845</v>
      </c>
      <c r="F86" s="567"/>
      <c r="G86" s="567">
        <f>E86</f>
        <v>1052845</v>
      </c>
      <c r="H86" s="566">
        <f>'Sources and Uses Budget'!T86</f>
        <v>0</v>
      </c>
      <c r="I86" s="567"/>
      <c r="J86" s="567"/>
      <c r="K86" s="564"/>
    </row>
    <row r="87" spans="1:11" s="565" customFormat="1" ht="11.4">
      <c r="A87" s="215" t="s">
        <v>831</v>
      </c>
      <c r="B87" s="566">
        <f>'Sources and Uses Budget'!C87</f>
        <v>0</v>
      </c>
      <c r="C87" s="567"/>
      <c r="D87" s="567">
        <f t="shared" si="3"/>
        <v>0</v>
      </c>
      <c r="E87" s="566">
        <f>'Sources and Uses Budget'!S87</f>
        <v>0</v>
      </c>
      <c r="F87" s="567"/>
      <c r="G87" s="567"/>
      <c r="H87" s="566">
        <f>'Sources and Uses Budget'!T87</f>
        <v>0</v>
      </c>
      <c r="I87" s="567"/>
      <c r="J87" s="567"/>
      <c r="K87" s="564"/>
    </row>
    <row r="88" spans="1:11" s="565" customFormat="1" ht="11.4">
      <c r="A88" s="215" t="s">
        <v>832</v>
      </c>
      <c r="B88" s="566">
        <f>'Sources and Uses Budget'!C88</f>
        <v>50000</v>
      </c>
      <c r="C88" s="567"/>
      <c r="D88" s="567">
        <f t="shared" si="3"/>
        <v>50000</v>
      </c>
      <c r="E88" s="568"/>
      <c r="F88" s="568"/>
      <c r="G88" s="568"/>
      <c r="H88" s="568"/>
      <c r="I88" s="568"/>
      <c r="J88" s="568"/>
      <c r="K88" s="564"/>
    </row>
    <row r="89" spans="1:11" s="565" customFormat="1" ht="11.4">
      <c r="A89" s="215" t="s">
        <v>833</v>
      </c>
      <c r="B89" s="566">
        <f>'Sources and Uses Budget'!C89</f>
        <v>291500</v>
      </c>
      <c r="C89" s="567"/>
      <c r="D89" s="567">
        <f t="shared" si="3"/>
        <v>291500</v>
      </c>
      <c r="E89" s="566">
        <f>'Sources and Uses Budget'!S89</f>
        <v>291500</v>
      </c>
      <c r="F89" s="567"/>
      <c r="G89" s="567">
        <f>E89</f>
        <v>291500</v>
      </c>
      <c r="H89" s="566">
        <f>'Sources and Uses Budget'!T89</f>
        <v>0</v>
      </c>
      <c r="I89" s="567"/>
      <c r="J89" s="567"/>
      <c r="K89" s="564"/>
    </row>
    <row r="90" spans="1:11" s="565" customFormat="1" ht="11.4">
      <c r="A90" s="215" t="s">
        <v>834</v>
      </c>
      <c r="B90" s="566">
        <f>'Sources and Uses Budget'!C90</f>
        <v>15000</v>
      </c>
      <c r="C90" s="567"/>
      <c r="D90" s="567">
        <f t="shared" si="3"/>
        <v>15000</v>
      </c>
      <c r="E90" s="566">
        <f>'Sources and Uses Budget'!S90</f>
        <v>15000</v>
      </c>
      <c r="F90" s="567"/>
      <c r="G90" s="567">
        <f t="shared" ref="G90:G92" si="4">E90</f>
        <v>15000</v>
      </c>
      <c r="H90" s="566">
        <f>'Sources and Uses Budget'!T90</f>
        <v>0</v>
      </c>
      <c r="I90" s="567"/>
      <c r="J90" s="567"/>
      <c r="K90" s="564"/>
    </row>
    <row r="91" spans="1:11" s="565" customFormat="1" ht="11.4">
      <c r="A91" s="226" t="s">
        <v>392</v>
      </c>
      <c r="B91" s="566">
        <f>'Sources and Uses Budget'!C91</f>
        <v>25000</v>
      </c>
      <c r="C91" s="567"/>
      <c r="D91" s="567">
        <f t="shared" si="3"/>
        <v>25000</v>
      </c>
      <c r="E91" s="566">
        <f>'Sources and Uses Budget'!S91</f>
        <v>25000</v>
      </c>
      <c r="F91" s="567"/>
      <c r="G91" s="567">
        <f t="shared" si="4"/>
        <v>25000</v>
      </c>
      <c r="H91" s="566">
        <f>'Sources and Uses Budget'!T91</f>
        <v>0</v>
      </c>
      <c r="I91" s="567"/>
      <c r="J91" s="567"/>
      <c r="K91" s="564"/>
    </row>
    <row r="92" spans="1:11" s="565" customFormat="1" ht="11.4">
      <c r="A92" s="860" t="s">
        <v>1428</v>
      </c>
      <c r="B92" s="566">
        <f>'Sources and Uses Budget'!C92</f>
        <v>10000</v>
      </c>
      <c r="C92" s="567"/>
      <c r="D92" s="567">
        <f t="shared" si="3"/>
        <v>10000</v>
      </c>
      <c r="E92" s="566">
        <f>'Sources and Uses Budget'!S92</f>
        <v>10000</v>
      </c>
      <c r="F92" s="567"/>
      <c r="G92" s="567">
        <f t="shared" si="4"/>
        <v>10000</v>
      </c>
      <c r="H92" s="566">
        <f>'Sources and Uses Budget'!T92</f>
        <v>0</v>
      </c>
      <c r="I92" s="567"/>
      <c r="J92" s="567"/>
      <c r="K92" s="564"/>
    </row>
    <row r="93" spans="1:11" s="565" customFormat="1" ht="11.4">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ht="11.4">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ht="11.4">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5902329</v>
      </c>
      <c r="C96" s="566">
        <f>SUM(C83:C95)</f>
        <v>0</v>
      </c>
      <c r="D96" s="566">
        <f>SUM(D83:D95)</f>
        <v>5902329</v>
      </c>
      <c r="E96" s="566">
        <f>'Sources and Uses Budget'!S96</f>
        <v>5761268</v>
      </c>
      <c r="F96" s="573">
        <f>SUM(F84:F87,F89:F95)</f>
        <v>0</v>
      </c>
      <c r="G96" s="573">
        <f>SUM(G84:G87,G89:G95)</f>
        <v>5761268</v>
      </c>
      <c r="H96" s="566">
        <f>'Sources and Uses Budget'!T96</f>
        <v>0</v>
      </c>
      <c r="I96" s="566">
        <f>SUM(I84:I87,I89:I95)</f>
        <v>0</v>
      </c>
      <c r="J96" s="566">
        <f>SUM(J84:J87,J89:J95)</f>
        <v>0</v>
      </c>
      <c r="K96" s="564"/>
    </row>
    <row r="97" spans="1:11" s="565" customFormat="1">
      <c r="A97" s="570" t="s">
        <v>1145</v>
      </c>
      <c r="B97" s="566">
        <f>'Sources and Uses Budget'!C97</f>
        <v>57764309</v>
      </c>
      <c r="C97" s="566">
        <f>SUM(C63+C70+C77+C81+C96)</f>
        <v>0</v>
      </c>
      <c r="D97" s="566">
        <f>SUM(D63+D70+D77+D81+D96)</f>
        <v>57764309</v>
      </c>
      <c r="E97" s="566">
        <f>'Sources and Uses Budget'!S97</f>
        <v>49611667</v>
      </c>
      <c r="F97" s="573">
        <f>SUM(+F63+F70+F81+F96)</f>
        <v>0</v>
      </c>
      <c r="G97" s="573">
        <f>SUM(+G63+G70+G81+G96)</f>
        <v>49611667</v>
      </c>
      <c r="H97" s="566">
        <f>'Sources and Uses Budget'!T97</f>
        <v>0</v>
      </c>
      <c r="I97" s="573">
        <f>SUM(I63+I70+I81+I96)</f>
        <v>0</v>
      </c>
      <c r="J97" s="573">
        <f>SUM(J63+J70+J81+J96)</f>
        <v>0</v>
      </c>
      <c r="K97" s="564"/>
    </row>
    <row r="98" spans="1:11" s="565" customFormat="1" ht="11.4">
      <c r="A98" s="562" t="s">
        <v>837</v>
      </c>
      <c r="B98" s="563"/>
      <c r="C98" s="563"/>
      <c r="D98" s="563"/>
      <c r="E98" s="563"/>
      <c r="F98" s="563"/>
      <c r="G98" s="563"/>
      <c r="H98" s="563"/>
      <c r="I98" s="563"/>
      <c r="J98" s="563"/>
      <c r="K98" s="564"/>
    </row>
    <row r="99" spans="1:11" s="565" customFormat="1" ht="11.4">
      <c r="A99" s="215" t="s">
        <v>838</v>
      </c>
      <c r="B99" s="566">
        <f>'Sources and Uses Budget'!C99</f>
        <v>7441750</v>
      </c>
      <c r="C99" s="567"/>
      <c r="D99" s="567">
        <f>B99</f>
        <v>7441750</v>
      </c>
      <c r="E99" s="566">
        <f>'Sources and Uses Budget'!S99</f>
        <v>7441750</v>
      </c>
      <c r="F99" s="567"/>
      <c r="G99" s="567">
        <f>E99</f>
        <v>7441750</v>
      </c>
      <c r="H99" s="566">
        <f>'Sources and Uses Budget'!T99</f>
        <v>0</v>
      </c>
      <c r="I99" s="567"/>
      <c r="J99" s="567"/>
      <c r="K99" s="564"/>
    </row>
    <row r="100" spans="1:11" s="565" customFormat="1" ht="11.4">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7441750</v>
      </c>
      <c r="C104" s="566">
        <f>SUM(C99:C103)</f>
        <v>0</v>
      </c>
      <c r="D104" s="566">
        <f>SUM(D99:D103)</f>
        <v>7441750</v>
      </c>
      <c r="E104" s="566">
        <f>'Sources and Uses Budget'!S104</f>
        <v>7441750</v>
      </c>
      <c r="F104" s="573">
        <f>SUM(F99:F103)</f>
        <v>0</v>
      </c>
      <c r="G104" s="573">
        <f>SUM(G99:G103)</f>
        <v>7441750</v>
      </c>
      <c r="H104" s="566">
        <f>'Sources and Uses Budget'!T104</f>
        <v>0</v>
      </c>
      <c r="I104" s="573">
        <f>SUM(I99:I103)</f>
        <v>0</v>
      </c>
      <c r="J104" s="573">
        <f>SUM(J99:J103)</f>
        <v>0</v>
      </c>
      <c r="K104" s="564"/>
    </row>
    <row r="105" spans="1:11" s="565" customFormat="1">
      <c r="A105" s="570" t="s">
        <v>1146</v>
      </c>
      <c r="B105" s="566">
        <f>'Sources and Uses Budget'!C105</f>
        <v>65206059</v>
      </c>
      <c r="C105" s="573">
        <f>SUM(C97+C104)</f>
        <v>0</v>
      </c>
      <c r="D105" s="573">
        <f>SUM(D97+D104)</f>
        <v>65206059</v>
      </c>
      <c r="E105" s="566">
        <f>'Sources and Uses Budget'!S105</f>
        <v>57053417</v>
      </c>
      <c r="F105" s="573">
        <f>F97+F104</f>
        <v>0</v>
      </c>
      <c r="G105" s="573">
        <f>G97+G104</f>
        <v>57053417</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57053417</v>
      </c>
      <c r="F107" s="582">
        <f>F105+F106</f>
        <v>0</v>
      </c>
      <c r="G107" s="582">
        <f>G105+G106</f>
        <v>57053417</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1"/>
      <c r="E124" s="2572"/>
      <c r="F124" s="2572"/>
      <c r="G124" s="2572"/>
      <c r="H124" s="2572"/>
      <c r="I124" s="2572"/>
      <c r="J124" s="584"/>
      <c r="K124" s="564"/>
    </row>
    <row r="125" spans="1:11" s="565" customFormat="1" ht="13.2">
      <c r="A125" s="595"/>
      <c r="B125" s="594"/>
      <c r="C125" s="595"/>
      <c r="D125" s="2572"/>
      <c r="E125" s="2572"/>
      <c r="F125" s="2572"/>
      <c r="G125" s="2572"/>
      <c r="H125" s="2572"/>
      <c r="I125" s="2572"/>
      <c r="J125" s="584"/>
      <c r="K125" s="564"/>
    </row>
    <row r="126" spans="1:11" s="565" customFormat="1" ht="13.2">
      <c r="A126" s="595"/>
      <c r="B126" s="594"/>
      <c r="C126" s="595"/>
      <c r="D126" s="2572"/>
      <c r="E126" s="2572"/>
      <c r="F126" s="2572"/>
      <c r="G126" s="2572"/>
      <c r="H126" s="2572"/>
      <c r="I126" s="2572"/>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5546875" defaultRowHeight="15.75" customHeight="1"/>
  <cols>
    <col min="1" max="37" width="2.5546875" style="1528"/>
    <col min="38" max="38" width="3" style="1528" customWidth="1"/>
    <col min="39" max="64" width="2.5546875" style="1528"/>
    <col min="65" max="65" width="6.33203125" style="1528" bestFit="1" customWidth="1"/>
    <col min="66" max="70" width="5.5546875" style="1528" bestFit="1" customWidth="1"/>
    <col min="71" max="71" width="6.33203125" style="1528" bestFit="1" customWidth="1"/>
    <col min="72" max="76" width="5.5546875" style="1528" bestFit="1" customWidth="1"/>
    <col min="77" max="77" width="6.33203125" style="1528" bestFit="1" customWidth="1"/>
    <col min="78" max="78" width="5.5546875" style="1528" bestFit="1" customWidth="1"/>
    <col min="79" max="16384" width="2.5546875" style="1528"/>
  </cols>
  <sheetData>
    <row r="1" spans="1:58" ht="15.75" customHeight="1">
      <c r="A1" s="2580" t="s">
        <v>2047</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581"/>
      <c r="AO1" s="2581"/>
      <c r="AP1" s="2581"/>
      <c r="AQ1" s="2581"/>
      <c r="AR1" s="2581"/>
      <c r="AS1" s="2581"/>
      <c r="AT1" s="2581"/>
      <c r="AU1" s="2581"/>
      <c r="AV1" s="2581"/>
      <c r="AW1" s="2581"/>
      <c r="AX1" s="2581"/>
      <c r="AY1" s="2581"/>
      <c r="AZ1" s="2581"/>
      <c r="BA1" s="2581"/>
      <c r="BB1" s="2581"/>
      <c r="BC1" s="2581"/>
      <c r="BD1" s="2581"/>
      <c r="BE1" s="2582"/>
    </row>
    <row r="2" spans="1:58" ht="15.75" customHeight="1">
      <c r="A2" s="2583" t="s">
        <v>2048</v>
      </c>
      <c r="B2" s="2584"/>
      <c r="C2" s="2584"/>
      <c r="D2" s="2584"/>
      <c r="E2" s="2584"/>
      <c r="F2" s="2584"/>
      <c r="G2" s="2584"/>
      <c r="H2" s="2584"/>
      <c r="I2" s="2584"/>
      <c r="J2" s="2584"/>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86" t="str">
        <f>IF(Application!H18="","",Application!H18)</f>
        <v>College Creek Apartments</v>
      </c>
      <c r="M4" s="2587"/>
      <c r="N4" s="2587"/>
      <c r="O4" s="2587"/>
      <c r="P4" s="2587"/>
      <c r="Q4" s="2587"/>
      <c r="R4" s="2587"/>
      <c r="S4" s="2587"/>
      <c r="T4" s="2587"/>
      <c r="U4" s="2587"/>
      <c r="V4" s="2587"/>
      <c r="W4" s="2587"/>
      <c r="X4" s="2587"/>
      <c r="Y4" s="2587"/>
      <c r="Z4" s="2587"/>
      <c r="AA4" s="2587"/>
      <c r="AB4" s="2587"/>
      <c r="AC4" s="2588"/>
      <c r="AD4" s="1531"/>
      <c r="AE4" s="1531"/>
      <c r="AF4" s="2589" t="s">
        <v>2049</v>
      </c>
      <c r="AG4" s="2590"/>
      <c r="AH4" s="2590"/>
      <c r="AI4" s="2590"/>
      <c r="AJ4" s="2590"/>
      <c r="AK4" s="2590"/>
      <c r="AL4" s="2590"/>
      <c r="AM4" s="2590"/>
      <c r="AN4" s="2590"/>
      <c r="AO4" s="2590"/>
      <c r="AP4" s="2591">
        <v>44197</v>
      </c>
      <c r="AQ4" s="2592"/>
      <c r="AR4" s="2592"/>
      <c r="AS4" s="2592"/>
      <c r="AT4" s="2592"/>
      <c r="AU4" s="259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4" t="s">
        <v>2050</v>
      </c>
      <c r="AG5" s="2595"/>
      <c r="AH5" s="2595"/>
      <c r="AI5" s="2595"/>
      <c r="AJ5" s="2595"/>
      <c r="AK5" s="2595"/>
      <c r="AL5" s="2595"/>
      <c r="AM5" s="2595"/>
      <c r="AN5" s="2595"/>
      <c r="AO5" s="2595"/>
      <c r="AP5" s="2591">
        <v>44197</v>
      </c>
      <c r="AQ5" s="2592"/>
      <c r="AR5" s="2592"/>
      <c r="AS5" s="2592"/>
      <c r="AT5" s="2592"/>
      <c r="AU5" s="2593"/>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10" t="str">
        <f>IF(Application!H16="","",Application!H16)</f>
        <v>USA Properties Fund, Inc.</v>
      </c>
      <c r="M6" s="2611"/>
      <c r="N6" s="2611"/>
      <c r="O6" s="2611"/>
      <c r="P6" s="2611"/>
      <c r="Q6" s="2611"/>
      <c r="R6" s="2611"/>
      <c r="S6" s="2611"/>
      <c r="T6" s="2611"/>
      <c r="U6" s="2611"/>
      <c r="V6" s="2611"/>
      <c r="W6" s="2611"/>
      <c r="X6" s="2611"/>
      <c r="Y6" s="2611"/>
      <c r="Z6" s="2611"/>
      <c r="AA6" s="2611"/>
      <c r="AB6" s="2611"/>
      <c r="AC6" s="261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3" t="str">
        <f>Application!T196</f>
        <v>No</v>
      </c>
      <c r="AC8" s="2614"/>
      <c r="AD8" s="261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2054</v>
      </c>
      <c r="C10" s="1533"/>
      <c r="D10" s="1533"/>
      <c r="E10" s="1533"/>
      <c r="F10" s="1533"/>
      <c r="G10" s="1533"/>
      <c r="H10" s="1533"/>
      <c r="I10" s="1533"/>
      <c r="J10" s="1533"/>
      <c r="K10" s="1533"/>
      <c r="L10" s="1533"/>
      <c r="M10" s="1531"/>
      <c r="N10" s="2616" t="e">
        <f>VLOOKUP("CalHFA Permanent Loan",Application!C564:AS575,37,TRUE)</f>
        <v>#N/A</v>
      </c>
      <c r="O10" s="2617"/>
      <c r="P10" s="2617"/>
      <c r="Q10" s="2617"/>
      <c r="R10" s="2617"/>
      <c r="S10" s="2617"/>
      <c r="T10" s="2618"/>
      <c r="U10" s="1531"/>
      <c r="V10" s="1531"/>
      <c r="W10" s="1531"/>
      <c r="X10" s="2596" t="s">
        <v>2055</v>
      </c>
      <c r="Y10" s="2597"/>
      <c r="Z10" s="2597"/>
      <c r="AA10" s="2597"/>
      <c r="AB10" s="2597"/>
      <c r="AC10" s="2597"/>
      <c r="AD10" s="2597"/>
      <c r="AE10" s="2597"/>
      <c r="AF10" s="2597"/>
      <c r="AG10" s="2597"/>
      <c r="AH10" s="2597"/>
      <c r="AI10" s="2597"/>
      <c r="AJ10" s="2597"/>
      <c r="AK10" s="2598"/>
      <c r="AL10" s="2602">
        <f>Application!W471</f>
        <v>0</v>
      </c>
      <c r="AM10" s="2603"/>
      <c r="AN10" s="2603"/>
      <c r="AO10" s="2603"/>
      <c r="AP10" s="2604"/>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2056</v>
      </c>
      <c r="C11" s="1533"/>
      <c r="D11" s="1533"/>
      <c r="E11" s="1533"/>
      <c r="F11" s="1533"/>
      <c r="G11" s="1533"/>
      <c r="H11" s="1533"/>
      <c r="I11" s="1533"/>
      <c r="J11" s="1533"/>
      <c r="K11" s="1533"/>
      <c r="L11" s="1533"/>
      <c r="M11" s="1531"/>
      <c r="N11" s="2619">
        <f>Application!AA925</f>
        <v>0</v>
      </c>
      <c r="O11" s="2620"/>
      <c r="P11" s="2620"/>
      <c r="Q11" s="2620"/>
      <c r="R11" s="2620"/>
      <c r="S11" s="2620"/>
      <c r="T11" s="2621"/>
      <c r="U11" s="1531"/>
      <c r="V11" s="1531"/>
      <c r="W11" s="1531"/>
      <c r="X11" s="2622" t="s">
        <v>2057</v>
      </c>
      <c r="Y11" s="2623"/>
      <c r="Z11" s="2623"/>
      <c r="AA11" s="2623"/>
      <c r="AB11" s="2623"/>
      <c r="AC11" s="2623"/>
      <c r="AD11" s="2623"/>
      <c r="AE11" s="2623"/>
      <c r="AF11" s="2623"/>
      <c r="AG11" s="2623"/>
      <c r="AH11" s="2623"/>
      <c r="AI11" s="2623"/>
      <c r="AJ11" s="2623"/>
      <c r="AK11" s="2624"/>
      <c r="AL11" s="2599">
        <v>44197</v>
      </c>
      <c r="AM11" s="2600"/>
      <c r="AN11" s="2600"/>
      <c r="AO11" s="2600"/>
      <c r="AP11" s="2601"/>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6" t="s">
        <v>2058</v>
      </c>
      <c r="Y12" s="2597"/>
      <c r="Z12" s="2597"/>
      <c r="AA12" s="2597"/>
      <c r="AB12" s="2597"/>
      <c r="AC12" s="2597"/>
      <c r="AD12" s="2597"/>
      <c r="AE12" s="2597"/>
      <c r="AF12" s="2597"/>
      <c r="AG12" s="2597"/>
      <c r="AH12" s="2597"/>
      <c r="AI12" s="2597"/>
      <c r="AJ12" s="2597"/>
      <c r="AK12" s="2598"/>
      <c r="AL12" s="2599">
        <v>44197</v>
      </c>
      <c r="AM12" s="2600"/>
      <c r="AN12" s="2600"/>
      <c r="AO12" s="2600"/>
      <c r="AP12" s="2601"/>
      <c r="AQ12" s="1534"/>
      <c r="AR12" s="1534"/>
      <c r="AS12" s="1534"/>
      <c r="AT12" s="1534"/>
      <c r="AU12" s="1534"/>
      <c r="AV12" s="1531"/>
      <c r="AW12" s="1531"/>
      <c r="AX12" s="1531"/>
      <c r="AY12" s="1531"/>
      <c r="AZ12" s="1531"/>
      <c r="BA12" s="1531"/>
      <c r="BB12" s="1531"/>
      <c r="BC12" s="1531"/>
      <c r="BD12" s="1531"/>
      <c r="BE12" s="1537"/>
    </row>
    <row r="13" spans="1:58" ht="15" thickBot="1">
      <c r="A13" s="1836"/>
      <c r="B13" s="2596" t="s">
        <v>2059</v>
      </c>
      <c r="C13" s="2597"/>
      <c r="D13" s="2597"/>
      <c r="E13" s="2597"/>
      <c r="F13" s="2597"/>
      <c r="G13" s="2597"/>
      <c r="H13" s="2597"/>
      <c r="I13" s="2597"/>
      <c r="J13" s="2597"/>
      <c r="K13" s="2597"/>
      <c r="L13" s="2597"/>
      <c r="M13" s="2597"/>
      <c r="N13" s="2597"/>
      <c r="O13" s="2597"/>
      <c r="P13" s="2598"/>
      <c r="Q13" s="2605" t="s">
        <v>2053</v>
      </c>
      <c r="R13" s="2592"/>
      <c r="S13" s="2592"/>
      <c r="T13" s="259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606" t="s">
        <v>2060</v>
      </c>
      <c r="C15" s="2606"/>
      <c r="D15" s="2606"/>
      <c r="E15" s="2606"/>
      <c r="F15" s="2606"/>
      <c r="G15" s="2606"/>
      <c r="H15" s="2606"/>
      <c r="I15" s="2606"/>
      <c r="J15" s="2606"/>
      <c r="K15" s="2606"/>
      <c r="L15" s="2607"/>
      <c r="M15" s="2589" t="s">
        <v>2061</v>
      </c>
      <c r="N15" s="2590"/>
      <c r="O15" s="2590"/>
      <c r="P15" s="2590"/>
      <c r="Q15" s="2590"/>
      <c r="R15" s="2590"/>
      <c r="S15" s="2608" t="str">
        <f>IF(Application!AB214="","",Application!AB214)</f>
        <v/>
      </c>
      <c r="T15" s="2608"/>
      <c r="U15" s="2608"/>
      <c r="V15" s="2608"/>
      <c r="W15" s="260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625" t="s">
        <v>2062</v>
      </c>
      <c r="C17" s="2626"/>
      <c r="D17" s="2626"/>
      <c r="E17" s="2626"/>
      <c r="F17" s="2626"/>
      <c r="G17" s="2626"/>
      <c r="H17" s="2626"/>
      <c r="I17" s="2626"/>
      <c r="J17" s="2626"/>
      <c r="K17" s="2626"/>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626"/>
      <c r="AS17" s="2626"/>
      <c r="AT17" s="2626"/>
      <c r="AU17" s="2626"/>
      <c r="AV17" s="2626"/>
      <c r="AW17" s="2626"/>
      <c r="AX17" s="2626"/>
      <c r="AY17" s="2627"/>
      <c r="AZ17" s="1531"/>
      <c r="BA17" s="1531"/>
      <c r="BB17" s="1531"/>
      <c r="BC17" s="1531"/>
      <c r="BD17" s="1531"/>
      <c r="BE17" s="1537"/>
      <c r="BF17" s="1529"/>
    </row>
    <row r="18" spans="1:58" ht="15.75" customHeight="1">
      <c r="A18" s="1836"/>
      <c r="B18" s="2628" t="s">
        <v>2063</v>
      </c>
      <c r="C18" s="2629"/>
      <c r="D18" s="2629"/>
      <c r="E18" s="2629"/>
      <c r="F18" s="2629"/>
      <c r="G18" s="2629"/>
      <c r="H18" s="2629"/>
      <c r="I18" s="2630"/>
      <c r="J18" s="2631" t="s">
        <v>1893</v>
      </c>
      <c r="K18" s="2632"/>
      <c r="L18" s="2632"/>
      <c r="M18" s="2632"/>
      <c r="N18" s="2632"/>
      <c r="O18" s="2633"/>
      <c r="P18" s="2631" t="s">
        <v>335</v>
      </c>
      <c r="Q18" s="2632"/>
      <c r="R18" s="2632"/>
      <c r="S18" s="2632"/>
      <c r="T18" s="2632"/>
      <c r="U18" s="2633"/>
      <c r="V18" s="2631" t="s">
        <v>336</v>
      </c>
      <c r="W18" s="2632"/>
      <c r="X18" s="2632"/>
      <c r="Y18" s="2632"/>
      <c r="Z18" s="2632"/>
      <c r="AA18" s="2633"/>
      <c r="AB18" s="2631" t="s">
        <v>168</v>
      </c>
      <c r="AC18" s="2632"/>
      <c r="AD18" s="2632"/>
      <c r="AE18" s="2632"/>
      <c r="AF18" s="2632"/>
      <c r="AG18" s="2633"/>
      <c r="AH18" s="2631" t="s">
        <v>169</v>
      </c>
      <c r="AI18" s="2632"/>
      <c r="AJ18" s="2632"/>
      <c r="AK18" s="2632"/>
      <c r="AL18" s="2632"/>
      <c r="AM18" s="2633"/>
      <c r="AN18" s="2631" t="s">
        <v>170</v>
      </c>
      <c r="AO18" s="2632"/>
      <c r="AP18" s="2632"/>
      <c r="AQ18" s="2632"/>
      <c r="AR18" s="2632"/>
      <c r="AS18" s="2633"/>
      <c r="AT18" s="2631" t="s">
        <v>2064</v>
      </c>
      <c r="AU18" s="2632"/>
      <c r="AV18" s="2632"/>
      <c r="AW18" s="2632"/>
      <c r="AX18" s="2632"/>
      <c r="AY18" s="2634"/>
      <c r="AZ18" s="1531"/>
      <c r="BA18" s="1531"/>
      <c r="BB18" s="1531"/>
      <c r="BC18" s="1531"/>
      <c r="BD18" s="1531"/>
      <c r="BE18" s="1537"/>
    </row>
    <row r="19" spans="1:58" ht="14.4">
      <c r="A19" s="1836"/>
      <c r="B19" s="2641">
        <v>0.2</v>
      </c>
      <c r="C19" s="2642"/>
      <c r="D19" s="2642"/>
      <c r="E19" s="2642"/>
      <c r="F19" s="2642"/>
      <c r="G19" s="2642"/>
      <c r="H19" s="2642"/>
      <c r="I19" s="2642"/>
      <c r="J19" s="2631">
        <f>SUM(P19:AS19)</f>
        <v>0</v>
      </c>
      <c r="K19" s="2632"/>
      <c r="L19" s="2632"/>
      <c r="M19" s="2632"/>
      <c r="N19" s="2632"/>
      <c r="O19" s="2633"/>
      <c r="P19" s="2635" cm="1">
        <f t="array" ref="P19">SUMPRODUCT((Application!$B$728:$B$752 = 'CalHFA Addendum'!P$18)*(Application!$AH$728:$AH$752 = 'CalHFA Addendum'!$B19),Application!$G$728:$G$752)</f>
        <v>0</v>
      </c>
      <c r="Q19" s="2636"/>
      <c r="R19" s="2636"/>
      <c r="S19" s="2636"/>
      <c r="T19" s="2636"/>
      <c r="U19" s="2637"/>
      <c r="V19" s="2635" cm="1">
        <f t="array" ref="V19">SUMPRODUCT((Application!$B$728:$B$752 = 'CalHFA Addendum'!V$18)*(Application!$AH$728:$AH$752 = 'CalHFA Addendum'!$B19),Application!$G$728:$G$752)</f>
        <v>0</v>
      </c>
      <c r="W19" s="2636"/>
      <c r="X19" s="2636"/>
      <c r="Y19" s="2636"/>
      <c r="Z19" s="2636"/>
      <c r="AA19" s="2637"/>
      <c r="AB19" s="2635" cm="1">
        <f t="array" ref="AB19">SUMPRODUCT((Application!$B$728:$B$752 = 'CalHFA Addendum'!AB$18)*(Application!$AH$728:$AH$752 = 'CalHFA Addendum'!$B19),Application!$G$728:$G$752)</f>
        <v>0</v>
      </c>
      <c r="AC19" s="2636"/>
      <c r="AD19" s="2636"/>
      <c r="AE19" s="2636"/>
      <c r="AF19" s="2636"/>
      <c r="AG19" s="2637"/>
      <c r="AH19" s="2635" cm="1">
        <f t="array" ref="AH19">SUMPRODUCT((Application!$B$728:$B$752 = 'CalHFA Addendum'!AH$18)*(Application!$AH$728:$AH$752 = 'CalHFA Addendum'!$B19),Application!$G$728:$G$752)</f>
        <v>0</v>
      </c>
      <c r="AI19" s="2636"/>
      <c r="AJ19" s="2636"/>
      <c r="AK19" s="2636"/>
      <c r="AL19" s="2636"/>
      <c r="AM19" s="2637"/>
      <c r="AN19" s="2635" cm="1">
        <f t="array" ref="AN19">SUMPRODUCT((Application!$B$728:$B$752 = 'CalHFA Addendum'!AN$18)*(Application!$AH$728:$AH$752 = 'CalHFA Addendum'!$B19),Application!$G$728:$G$752)</f>
        <v>0</v>
      </c>
      <c r="AO19" s="2636"/>
      <c r="AP19" s="2636"/>
      <c r="AQ19" s="2636"/>
      <c r="AR19" s="2636"/>
      <c r="AS19" s="2637"/>
      <c r="AT19" s="2638">
        <f t="shared" ref="AT19:AT27" si="0">J19/$J$29</f>
        <v>0</v>
      </c>
      <c r="AU19" s="2639"/>
      <c r="AV19" s="2639"/>
      <c r="AW19" s="2639"/>
      <c r="AX19" s="2639"/>
      <c r="AY19" s="2640"/>
      <c r="AZ19" s="1538"/>
      <c r="BA19" s="1531"/>
      <c r="BB19" s="1531"/>
      <c r="BC19" s="1531"/>
      <c r="BD19" s="1531"/>
      <c r="BE19" s="1537"/>
    </row>
    <row r="20" spans="1:58" ht="15" customHeight="1">
      <c r="A20" s="1836"/>
      <c r="B20" s="2641">
        <v>0.3</v>
      </c>
      <c r="C20" s="2642"/>
      <c r="D20" s="2642"/>
      <c r="E20" s="2642"/>
      <c r="F20" s="2642"/>
      <c r="G20" s="2642"/>
      <c r="H20" s="2642"/>
      <c r="I20" s="2642"/>
      <c r="J20" s="2631">
        <f t="shared" ref="J20:J27" si="1">SUM(P20:AS20)</f>
        <v>17</v>
      </c>
      <c r="K20" s="2632"/>
      <c r="L20" s="2632"/>
      <c r="M20" s="2632"/>
      <c r="N20" s="2632"/>
      <c r="O20" s="2633"/>
      <c r="P20" s="2635" cm="1">
        <f t="array" ref="P20">SUMPRODUCT((Application!$B$728:$B$752 = 'CalHFA Addendum'!P$18)*(Application!$AH$728:$AH$752 = 'CalHFA Addendum'!$B20),Application!$G$728:$G$752)</f>
        <v>0</v>
      </c>
      <c r="Q20" s="2636"/>
      <c r="R20" s="2636"/>
      <c r="S20" s="2636"/>
      <c r="T20" s="2636"/>
      <c r="U20" s="2637"/>
      <c r="V20" s="2635" cm="1">
        <f t="array" ref="V20">SUMPRODUCT((Application!$B$728:$B$752 = 'CalHFA Addendum'!V$18)*(Application!$AH$728:$AH$752 = 'CalHFA Addendum'!$B20),Application!$G$728:$G$752)</f>
        <v>6</v>
      </c>
      <c r="W20" s="2636"/>
      <c r="X20" s="2636"/>
      <c r="Y20" s="2636"/>
      <c r="Z20" s="2636"/>
      <c r="AA20" s="2637"/>
      <c r="AB20" s="2635" cm="1">
        <f t="array" ref="AB20">SUMPRODUCT((Application!$B$728:$B$752 = 'CalHFA Addendum'!AB$18)*(Application!$AH$728:$AH$752 = 'CalHFA Addendum'!$B20),Application!$G$728:$G$752)</f>
        <v>6</v>
      </c>
      <c r="AC20" s="2636"/>
      <c r="AD20" s="2636"/>
      <c r="AE20" s="2636"/>
      <c r="AF20" s="2636"/>
      <c r="AG20" s="2637"/>
      <c r="AH20" s="2635" cm="1">
        <f t="array" ref="AH20">SUMPRODUCT((Application!$B$728:$B$752 = 'CalHFA Addendum'!AH$18)*(Application!$AH$728:$AH$752 = 'CalHFA Addendum'!$B20),Application!$G$728:$G$752)</f>
        <v>5</v>
      </c>
      <c r="AI20" s="2636"/>
      <c r="AJ20" s="2636"/>
      <c r="AK20" s="2636"/>
      <c r="AL20" s="2636"/>
      <c r="AM20" s="2637"/>
      <c r="AN20" s="2635" cm="1">
        <f t="array" ref="AN20">SUMPRODUCT((Application!$B$728:$B$752 = 'CalHFA Addendum'!AN$18)*(Application!$AH$728:$AH$752 = 'CalHFA Addendum'!$B20),Application!$G$728:$G$752)</f>
        <v>0</v>
      </c>
      <c r="AO20" s="2636"/>
      <c r="AP20" s="2636"/>
      <c r="AQ20" s="2636"/>
      <c r="AR20" s="2636"/>
      <c r="AS20" s="2637"/>
      <c r="AT20" s="2638">
        <f t="shared" si="0"/>
        <v>0.10365853658536585</v>
      </c>
      <c r="AU20" s="2639"/>
      <c r="AV20" s="2639"/>
      <c r="AW20" s="2639"/>
      <c r="AX20" s="2639"/>
      <c r="AY20" s="2640"/>
      <c r="AZ20" s="1531"/>
      <c r="BA20" s="1531"/>
      <c r="BB20" s="1531"/>
      <c r="BC20" s="1531"/>
      <c r="BD20" s="1531"/>
      <c r="BE20" s="1537"/>
    </row>
    <row r="21" spans="1:58" ht="14.4">
      <c r="A21" s="1836"/>
      <c r="B21" s="2641">
        <v>0.4</v>
      </c>
      <c r="C21" s="2642"/>
      <c r="D21" s="2642"/>
      <c r="E21" s="2642"/>
      <c r="F21" s="2642"/>
      <c r="G21" s="2642"/>
      <c r="H21" s="2642"/>
      <c r="I21" s="2642"/>
      <c r="J21" s="2631">
        <f t="shared" si="1"/>
        <v>0</v>
      </c>
      <c r="K21" s="2632"/>
      <c r="L21" s="2632"/>
      <c r="M21" s="2632"/>
      <c r="N21" s="2632"/>
      <c r="O21" s="2633"/>
      <c r="P21" s="2635" cm="1">
        <f t="array" ref="P21">SUMPRODUCT((Application!$B$728:$B$752 = 'CalHFA Addendum'!P$18)*(Application!$AH$728:$AH$752 = 'CalHFA Addendum'!$B21),Application!$G$728:$G$752)</f>
        <v>0</v>
      </c>
      <c r="Q21" s="2636"/>
      <c r="R21" s="2636"/>
      <c r="S21" s="2636"/>
      <c r="T21" s="2636"/>
      <c r="U21" s="2637"/>
      <c r="V21" s="2635" cm="1">
        <f t="array" ref="V21">SUMPRODUCT((Application!$B$728:$B$752 = 'CalHFA Addendum'!V$18)*(Application!$AH$728:$AH$752 = 'CalHFA Addendum'!$B21),Application!$G$728:$G$752)</f>
        <v>0</v>
      </c>
      <c r="W21" s="2636"/>
      <c r="X21" s="2636"/>
      <c r="Y21" s="2636"/>
      <c r="Z21" s="2636"/>
      <c r="AA21" s="2637"/>
      <c r="AB21" s="2635" cm="1">
        <f t="array" ref="AB21">SUMPRODUCT((Application!$B$728:$B$752 = 'CalHFA Addendum'!AB$18)*(Application!$AH$728:$AH$752 = 'CalHFA Addendum'!$B21),Application!$G$728:$G$752)</f>
        <v>0</v>
      </c>
      <c r="AC21" s="2636"/>
      <c r="AD21" s="2636"/>
      <c r="AE21" s="2636"/>
      <c r="AF21" s="2636"/>
      <c r="AG21" s="2637"/>
      <c r="AH21" s="2635" cm="1">
        <f t="array" ref="AH21">SUMPRODUCT((Application!$B$728:$B$752 = 'CalHFA Addendum'!AH$18)*(Application!$AH$728:$AH$752 = 'CalHFA Addendum'!$B21),Application!$G$728:$G$752)</f>
        <v>0</v>
      </c>
      <c r="AI21" s="2636"/>
      <c r="AJ21" s="2636"/>
      <c r="AK21" s="2636"/>
      <c r="AL21" s="2636"/>
      <c r="AM21" s="2637"/>
      <c r="AN21" s="2635" cm="1">
        <f t="array" ref="AN21">SUMPRODUCT((Application!$B$728:$B$752 = 'CalHFA Addendum'!AN$18)*(Application!$AH$728:$AH$752 = 'CalHFA Addendum'!$B21),Application!$G$728:$G$752)</f>
        <v>0</v>
      </c>
      <c r="AO21" s="2636"/>
      <c r="AP21" s="2636"/>
      <c r="AQ21" s="2636"/>
      <c r="AR21" s="2636"/>
      <c r="AS21" s="2637"/>
      <c r="AT21" s="2638">
        <f t="shared" si="0"/>
        <v>0</v>
      </c>
      <c r="AU21" s="2639"/>
      <c r="AV21" s="2639"/>
      <c r="AW21" s="2639"/>
      <c r="AX21" s="2639"/>
      <c r="AY21" s="2640"/>
      <c r="AZ21" s="1531"/>
      <c r="BA21" s="1531"/>
      <c r="BB21" s="1531"/>
      <c r="BC21" s="1531"/>
      <c r="BD21" s="1531"/>
      <c r="BE21" s="1537"/>
    </row>
    <row r="22" spans="1:58" ht="14.4">
      <c r="A22" s="1836"/>
      <c r="B22" s="2641">
        <v>0.5</v>
      </c>
      <c r="C22" s="2642"/>
      <c r="D22" s="2642"/>
      <c r="E22" s="2642"/>
      <c r="F22" s="2642"/>
      <c r="G22" s="2642"/>
      <c r="H22" s="2642"/>
      <c r="I22" s="2642"/>
      <c r="J22" s="2631">
        <f t="shared" si="1"/>
        <v>43</v>
      </c>
      <c r="K22" s="2632"/>
      <c r="L22" s="2632"/>
      <c r="M22" s="2632"/>
      <c r="N22" s="2632"/>
      <c r="O22" s="2633"/>
      <c r="P22" s="2635" cm="1">
        <f t="array" ref="P22">SUMPRODUCT((Application!$B$728:$B$752 = 'CalHFA Addendum'!P$18)*(Application!$AH$728:$AH$752 = 'CalHFA Addendum'!$B22),Application!$G$728:$G$752)</f>
        <v>0</v>
      </c>
      <c r="Q22" s="2636"/>
      <c r="R22" s="2636"/>
      <c r="S22" s="2636"/>
      <c r="T22" s="2636"/>
      <c r="U22" s="2637"/>
      <c r="V22" s="2635" cm="1">
        <f t="array" ref="V22">SUMPRODUCT((Application!$B$728:$B$752 = 'CalHFA Addendum'!V$18)*(Application!$AH$728:$AH$752 = 'CalHFA Addendum'!$B22),Application!$G$728:$G$752)</f>
        <v>16</v>
      </c>
      <c r="W22" s="2636"/>
      <c r="X22" s="2636"/>
      <c r="Y22" s="2636"/>
      <c r="Z22" s="2636"/>
      <c r="AA22" s="2637"/>
      <c r="AB22" s="2635" cm="1">
        <f t="array" ref="AB22">SUMPRODUCT((Application!$B$728:$B$752 = 'CalHFA Addendum'!AB$18)*(Application!$AH$728:$AH$752 = 'CalHFA Addendum'!$B22),Application!$G$728:$G$752)</f>
        <v>16</v>
      </c>
      <c r="AC22" s="2636"/>
      <c r="AD22" s="2636"/>
      <c r="AE22" s="2636"/>
      <c r="AF22" s="2636"/>
      <c r="AG22" s="2637"/>
      <c r="AH22" s="2635" cm="1">
        <f t="array" ref="AH22">SUMPRODUCT((Application!$B$728:$B$752 = 'CalHFA Addendum'!AH$18)*(Application!$AH$728:$AH$752 = 'CalHFA Addendum'!$B22),Application!$G$728:$G$752)</f>
        <v>11</v>
      </c>
      <c r="AI22" s="2636"/>
      <c r="AJ22" s="2636"/>
      <c r="AK22" s="2636"/>
      <c r="AL22" s="2636"/>
      <c r="AM22" s="2637"/>
      <c r="AN22" s="2635" cm="1">
        <f t="array" ref="AN22">SUMPRODUCT((Application!$B$728:$B$752 = 'CalHFA Addendum'!AN$18)*(Application!$AH$728:$AH$752 = 'CalHFA Addendum'!$B22),Application!$G$728:$G$752)</f>
        <v>0</v>
      </c>
      <c r="AO22" s="2636"/>
      <c r="AP22" s="2636"/>
      <c r="AQ22" s="2636"/>
      <c r="AR22" s="2636"/>
      <c r="AS22" s="2637"/>
      <c r="AT22" s="2638">
        <f t="shared" si="0"/>
        <v>0.26219512195121952</v>
      </c>
      <c r="AU22" s="2639"/>
      <c r="AV22" s="2639"/>
      <c r="AW22" s="2639"/>
      <c r="AX22" s="2639"/>
      <c r="AY22" s="2640"/>
      <c r="AZ22" s="1531"/>
      <c r="BA22" s="1531"/>
      <c r="BB22" s="1531"/>
      <c r="BC22" s="1531"/>
      <c r="BD22" s="1531"/>
      <c r="BE22" s="1537"/>
    </row>
    <row r="23" spans="1:58" ht="14.4">
      <c r="A23" s="1836"/>
      <c r="B23" s="2641">
        <v>0.6</v>
      </c>
      <c r="C23" s="2642"/>
      <c r="D23" s="2642"/>
      <c r="E23" s="2642"/>
      <c r="F23" s="2642"/>
      <c r="G23" s="2642"/>
      <c r="H23" s="2642"/>
      <c r="I23" s="2642"/>
      <c r="J23" s="2631">
        <f t="shared" si="1"/>
        <v>42</v>
      </c>
      <c r="K23" s="2632"/>
      <c r="L23" s="2632"/>
      <c r="M23" s="2632"/>
      <c r="N23" s="2632"/>
      <c r="O23" s="2633"/>
      <c r="P23" s="2635" cm="1">
        <f t="array" ref="P23">SUMPRODUCT((Application!$B$728:$B$752 = 'CalHFA Addendum'!P$18)*(Application!$AH$728:$AH$752 = 'CalHFA Addendum'!$B23),Application!$G$728:$G$752)</f>
        <v>0</v>
      </c>
      <c r="Q23" s="2636"/>
      <c r="R23" s="2636"/>
      <c r="S23" s="2636"/>
      <c r="T23" s="2636"/>
      <c r="U23" s="2637"/>
      <c r="V23" s="2635" cm="1">
        <f t="array" ref="V23">SUMPRODUCT((Application!$B$728:$B$752 = 'CalHFA Addendum'!V$18)*(Application!$AH$728:$AH$752 = 'CalHFA Addendum'!$B23),Application!$G$728:$G$752)</f>
        <v>16</v>
      </c>
      <c r="W23" s="2636"/>
      <c r="X23" s="2636"/>
      <c r="Y23" s="2636"/>
      <c r="Z23" s="2636"/>
      <c r="AA23" s="2637"/>
      <c r="AB23" s="2635" cm="1">
        <f t="array" ref="AB23">SUMPRODUCT((Application!$B$728:$B$752 = 'CalHFA Addendum'!AB$18)*(Application!$AH$728:$AH$752 = 'CalHFA Addendum'!$B23),Application!$G$728:$G$752)</f>
        <v>16</v>
      </c>
      <c r="AC23" s="2636"/>
      <c r="AD23" s="2636"/>
      <c r="AE23" s="2636"/>
      <c r="AF23" s="2636"/>
      <c r="AG23" s="2637"/>
      <c r="AH23" s="2635" cm="1">
        <f t="array" ref="AH23">SUMPRODUCT((Application!$B$728:$B$752 = 'CalHFA Addendum'!AH$18)*(Application!$AH$728:$AH$752 = 'CalHFA Addendum'!$B23),Application!$G$728:$G$752)</f>
        <v>10</v>
      </c>
      <c r="AI23" s="2636"/>
      <c r="AJ23" s="2636"/>
      <c r="AK23" s="2636"/>
      <c r="AL23" s="2636"/>
      <c r="AM23" s="2637"/>
      <c r="AN23" s="2635" cm="1">
        <f t="array" ref="AN23">SUMPRODUCT((Application!$B$728:$B$752 = 'CalHFA Addendum'!AN$18)*(Application!$AH$728:$AH$752 = 'CalHFA Addendum'!$B23),Application!$G$728:$G$752)</f>
        <v>0</v>
      </c>
      <c r="AO23" s="2636"/>
      <c r="AP23" s="2636"/>
      <c r="AQ23" s="2636"/>
      <c r="AR23" s="2636"/>
      <c r="AS23" s="2637"/>
      <c r="AT23" s="2638">
        <f t="shared" si="0"/>
        <v>0.25609756097560976</v>
      </c>
      <c r="AU23" s="2639"/>
      <c r="AV23" s="2639"/>
      <c r="AW23" s="2639"/>
      <c r="AX23" s="2639"/>
      <c r="AY23" s="2640"/>
      <c r="AZ23" s="1531"/>
      <c r="BA23" s="1531"/>
      <c r="BB23" s="1531"/>
      <c r="BC23" s="1531"/>
      <c r="BD23" s="1531"/>
      <c r="BE23" s="1537"/>
    </row>
    <row r="24" spans="1:58" ht="14.4">
      <c r="A24" s="1836"/>
      <c r="B24" s="2641">
        <v>0.7</v>
      </c>
      <c r="C24" s="2642"/>
      <c r="D24" s="2642"/>
      <c r="E24" s="2642"/>
      <c r="F24" s="2642"/>
      <c r="G24" s="2642"/>
      <c r="H24" s="2642"/>
      <c r="I24" s="2642"/>
      <c r="J24" s="2631">
        <f t="shared" si="1"/>
        <v>61</v>
      </c>
      <c r="K24" s="2632"/>
      <c r="L24" s="2632"/>
      <c r="M24" s="2632"/>
      <c r="N24" s="2632"/>
      <c r="O24" s="2633"/>
      <c r="P24" s="2635" cm="1">
        <f t="array" ref="P24">SUMPRODUCT((Application!$B$728:$B$752 = 'CalHFA Addendum'!P$18)*(Application!$AH$728:$AH$752 = 'CalHFA Addendum'!$B24),Application!$G$728:$G$752)</f>
        <v>0</v>
      </c>
      <c r="Q24" s="2636"/>
      <c r="R24" s="2636"/>
      <c r="S24" s="2636"/>
      <c r="T24" s="2636"/>
      <c r="U24" s="2637"/>
      <c r="V24" s="2635" cm="1">
        <f t="array" ref="V24">SUMPRODUCT((Application!$B$728:$B$752 = 'CalHFA Addendum'!V$18)*(Application!$AH$728:$AH$752 = 'CalHFA Addendum'!$B24),Application!$G$728:$G$752)</f>
        <v>26</v>
      </c>
      <c r="W24" s="2636"/>
      <c r="X24" s="2636"/>
      <c r="Y24" s="2636"/>
      <c r="Z24" s="2636"/>
      <c r="AA24" s="2637"/>
      <c r="AB24" s="2635" cm="1">
        <f t="array" ref="AB24">SUMPRODUCT((Application!$B$728:$B$752 = 'CalHFA Addendum'!AB$18)*(Application!$AH$728:$AH$752 = 'CalHFA Addendum'!$B24),Application!$G$728:$G$752)</f>
        <v>19</v>
      </c>
      <c r="AC24" s="2636"/>
      <c r="AD24" s="2636"/>
      <c r="AE24" s="2636"/>
      <c r="AF24" s="2636"/>
      <c r="AG24" s="2637"/>
      <c r="AH24" s="2635" cm="1">
        <f t="array" ref="AH24">SUMPRODUCT((Application!$B$728:$B$752 = 'CalHFA Addendum'!AH$18)*(Application!$AH$728:$AH$752 = 'CalHFA Addendum'!$B24),Application!$G$728:$G$752)</f>
        <v>16</v>
      </c>
      <c r="AI24" s="2636"/>
      <c r="AJ24" s="2636"/>
      <c r="AK24" s="2636"/>
      <c r="AL24" s="2636"/>
      <c r="AM24" s="2637"/>
      <c r="AN24" s="2635" cm="1">
        <f t="array" ref="AN24">SUMPRODUCT((Application!$B$728:$B$752 = 'CalHFA Addendum'!AN$18)*(Application!$AH$728:$AH$752 = 'CalHFA Addendum'!$B24),Application!$G$728:$G$752)</f>
        <v>0</v>
      </c>
      <c r="AO24" s="2636"/>
      <c r="AP24" s="2636"/>
      <c r="AQ24" s="2636"/>
      <c r="AR24" s="2636"/>
      <c r="AS24" s="2637"/>
      <c r="AT24" s="2638">
        <f t="shared" si="0"/>
        <v>0.37195121951219512</v>
      </c>
      <c r="AU24" s="2639"/>
      <c r="AV24" s="2639"/>
      <c r="AW24" s="2639"/>
      <c r="AX24" s="2639"/>
      <c r="AY24" s="2640"/>
      <c r="AZ24" s="1531"/>
      <c r="BA24" s="1531"/>
      <c r="BB24" s="1531"/>
      <c r="BC24" s="1531"/>
      <c r="BD24" s="1531"/>
      <c r="BE24" s="1537"/>
    </row>
    <row r="25" spans="1:58" ht="14.4">
      <c r="A25" s="1836"/>
      <c r="B25" s="2641">
        <v>0.8</v>
      </c>
      <c r="C25" s="2642"/>
      <c r="D25" s="2642"/>
      <c r="E25" s="2642"/>
      <c r="F25" s="2642"/>
      <c r="G25" s="2642"/>
      <c r="H25" s="2642"/>
      <c r="I25" s="2642"/>
      <c r="J25" s="2631">
        <f t="shared" si="1"/>
        <v>0</v>
      </c>
      <c r="K25" s="2632"/>
      <c r="L25" s="2632"/>
      <c r="M25" s="2632"/>
      <c r="N25" s="2632"/>
      <c r="O25" s="2633"/>
      <c r="P25" s="2635" cm="1">
        <f t="array" ref="P25">SUMPRODUCT((Application!$B$728:$B$752 = 'CalHFA Addendum'!P$18)*(Application!$AH$728:$AH$752 = 'CalHFA Addendum'!$B25),Application!$G$728:$G$752)</f>
        <v>0</v>
      </c>
      <c r="Q25" s="2636"/>
      <c r="R25" s="2636"/>
      <c r="S25" s="2636"/>
      <c r="T25" s="2636"/>
      <c r="U25" s="2637"/>
      <c r="V25" s="2635" cm="1">
        <f t="array" ref="V25">SUMPRODUCT((Application!$B$728:$B$752 = 'CalHFA Addendum'!V$18)*(Application!$AH$728:$AH$752 = 'CalHFA Addendum'!$B25),Application!$G$728:$G$752)</f>
        <v>0</v>
      </c>
      <c r="W25" s="2636"/>
      <c r="X25" s="2636"/>
      <c r="Y25" s="2636"/>
      <c r="Z25" s="2636"/>
      <c r="AA25" s="2637"/>
      <c r="AB25" s="2635" cm="1">
        <f t="array" ref="AB25">SUMPRODUCT((Application!$B$728:$B$752 = 'CalHFA Addendum'!AB$18)*(Application!$AH$728:$AH$752 = 'CalHFA Addendum'!$B25),Application!$G$728:$G$752)</f>
        <v>0</v>
      </c>
      <c r="AC25" s="2636"/>
      <c r="AD25" s="2636"/>
      <c r="AE25" s="2636"/>
      <c r="AF25" s="2636"/>
      <c r="AG25" s="2637"/>
      <c r="AH25" s="2635" cm="1">
        <f t="array" ref="AH25">SUMPRODUCT((Application!$B$728:$B$752 = 'CalHFA Addendum'!AH$18)*(Application!$AH$728:$AH$752 = 'CalHFA Addendum'!$B25),Application!$G$728:$G$752)</f>
        <v>0</v>
      </c>
      <c r="AI25" s="2636"/>
      <c r="AJ25" s="2636"/>
      <c r="AK25" s="2636"/>
      <c r="AL25" s="2636"/>
      <c r="AM25" s="2637"/>
      <c r="AN25" s="2635" cm="1">
        <f t="array" ref="AN25">SUMPRODUCT((Application!$B$728:$B$752 = 'CalHFA Addendum'!AN$18)*(Application!$AH$728:$AH$752 = 'CalHFA Addendum'!$B25),Application!$G$728:$G$752)</f>
        <v>0</v>
      </c>
      <c r="AO25" s="2636"/>
      <c r="AP25" s="2636"/>
      <c r="AQ25" s="2636"/>
      <c r="AR25" s="2636"/>
      <c r="AS25" s="2637"/>
      <c r="AT25" s="2638">
        <f t="shared" si="0"/>
        <v>0</v>
      </c>
      <c r="AU25" s="2639"/>
      <c r="AV25" s="2639"/>
      <c r="AW25" s="2639"/>
      <c r="AX25" s="2639"/>
      <c r="AY25" s="2640"/>
      <c r="AZ25" s="1531"/>
      <c r="BA25" s="1531"/>
      <c r="BB25" s="1531"/>
      <c r="BC25" s="1531"/>
      <c r="BD25" s="1531"/>
      <c r="BE25" s="1537"/>
    </row>
    <row r="26" spans="1:58" ht="14.4">
      <c r="A26" s="1836"/>
      <c r="B26" s="2641">
        <v>0.9</v>
      </c>
      <c r="C26" s="2642"/>
      <c r="D26" s="2642"/>
      <c r="E26" s="2642"/>
      <c r="F26" s="2642"/>
      <c r="G26" s="2642"/>
      <c r="H26" s="2642"/>
      <c r="I26" s="2642"/>
      <c r="J26" s="2631">
        <f t="shared" si="1"/>
        <v>0</v>
      </c>
      <c r="K26" s="2632"/>
      <c r="L26" s="2632"/>
      <c r="M26" s="2632"/>
      <c r="N26" s="2632"/>
      <c r="O26" s="2633"/>
      <c r="P26" s="2635" cm="1">
        <f t="array" ref="P26">SUMPRODUCT((Application!$B$728:$B$752 = 'CalHFA Addendum'!P$18)*(Application!$AH$728:$AH$752 = 'CalHFA Addendum'!$B26),Application!$G$728:$G$752)</f>
        <v>0</v>
      </c>
      <c r="Q26" s="2636"/>
      <c r="R26" s="2636"/>
      <c r="S26" s="2636"/>
      <c r="T26" s="2636"/>
      <c r="U26" s="2637"/>
      <c r="V26" s="2635" cm="1">
        <f t="array" ref="V26">SUMPRODUCT((Application!$B$728:$B$752 = 'CalHFA Addendum'!V$18)*(Application!$AH$728:$AH$752 = 'CalHFA Addendum'!$B26),Application!$G$728:$G$752)</f>
        <v>0</v>
      </c>
      <c r="W26" s="2636"/>
      <c r="X26" s="2636"/>
      <c r="Y26" s="2636"/>
      <c r="Z26" s="2636"/>
      <c r="AA26" s="2637"/>
      <c r="AB26" s="2635" cm="1">
        <f t="array" ref="AB26">SUMPRODUCT((Application!$B$728:$B$752 = 'CalHFA Addendum'!AB$18)*(Application!$AH$728:$AH$752 = 'CalHFA Addendum'!$B26),Application!$G$728:$G$752)</f>
        <v>0</v>
      </c>
      <c r="AC26" s="2636"/>
      <c r="AD26" s="2636"/>
      <c r="AE26" s="2636"/>
      <c r="AF26" s="2636"/>
      <c r="AG26" s="2637"/>
      <c r="AH26" s="2635" cm="1">
        <f t="array" ref="AH26">SUMPRODUCT((Application!$B$728:$B$752 = 'CalHFA Addendum'!AH$18)*(Application!$AH$728:$AH$752 = 'CalHFA Addendum'!$B26),Application!$G$728:$G$752)</f>
        <v>0</v>
      </c>
      <c r="AI26" s="2636"/>
      <c r="AJ26" s="2636"/>
      <c r="AK26" s="2636"/>
      <c r="AL26" s="2636"/>
      <c r="AM26" s="2637"/>
      <c r="AN26" s="2635" cm="1">
        <f t="array" ref="AN26">SUMPRODUCT((Application!$B$728:$B$752 = 'CalHFA Addendum'!AN$18)*(Application!$AH$728:$AH$752 = 'CalHFA Addendum'!$B26),Application!$G$728:$G$752)</f>
        <v>0</v>
      </c>
      <c r="AO26" s="2636"/>
      <c r="AP26" s="2636"/>
      <c r="AQ26" s="2636"/>
      <c r="AR26" s="2636"/>
      <c r="AS26" s="2637"/>
      <c r="AT26" s="2638">
        <f t="shared" si="0"/>
        <v>0</v>
      </c>
      <c r="AU26" s="2639"/>
      <c r="AV26" s="2639"/>
      <c r="AW26" s="2639"/>
      <c r="AX26" s="2639"/>
      <c r="AY26" s="2640"/>
      <c r="AZ26" s="1531"/>
      <c r="BA26" s="1531"/>
      <c r="BB26" s="1531"/>
      <c r="BC26" s="1531"/>
      <c r="BD26" s="1531"/>
      <c r="BE26" s="1537"/>
    </row>
    <row r="27" spans="1:58" ht="14.4">
      <c r="A27" s="1836"/>
      <c r="B27" s="2641">
        <v>1</v>
      </c>
      <c r="C27" s="2642"/>
      <c r="D27" s="2642"/>
      <c r="E27" s="2642"/>
      <c r="F27" s="2642"/>
      <c r="G27" s="2642"/>
      <c r="H27" s="2642"/>
      <c r="I27" s="2642"/>
      <c r="J27" s="2631">
        <f t="shared" si="1"/>
        <v>0</v>
      </c>
      <c r="K27" s="2632"/>
      <c r="L27" s="2632"/>
      <c r="M27" s="2632"/>
      <c r="N27" s="2632"/>
      <c r="O27" s="2633"/>
      <c r="P27" s="2635" cm="1">
        <f t="array" ref="P27">SUMPRODUCT((Application!$B$728:$B$752 = 'CalHFA Addendum'!P$18)*(Application!$AH$728:$AH$752 = 'CalHFA Addendum'!$B27),Application!$G$728:$G$752)</f>
        <v>0</v>
      </c>
      <c r="Q27" s="2636"/>
      <c r="R27" s="2636"/>
      <c r="S27" s="2636"/>
      <c r="T27" s="2636"/>
      <c r="U27" s="2637"/>
      <c r="V27" s="2635" cm="1">
        <f t="array" ref="V27">SUMPRODUCT((Application!$B$728:$B$752 = 'CalHFA Addendum'!V$18)*(Application!$AH$728:$AH$752 = 'CalHFA Addendum'!$B27),Application!$G$728:$G$752)</f>
        <v>0</v>
      </c>
      <c r="W27" s="2636"/>
      <c r="X27" s="2636"/>
      <c r="Y27" s="2636"/>
      <c r="Z27" s="2636"/>
      <c r="AA27" s="2637"/>
      <c r="AB27" s="2635" cm="1">
        <f t="array" ref="AB27">SUMPRODUCT((Application!$B$728:$B$752 = 'CalHFA Addendum'!AB$18)*(Application!$AH$728:$AH$752 = 'CalHFA Addendum'!$B27),Application!$G$728:$G$752)</f>
        <v>0</v>
      </c>
      <c r="AC27" s="2636"/>
      <c r="AD27" s="2636"/>
      <c r="AE27" s="2636"/>
      <c r="AF27" s="2636"/>
      <c r="AG27" s="2637"/>
      <c r="AH27" s="2635" cm="1">
        <f t="array" ref="AH27">SUMPRODUCT((Application!$B$728:$B$752 = 'CalHFA Addendum'!AH$18)*(Application!$AH$728:$AH$752 = 'CalHFA Addendum'!$B27),Application!$G$728:$G$752)</f>
        <v>0</v>
      </c>
      <c r="AI27" s="2636"/>
      <c r="AJ27" s="2636"/>
      <c r="AK27" s="2636"/>
      <c r="AL27" s="2636"/>
      <c r="AM27" s="2637"/>
      <c r="AN27" s="2635" cm="1">
        <f t="array" ref="AN27">SUMPRODUCT((Application!$B$728:$B$752 = 'CalHFA Addendum'!AN$18)*(Application!$AH$728:$AH$752 = 'CalHFA Addendum'!$B27),Application!$G$728:$G$752)</f>
        <v>0</v>
      </c>
      <c r="AO27" s="2636"/>
      <c r="AP27" s="2636"/>
      <c r="AQ27" s="2636"/>
      <c r="AR27" s="2636"/>
      <c r="AS27" s="2637"/>
      <c r="AT27" s="2638">
        <f t="shared" si="0"/>
        <v>0</v>
      </c>
      <c r="AU27" s="2639"/>
      <c r="AV27" s="2639"/>
      <c r="AW27" s="2639"/>
      <c r="AX27" s="2639"/>
      <c r="AY27" s="2640"/>
      <c r="AZ27" s="1531"/>
      <c r="BA27" s="1531"/>
      <c r="BB27" s="1531"/>
      <c r="BC27" s="1531"/>
      <c r="BD27" s="1531"/>
      <c r="BE27" s="1537"/>
      <c r="BF27" s="1704"/>
    </row>
    <row r="28" spans="1:58" ht="15" thickBot="1">
      <c r="A28" s="1836"/>
      <c r="B28" s="2653" t="s">
        <v>2065</v>
      </c>
      <c r="C28" s="2654"/>
      <c r="D28" s="2654"/>
      <c r="E28" s="2654"/>
      <c r="F28" s="2654"/>
      <c r="G28" s="2654"/>
      <c r="H28" s="2654"/>
      <c r="I28" s="2655"/>
      <c r="J28" s="2631">
        <f t="shared" ref="J28" si="2">SUM(P28:AS28)</f>
        <v>1</v>
      </c>
      <c r="K28" s="2632"/>
      <c r="L28" s="2632"/>
      <c r="M28" s="2632"/>
      <c r="N28" s="2632"/>
      <c r="O28" s="2633"/>
      <c r="P28" s="2643">
        <f>_xlfn.IFNA(VLOOKUP(P$18,Application!$J$772:$S$775,6,FALSE), 0)</f>
        <v>0</v>
      </c>
      <c r="Q28" s="2644"/>
      <c r="R28" s="2644"/>
      <c r="S28" s="2644"/>
      <c r="T28" s="2644"/>
      <c r="U28" s="2645"/>
      <c r="V28" s="2643">
        <f>_xlfn.IFNA(VLOOKUP(V$18,Application!$J$772:$S$775,6,FALSE), 0)</f>
        <v>0</v>
      </c>
      <c r="W28" s="2644"/>
      <c r="X28" s="2644"/>
      <c r="Y28" s="2644"/>
      <c r="Z28" s="2644"/>
      <c r="AA28" s="2645"/>
      <c r="AB28" s="2643">
        <f>_xlfn.IFNA(VLOOKUP(AB$18,Application!$J$772:$S$775,6,FALSE), 0)</f>
        <v>1</v>
      </c>
      <c r="AC28" s="2644"/>
      <c r="AD28" s="2644"/>
      <c r="AE28" s="2644"/>
      <c r="AF28" s="2644"/>
      <c r="AG28" s="2645"/>
      <c r="AH28" s="2643">
        <f>_xlfn.IFNA(VLOOKUP(AH$18,Application!$J$772:$S$775,6,FALSE), 0)</f>
        <v>0</v>
      </c>
      <c r="AI28" s="2644"/>
      <c r="AJ28" s="2644"/>
      <c r="AK28" s="2644"/>
      <c r="AL28" s="2644"/>
      <c r="AM28" s="2645"/>
      <c r="AN28" s="2643">
        <f>_xlfn.IFNA(VLOOKUP(AN$18,Application!$J$772:$S$775,6,FALSE), 0)</f>
        <v>0</v>
      </c>
      <c r="AO28" s="2644"/>
      <c r="AP28" s="2644"/>
      <c r="AQ28" s="2644"/>
      <c r="AR28" s="2644"/>
      <c r="AS28" s="2645"/>
      <c r="AT28" s="2638">
        <f t="shared" ref="AT28" si="3">J28/$J$29</f>
        <v>6.0975609756097563E-3</v>
      </c>
      <c r="AU28" s="2639"/>
      <c r="AV28" s="2639"/>
      <c r="AW28" s="2639"/>
      <c r="AX28" s="2639"/>
      <c r="AY28" s="2640"/>
      <c r="AZ28" s="1531"/>
      <c r="BA28" s="1531"/>
      <c r="BB28" s="1531"/>
      <c r="BC28" s="1531"/>
      <c r="BD28" s="1531"/>
      <c r="BE28" s="1537"/>
    </row>
    <row r="29" spans="1:58" ht="15" thickBot="1">
      <c r="A29" s="1836"/>
      <c r="B29" s="2646" t="s">
        <v>1893</v>
      </c>
      <c r="C29" s="2647"/>
      <c r="D29" s="2647"/>
      <c r="E29" s="2647"/>
      <c r="F29" s="2647"/>
      <c r="G29" s="2647"/>
      <c r="H29" s="2647"/>
      <c r="I29" s="2648"/>
      <c r="J29" s="2649">
        <f>SUM(J19:O28)</f>
        <v>164</v>
      </c>
      <c r="K29" s="2647"/>
      <c r="L29" s="2647"/>
      <c r="M29" s="2647"/>
      <c r="N29" s="2647"/>
      <c r="O29" s="2648"/>
      <c r="P29" s="2649">
        <f>SUM(P19:U28)</f>
        <v>0</v>
      </c>
      <c r="Q29" s="2647"/>
      <c r="R29" s="2647"/>
      <c r="S29" s="2647"/>
      <c r="T29" s="2647"/>
      <c r="U29" s="2648"/>
      <c r="V29" s="2649">
        <f>SUM(V19:AA28)</f>
        <v>64</v>
      </c>
      <c r="W29" s="2647"/>
      <c r="X29" s="2647"/>
      <c r="Y29" s="2647"/>
      <c r="Z29" s="2647"/>
      <c r="AA29" s="2648"/>
      <c r="AB29" s="2649">
        <f>SUM(AB19:AG28)</f>
        <v>58</v>
      </c>
      <c r="AC29" s="2647"/>
      <c r="AD29" s="2647"/>
      <c r="AE29" s="2647"/>
      <c r="AF29" s="2647"/>
      <c r="AG29" s="2648"/>
      <c r="AH29" s="2649">
        <f>SUM(AH19:AM28)</f>
        <v>42</v>
      </c>
      <c r="AI29" s="2647"/>
      <c r="AJ29" s="2647"/>
      <c r="AK29" s="2647"/>
      <c r="AL29" s="2647"/>
      <c r="AM29" s="2648"/>
      <c r="AN29" s="2649">
        <f>SUM(AN19:AS28)</f>
        <v>0</v>
      </c>
      <c r="AO29" s="2647"/>
      <c r="AP29" s="2647"/>
      <c r="AQ29" s="2647"/>
      <c r="AR29" s="2647"/>
      <c r="AS29" s="2648"/>
      <c r="AT29" s="2650">
        <f>J29/$J$29</f>
        <v>1</v>
      </c>
      <c r="AU29" s="2651"/>
      <c r="AV29" s="2651"/>
      <c r="AW29" s="2651"/>
      <c r="AX29" s="2651"/>
      <c r="AY29" s="2652"/>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56" t="s">
        <v>2066</v>
      </c>
      <c r="C31" s="2657"/>
      <c r="D31" s="2657"/>
      <c r="E31" s="2657"/>
      <c r="F31" s="2657"/>
      <c r="G31" s="2657"/>
      <c r="H31" s="2657"/>
      <c r="I31" s="2657"/>
      <c r="J31" s="2657"/>
      <c r="K31" s="2657"/>
      <c r="L31" s="2657"/>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2657"/>
      <c r="AO31" s="2657"/>
      <c r="AP31" s="2657"/>
      <c r="AQ31" s="2657"/>
      <c r="AR31" s="2657"/>
      <c r="AS31" s="2657"/>
      <c r="AT31" s="2657"/>
      <c r="AU31" s="2657"/>
      <c r="AV31" s="2657"/>
      <c r="AW31" s="2657"/>
      <c r="AX31" s="2657"/>
      <c r="AY31" s="2657"/>
      <c r="AZ31" s="2658"/>
      <c r="BA31" s="1531"/>
      <c r="BB31" s="1531"/>
      <c r="BC31" s="1531"/>
      <c r="BD31" s="1531"/>
      <c r="BE31" s="1537"/>
    </row>
    <row r="32" spans="1:58" ht="15" thickBot="1">
      <c r="A32" s="1836"/>
      <c r="B32" s="2659" t="s">
        <v>2067</v>
      </c>
      <c r="C32" s="2660"/>
      <c r="D32" s="2660"/>
      <c r="E32" s="2660"/>
      <c r="F32" s="2660"/>
      <c r="G32" s="2660"/>
      <c r="H32" s="2660"/>
      <c r="I32" s="2661"/>
      <c r="J32" s="2663" t="s">
        <v>2068</v>
      </c>
      <c r="K32" s="2664"/>
      <c r="L32" s="2664"/>
      <c r="M32" s="2665"/>
      <c r="N32" s="2663" t="s">
        <v>2069</v>
      </c>
      <c r="O32" s="2664"/>
      <c r="P32" s="2664"/>
      <c r="Q32" s="2664"/>
      <c r="R32" s="2667" t="s">
        <v>2070</v>
      </c>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2668"/>
      <c r="AT32" s="2668"/>
      <c r="AU32" s="2668"/>
      <c r="AV32" s="2668"/>
      <c r="AW32" s="2668"/>
      <c r="AX32" s="2668"/>
      <c r="AY32" s="2668"/>
      <c r="AZ32" s="2669"/>
      <c r="BA32" s="1531"/>
      <c r="BB32" s="1531"/>
      <c r="BC32" s="1531"/>
      <c r="BD32" s="1531"/>
      <c r="BE32" s="1537"/>
    </row>
    <row r="33" spans="1:58" ht="15" customHeight="1">
      <c r="A33" s="1836"/>
      <c r="B33" s="2662"/>
      <c r="C33" s="2660"/>
      <c r="D33" s="2660"/>
      <c r="E33" s="2660"/>
      <c r="F33" s="2660"/>
      <c r="G33" s="2660"/>
      <c r="H33" s="2660"/>
      <c r="I33" s="2661"/>
      <c r="J33" s="2666"/>
      <c r="K33" s="2664"/>
      <c r="L33" s="2664"/>
      <c r="M33" s="2665"/>
      <c r="N33" s="2666"/>
      <c r="O33" s="2664"/>
      <c r="P33" s="2664"/>
      <c r="Q33" s="2664"/>
      <c r="R33" s="2670" t="s">
        <v>2071</v>
      </c>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2671"/>
      <c r="AT33" s="2671"/>
      <c r="AU33" s="2671"/>
      <c r="AV33" s="2671"/>
      <c r="AW33" s="2671"/>
      <c r="AX33" s="2671"/>
      <c r="AY33" s="2671"/>
      <c r="AZ33" s="2672"/>
      <c r="BA33" s="1538"/>
      <c r="BB33" s="1531"/>
      <c r="BC33" s="1531"/>
      <c r="BD33" s="1531"/>
      <c r="BE33" s="1537"/>
    </row>
    <row r="34" spans="1:58" ht="15.75" customHeight="1" thickBot="1">
      <c r="A34" s="1836"/>
      <c r="B34" s="2662"/>
      <c r="C34" s="2660"/>
      <c r="D34" s="2660"/>
      <c r="E34" s="2660"/>
      <c r="F34" s="2660"/>
      <c r="G34" s="2660"/>
      <c r="H34" s="2660"/>
      <c r="I34" s="2661"/>
      <c r="J34" s="2666"/>
      <c r="K34" s="2664"/>
      <c r="L34" s="2664"/>
      <c r="M34" s="2665"/>
      <c r="N34" s="2666"/>
      <c r="O34" s="2664"/>
      <c r="P34" s="2664"/>
      <c r="Q34" s="2664"/>
      <c r="R34" s="2673"/>
      <c r="S34" s="2674"/>
      <c r="T34" s="2674"/>
      <c r="U34" s="2674"/>
      <c r="V34" s="2674"/>
      <c r="W34" s="2674"/>
      <c r="X34" s="2674"/>
      <c r="Y34" s="2674"/>
      <c r="Z34" s="2674"/>
      <c r="AA34" s="2674"/>
      <c r="AB34" s="2674"/>
      <c r="AC34" s="2674"/>
      <c r="AD34" s="2674"/>
      <c r="AE34" s="2674"/>
      <c r="AF34" s="2674"/>
      <c r="AG34" s="2674"/>
      <c r="AH34" s="2674"/>
      <c r="AI34" s="2674"/>
      <c r="AJ34" s="2674"/>
      <c r="AK34" s="2674"/>
      <c r="AL34" s="2674"/>
      <c r="AM34" s="2674"/>
      <c r="AN34" s="2674"/>
      <c r="AO34" s="2674"/>
      <c r="AP34" s="2674"/>
      <c r="AQ34" s="2674"/>
      <c r="AR34" s="2674"/>
      <c r="AS34" s="2674"/>
      <c r="AT34" s="2674"/>
      <c r="AU34" s="2674"/>
      <c r="AV34" s="2674"/>
      <c r="AW34" s="2674"/>
      <c r="AX34" s="2674"/>
      <c r="AY34" s="2674"/>
      <c r="AZ34" s="2675"/>
      <c r="BA34" s="1538"/>
      <c r="BB34" s="1531"/>
      <c r="BC34" s="1531"/>
      <c r="BD34" s="1531"/>
      <c r="BE34" s="1537"/>
    </row>
    <row r="35" spans="1:58" ht="15.75" customHeight="1" thickBot="1">
      <c r="A35" s="1836"/>
      <c r="B35" s="2662"/>
      <c r="C35" s="2660"/>
      <c r="D35" s="2660"/>
      <c r="E35" s="2660"/>
      <c r="F35" s="2660"/>
      <c r="G35" s="2660"/>
      <c r="H35" s="2660"/>
      <c r="I35" s="2661"/>
      <c r="J35" s="2666"/>
      <c r="K35" s="2664"/>
      <c r="L35" s="2664"/>
      <c r="M35" s="2665"/>
      <c r="N35" s="2666"/>
      <c r="O35" s="2664"/>
      <c r="P35" s="2664"/>
      <c r="Q35" s="2664"/>
      <c r="R35" s="2676">
        <v>0.5</v>
      </c>
      <c r="S35" s="2677"/>
      <c r="T35" s="2677"/>
      <c r="U35" s="2678"/>
      <c r="V35" s="2676">
        <v>0.6</v>
      </c>
      <c r="W35" s="2677"/>
      <c r="X35" s="2677"/>
      <c r="Y35" s="2678"/>
      <c r="Z35" s="2676">
        <v>0.7</v>
      </c>
      <c r="AA35" s="2677"/>
      <c r="AB35" s="2677"/>
      <c r="AC35" s="2678"/>
      <c r="AD35" s="2676">
        <v>0.8</v>
      </c>
      <c r="AE35" s="2677"/>
      <c r="AF35" s="2677"/>
      <c r="AG35" s="2678"/>
      <c r="AH35" s="2676">
        <v>1</v>
      </c>
      <c r="AI35" s="2677"/>
      <c r="AJ35" s="2677"/>
      <c r="AK35" s="2678"/>
      <c r="AL35" s="2676">
        <v>1.2</v>
      </c>
      <c r="AM35" s="2677"/>
      <c r="AN35" s="2678"/>
      <c r="AO35" s="2688" t="s">
        <v>2072</v>
      </c>
      <c r="AP35" s="2689"/>
      <c r="AQ35" s="2689"/>
      <c r="AR35" s="2689"/>
      <c r="AS35" s="2689"/>
      <c r="AT35" s="2690"/>
      <c r="AU35" s="2688" t="s">
        <v>2073</v>
      </c>
      <c r="AV35" s="2689"/>
      <c r="AW35" s="2689"/>
      <c r="AX35" s="2689"/>
      <c r="AY35" s="2689"/>
      <c r="AZ35" s="2690"/>
      <c r="BA35" s="1538"/>
      <c r="BB35" s="1531"/>
      <c r="BC35" s="1531"/>
      <c r="BD35" s="1531"/>
      <c r="BE35" s="1537"/>
      <c r="BF35" s="1529"/>
    </row>
    <row r="36" spans="1:58" ht="15.75" customHeight="1">
      <c r="A36" s="1836"/>
      <c r="B36" s="2691" t="s">
        <v>2074</v>
      </c>
      <c r="C36" s="2692"/>
      <c r="D36" s="2692"/>
      <c r="E36" s="2692"/>
      <c r="F36" s="2692"/>
      <c r="G36" s="2692"/>
      <c r="H36" s="2692"/>
      <c r="I36" s="2693"/>
      <c r="J36" s="2694" t="s">
        <v>2075</v>
      </c>
      <c r="K36" s="2695"/>
      <c r="L36" s="2695"/>
      <c r="M36" s="2696"/>
      <c r="N36" s="2697">
        <v>55</v>
      </c>
      <c r="O36" s="2698"/>
      <c r="P36" s="2698"/>
      <c r="Q36" s="2699"/>
      <c r="R36" s="2700">
        <v>10</v>
      </c>
      <c r="S36" s="2700"/>
      <c r="T36" s="2700"/>
      <c r="U36" s="2700"/>
      <c r="V36" s="2700">
        <v>30</v>
      </c>
      <c r="W36" s="2700"/>
      <c r="X36" s="2700"/>
      <c r="Y36" s="2700"/>
      <c r="Z36" s="2700"/>
      <c r="AA36" s="2700"/>
      <c r="AB36" s="2700"/>
      <c r="AC36" s="2700"/>
      <c r="AD36" s="2700">
        <v>59</v>
      </c>
      <c r="AE36" s="2700"/>
      <c r="AF36" s="2700"/>
      <c r="AG36" s="2700"/>
      <c r="AH36" s="2703"/>
      <c r="AI36" s="2703"/>
      <c r="AJ36" s="2703"/>
      <c r="AK36" s="2703"/>
      <c r="AL36" s="2703"/>
      <c r="AM36" s="2703"/>
      <c r="AN36" s="2703"/>
      <c r="AO36" s="2701">
        <f>SUM(R36:AN36)</f>
        <v>99</v>
      </c>
      <c r="AP36" s="2701"/>
      <c r="AQ36" s="2701"/>
      <c r="AR36" s="2701"/>
      <c r="AS36" s="2701"/>
      <c r="AT36" s="2701"/>
      <c r="AU36" s="2702">
        <f>AO36/$J$29</f>
        <v>0.60365853658536583</v>
      </c>
      <c r="AV36" s="2702"/>
      <c r="AW36" s="2702"/>
      <c r="AX36" s="2702"/>
      <c r="AY36" s="2702"/>
      <c r="AZ36" s="2702"/>
      <c r="BA36" s="1531"/>
      <c r="BB36" s="1531"/>
      <c r="BC36" s="1531"/>
      <c r="BD36" s="1531"/>
      <c r="BE36" s="1537"/>
      <c r="BF36" s="1529"/>
    </row>
    <row r="37" spans="1:58" ht="15.75" customHeight="1">
      <c r="A37" s="1836"/>
      <c r="B37" s="2679" t="s">
        <v>2076</v>
      </c>
      <c r="C37" s="2680"/>
      <c r="D37" s="2680"/>
      <c r="E37" s="2680"/>
      <c r="F37" s="2680"/>
      <c r="G37" s="2680"/>
      <c r="H37" s="2680"/>
      <c r="I37" s="2681"/>
      <c r="J37" s="2682" t="s">
        <v>2077</v>
      </c>
      <c r="K37" s="2683"/>
      <c r="L37" s="2683"/>
      <c r="M37" s="2684"/>
      <c r="N37" s="2685">
        <v>55</v>
      </c>
      <c r="O37" s="2683"/>
      <c r="P37" s="2683"/>
      <c r="Q37" s="2686"/>
      <c r="R37" s="2687"/>
      <c r="S37" s="2687"/>
      <c r="T37" s="2687"/>
      <c r="U37" s="2687"/>
      <c r="V37" s="2687"/>
      <c r="W37" s="2687"/>
      <c r="X37" s="2687"/>
      <c r="Y37" s="2687"/>
      <c r="Z37" s="2687"/>
      <c r="AA37" s="2687"/>
      <c r="AB37" s="2687"/>
      <c r="AC37" s="2687"/>
      <c r="AD37" s="2687"/>
      <c r="AE37" s="2687"/>
      <c r="AF37" s="2687"/>
      <c r="AG37" s="2687"/>
      <c r="AH37" s="2687"/>
      <c r="AI37" s="2687"/>
      <c r="AJ37" s="2687"/>
      <c r="AK37" s="2687"/>
      <c r="AL37" s="2687"/>
      <c r="AM37" s="2687"/>
      <c r="AN37" s="2687"/>
      <c r="AO37" s="2701">
        <f t="shared" ref="AO37:AO47" si="4">SUM(R37:AN37)</f>
        <v>0</v>
      </c>
      <c r="AP37" s="2701"/>
      <c r="AQ37" s="2701"/>
      <c r="AR37" s="2701"/>
      <c r="AS37" s="2701"/>
      <c r="AT37" s="2701"/>
      <c r="AU37" s="2702">
        <f t="shared" ref="AU37:AU47" si="5">AO37/$J$29</f>
        <v>0</v>
      </c>
      <c r="AV37" s="2702"/>
      <c r="AW37" s="2702"/>
      <c r="AX37" s="2702"/>
      <c r="AY37" s="2702"/>
      <c r="AZ37" s="2702"/>
      <c r="BA37" s="1531"/>
      <c r="BB37" s="1531"/>
      <c r="BC37" s="1531"/>
      <c r="BD37" s="1531"/>
      <c r="BE37" s="1537"/>
      <c r="BF37" s="1529"/>
    </row>
    <row r="38" spans="1:58" ht="15.75" customHeight="1">
      <c r="A38" s="1836"/>
      <c r="B38" s="2679" t="s">
        <v>2078</v>
      </c>
      <c r="C38" s="2680"/>
      <c r="D38" s="2680"/>
      <c r="E38" s="2680"/>
      <c r="F38" s="2680"/>
      <c r="G38" s="2680"/>
      <c r="H38" s="2680"/>
      <c r="I38" s="2681"/>
      <c r="J38" s="2682" t="s">
        <v>2079</v>
      </c>
      <c r="K38" s="2683"/>
      <c r="L38" s="2683"/>
      <c r="M38" s="2684"/>
      <c r="N38" s="2685">
        <v>55</v>
      </c>
      <c r="O38" s="2683"/>
      <c r="P38" s="2683"/>
      <c r="Q38" s="2686"/>
      <c r="R38" s="2687"/>
      <c r="S38" s="2687"/>
      <c r="T38" s="2687"/>
      <c r="U38" s="2687"/>
      <c r="V38" s="2687"/>
      <c r="W38" s="2687"/>
      <c r="X38" s="2687"/>
      <c r="Y38" s="2687"/>
      <c r="Z38" s="2687"/>
      <c r="AA38" s="2687"/>
      <c r="AB38" s="2687"/>
      <c r="AC38" s="2687"/>
      <c r="AD38" s="2687"/>
      <c r="AE38" s="2687"/>
      <c r="AF38" s="2687"/>
      <c r="AG38" s="2687"/>
      <c r="AH38" s="2687"/>
      <c r="AI38" s="2687"/>
      <c r="AJ38" s="2687"/>
      <c r="AK38" s="2687"/>
      <c r="AL38" s="2687"/>
      <c r="AM38" s="2687"/>
      <c r="AN38" s="2687"/>
      <c r="AO38" s="2701">
        <f t="shared" si="4"/>
        <v>0</v>
      </c>
      <c r="AP38" s="2701"/>
      <c r="AQ38" s="2701"/>
      <c r="AR38" s="2701"/>
      <c r="AS38" s="2701"/>
      <c r="AT38" s="2701"/>
      <c r="AU38" s="2702">
        <f t="shared" si="5"/>
        <v>0</v>
      </c>
      <c r="AV38" s="2702"/>
      <c r="AW38" s="2702"/>
      <c r="AX38" s="2702"/>
      <c r="AY38" s="2702"/>
      <c r="AZ38" s="2702"/>
      <c r="BA38" s="1531"/>
      <c r="BB38" s="1531"/>
      <c r="BC38" s="1531"/>
      <c r="BD38" s="1531"/>
      <c r="BE38" s="1537"/>
      <c r="BF38" s="1529"/>
    </row>
    <row r="39" spans="1:58" ht="15.75" customHeight="1">
      <c r="A39" s="1836"/>
      <c r="B39" s="2679" t="s">
        <v>2080</v>
      </c>
      <c r="C39" s="2680"/>
      <c r="D39" s="2680"/>
      <c r="E39" s="2680"/>
      <c r="F39" s="2680"/>
      <c r="G39" s="2680"/>
      <c r="H39" s="2680"/>
      <c r="I39" s="2681"/>
      <c r="J39" s="2704"/>
      <c r="K39" s="2705"/>
      <c r="L39" s="2705"/>
      <c r="M39" s="2706"/>
      <c r="N39" s="2707"/>
      <c r="O39" s="2705"/>
      <c r="P39" s="2705"/>
      <c r="Q39" s="2708"/>
      <c r="R39" s="2687"/>
      <c r="S39" s="2687"/>
      <c r="T39" s="2687"/>
      <c r="U39" s="2687"/>
      <c r="V39" s="2687"/>
      <c r="W39" s="2687"/>
      <c r="X39" s="2687"/>
      <c r="Y39" s="2687"/>
      <c r="Z39" s="2687"/>
      <c r="AA39" s="2687"/>
      <c r="AB39" s="2687"/>
      <c r="AC39" s="2687"/>
      <c r="AD39" s="2687"/>
      <c r="AE39" s="2687"/>
      <c r="AF39" s="2687"/>
      <c r="AG39" s="2687"/>
      <c r="AH39" s="2687"/>
      <c r="AI39" s="2687"/>
      <c r="AJ39" s="2687"/>
      <c r="AK39" s="2687"/>
      <c r="AL39" s="2687"/>
      <c r="AM39" s="2687"/>
      <c r="AN39" s="2687"/>
      <c r="AO39" s="2701">
        <f t="shared" si="4"/>
        <v>0</v>
      </c>
      <c r="AP39" s="2701"/>
      <c r="AQ39" s="2701"/>
      <c r="AR39" s="2701"/>
      <c r="AS39" s="2701"/>
      <c r="AT39" s="2701"/>
      <c r="AU39" s="2702">
        <f t="shared" si="5"/>
        <v>0</v>
      </c>
      <c r="AV39" s="2702"/>
      <c r="AW39" s="2702"/>
      <c r="AX39" s="2702"/>
      <c r="AY39" s="2702"/>
      <c r="AZ39" s="2702"/>
      <c r="BA39" s="1531"/>
      <c r="BB39" s="1531"/>
      <c r="BC39" s="1531"/>
      <c r="BD39" s="1531"/>
      <c r="BE39" s="1537"/>
    </row>
    <row r="40" spans="1:58" ht="15.75" customHeight="1">
      <c r="A40" s="1836"/>
      <c r="B40" s="2679" t="s">
        <v>2080</v>
      </c>
      <c r="C40" s="2680"/>
      <c r="D40" s="2680"/>
      <c r="E40" s="2680"/>
      <c r="F40" s="2680"/>
      <c r="G40" s="2680"/>
      <c r="H40" s="2680"/>
      <c r="I40" s="2681"/>
      <c r="J40" s="2704"/>
      <c r="K40" s="2705"/>
      <c r="L40" s="2705"/>
      <c r="M40" s="2706"/>
      <c r="N40" s="2707"/>
      <c r="O40" s="2705"/>
      <c r="P40" s="2705"/>
      <c r="Q40" s="2708"/>
      <c r="R40" s="2687"/>
      <c r="S40" s="2687"/>
      <c r="T40" s="2687"/>
      <c r="U40" s="2687"/>
      <c r="V40" s="2687"/>
      <c r="W40" s="2687"/>
      <c r="X40" s="2687"/>
      <c r="Y40" s="2687"/>
      <c r="Z40" s="2687"/>
      <c r="AA40" s="2687"/>
      <c r="AB40" s="2687"/>
      <c r="AC40" s="2687"/>
      <c r="AD40" s="2687"/>
      <c r="AE40" s="2687"/>
      <c r="AF40" s="2687"/>
      <c r="AG40" s="2687"/>
      <c r="AH40" s="2687"/>
      <c r="AI40" s="2687"/>
      <c r="AJ40" s="2687"/>
      <c r="AK40" s="2687"/>
      <c r="AL40" s="2687"/>
      <c r="AM40" s="2687"/>
      <c r="AN40" s="2687"/>
      <c r="AO40" s="2701">
        <f t="shared" si="4"/>
        <v>0</v>
      </c>
      <c r="AP40" s="2701"/>
      <c r="AQ40" s="2701"/>
      <c r="AR40" s="2701"/>
      <c r="AS40" s="2701"/>
      <c r="AT40" s="2701"/>
      <c r="AU40" s="2702">
        <f t="shared" si="5"/>
        <v>0</v>
      </c>
      <c r="AV40" s="2702"/>
      <c r="AW40" s="2702"/>
      <c r="AX40" s="2702"/>
      <c r="AY40" s="2702"/>
      <c r="AZ40" s="2702"/>
      <c r="BA40" s="1531"/>
      <c r="BB40" s="1531"/>
      <c r="BC40" s="1531"/>
      <c r="BD40" s="1531"/>
      <c r="BE40" s="1537"/>
    </row>
    <row r="41" spans="1:58" ht="15.75" customHeight="1">
      <c r="A41" s="1836"/>
      <c r="B41" s="2709" t="s">
        <v>2081</v>
      </c>
      <c r="C41" s="2710"/>
      <c r="D41" s="2710"/>
      <c r="E41" s="2710"/>
      <c r="F41" s="2710"/>
      <c r="G41" s="2710"/>
      <c r="H41" s="2710"/>
      <c r="I41" s="2711"/>
      <c r="J41" s="2704"/>
      <c r="K41" s="2705"/>
      <c r="L41" s="2705"/>
      <c r="M41" s="2706"/>
      <c r="N41" s="2707"/>
      <c r="O41" s="2705"/>
      <c r="P41" s="2705"/>
      <c r="Q41" s="2708"/>
      <c r="R41" s="2687"/>
      <c r="S41" s="2687"/>
      <c r="T41" s="2687"/>
      <c r="U41" s="2687"/>
      <c r="V41" s="2687"/>
      <c r="W41" s="2687"/>
      <c r="X41" s="2687"/>
      <c r="Y41" s="2687"/>
      <c r="Z41" s="2687"/>
      <c r="AA41" s="2687"/>
      <c r="AB41" s="2687"/>
      <c r="AC41" s="2687"/>
      <c r="AD41" s="2687"/>
      <c r="AE41" s="2687"/>
      <c r="AF41" s="2687"/>
      <c r="AG41" s="2687"/>
      <c r="AH41" s="2687"/>
      <c r="AI41" s="2687"/>
      <c r="AJ41" s="2687"/>
      <c r="AK41" s="2687"/>
      <c r="AL41" s="2687"/>
      <c r="AM41" s="2687"/>
      <c r="AN41" s="2687"/>
      <c r="AO41" s="2701">
        <f t="shared" si="4"/>
        <v>0</v>
      </c>
      <c r="AP41" s="2701"/>
      <c r="AQ41" s="2701"/>
      <c r="AR41" s="2701"/>
      <c r="AS41" s="2701"/>
      <c r="AT41" s="2701"/>
      <c r="AU41" s="2702">
        <f t="shared" si="5"/>
        <v>0</v>
      </c>
      <c r="AV41" s="2702"/>
      <c r="AW41" s="2702"/>
      <c r="AX41" s="2702"/>
      <c r="AY41" s="2702"/>
      <c r="AZ41" s="2702"/>
      <c r="BA41" s="1531"/>
      <c r="BB41" s="1531"/>
      <c r="BC41" s="1531"/>
      <c r="BD41" s="1531"/>
      <c r="BE41" s="1537"/>
    </row>
    <row r="42" spans="1:58" ht="15.75" customHeight="1">
      <c r="A42" s="1836"/>
      <c r="B42" s="2709" t="s">
        <v>2081</v>
      </c>
      <c r="C42" s="2710"/>
      <c r="D42" s="2710"/>
      <c r="E42" s="2710"/>
      <c r="F42" s="2710"/>
      <c r="G42" s="2710"/>
      <c r="H42" s="2710"/>
      <c r="I42" s="2711"/>
      <c r="J42" s="2704"/>
      <c r="K42" s="2705"/>
      <c r="L42" s="2705"/>
      <c r="M42" s="2706"/>
      <c r="N42" s="2707"/>
      <c r="O42" s="2705"/>
      <c r="P42" s="2705"/>
      <c r="Q42" s="2708"/>
      <c r="R42" s="2687"/>
      <c r="S42" s="2687"/>
      <c r="T42" s="2687"/>
      <c r="U42" s="2687"/>
      <c r="V42" s="2687"/>
      <c r="W42" s="2687"/>
      <c r="X42" s="2687"/>
      <c r="Y42" s="2687"/>
      <c r="Z42" s="2687"/>
      <c r="AA42" s="2687"/>
      <c r="AB42" s="2687"/>
      <c r="AC42" s="2687"/>
      <c r="AD42" s="2687"/>
      <c r="AE42" s="2687"/>
      <c r="AF42" s="2687"/>
      <c r="AG42" s="2687"/>
      <c r="AH42" s="2687"/>
      <c r="AI42" s="2687"/>
      <c r="AJ42" s="2687"/>
      <c r="AK42" s="2687"/>
      <c r="AL42" s="2687"/>
      <c r="AM42" s="2687"/>
      <c r="AN42" s="2687"/>
      <c r="AO42" s="2701">
        <f t="shared" si="4"/>
        <v>0</v>
      </c>
      <c r="AP42" s="2701"/>
      <c r="AQ42" s="2701"/>
      <c r="AR42" s="2701"/>
      <c r="AS42" s="2701"/>
      <c r="AT42" s="2701"/>
      <c r="AU42" s="2702">
        <f t="shared" si="5"/>
        <v>0</v>
      </c>
      <c r="AV42" s="2702"/>
      <c r="AW42" s="2702"/>
      <c r="AX42" s="2702"/>
      <c r="AY42" s="2702"/>
      <c r="AZ42" s="2702"/>
      <c r="BA42" s="1531"/>
      <c r="BB42" s="1531"/>
      <c r="BC42" s="1531"/>
      <c r="BD42" s="1531"/>
      <c r="BE42" s="1537"/>
    </row>
    <row r="43" spans="1:58" ht="15.75" customHeight="1">
      <c r="A43" s="1836"/>
      <c r="B43" s="2712" t="s">
        <v>2082</v>
      </c>
      <c r="C43" s="2713"/>
      <c r="D43" s="2713"/>
      <c r="E43" s="2713"/>
      <c r="F43" s="2713"/>
      <c r="G43" s="2713"/>
      <c r="H43" s="2713"/>
      <c r="I43" s="2714"/>
      <c r="J43" s="2704"/>
      <c r="K43" s="2705"/>
      <c r="L43" s="2705"/>
      <c r="M43" s="2706"/>
      <c r="N43" s="2707"/>
      <c r="O43" s="2705"/>
      <c r="P43" s="2705"/>
      <c r="Q43" s="2708"/>
      <c r="R43" s="2687"/>
      <c r="S43" s="2687"/>
      <c r="T43" s="2687"/>
      <c r="U43" s="2687"/>
      <c r="V43" s="2687"/>
      <c r="W43" s="2687"/>
      <c r="X43" s="2687"/>
      <c r="Y43" s="2687"/>
      <c r="Z43" s="2687"/>
      <c r="AA43" s="2687"/>
      <c r="AB43" s="2687"/>
      <c r="AC43" s="2687"/>
      <c r="AD43" s="2687"/>
      <c r="AE43" s="2687"/>
      <c r="AF43" s="2687"/>
      <c r="AG43" s="2687"/>
      <c r="AH43" s="2687"/>
      <c r="AI43" s="2687"/>
      <c r="AJ43" s="2687"/>
      <c r="AK43" s="2687"/>
      <c r="AL43" s="2687"/>
      <c r="AM43" s="2687"/>
      <c r="AN43" s="2687"/>
      <c r="AO43" s="2701">
        <f t="shared" si="4"/>
        <v>0</v>
      </c>
      <c r="AP43" s="2701"/>
      <c r="AQ43" s="2701"/>
      <c r="AR43" s="2701"/>
      <c r="AS43" s="2701"/>
      <c r="AT43" s="2701"/>
      <c r="AU43" s="2702">
        <f t="shared" si="5"/>
        <v>0</v>
      </c>
      <c r="AV43" s="2702"/>
      <c r="AW43" s="2702"/>
      <c r="AX43" s="2702"/>
      <c r="AY43" s="2702"/>
      <c r="AZ43" s="2702"/>
      <c r="BA43" s="1531"/>
      <c r="BB43" s="1531"/>
      <c r="BC43" s="1531"/>
      <c r="BD43" s="1531"/>
      <c r="BE43" s="1537"/>
    </row>
    <row r="44" spans="1:58" ht="15.75" customHeight="1">
      <c r="A44" s="1836"/>
      <c r="B44" s="2712" t="s">
        <v>2083</v>
      </c>
      <c r="C44" s="2713"/>
      <c r="D44" s="2713"/>
      <c r="E44" s="2713"/>
      <c r="F44" s="2713"/>
      <c r="G44" s="2713"/>
      <c r="H44" s="2713"/>
      <c r="I44" s="2714"/>
      <c r="J44" s="2704"/>
      <c r="K44" s="2705"/>
      <c r="L44" s="2705"/>
      <c r="M44" s="2706"/>
      <c r="N44" s="2707"/>
      <c r="O44" s="2705"/>
      <c r="P44" s="2705"/>
      <c r="Q44" s="2708"/>
      <c r="R44" s="2687"/>
      <c r="S44" s="2687"/>
      <c r="T44" s="2687"/>
      <c r="U44" s="2687"/>
      <c r="V44" s="2687"/>
      <c r="W44" s="2687"/>
      <c r="X44" s="2687"/>
      <c r="Y44" s="2687"/>
      <c r="Z44" s="2687"/>
      <c r="AA44" s="2687"/>
      <c r="AB44" s="2687"/>
      <c r="AC44" s="2687"/>
      <c r="AD44" s="2687"/>
      <c r="AE44" s="2687"/>
      <c r="AF44" s="2687"/>
      <c r="AG44" s="2687"/>
      <c r="AH44" s="2687"/>
      <c r="AI44" s="2687"/>
      <c r="AJ44" s="2687"/>
      <c r="AK44" s="2687"/>
      <c r="AL44" s="2687"/>
      <c r="AM44" s="2687"/>
      <c r="AN44" s="2687"/>
      <c r="AO44" s="2701">
        <f t="shared" si="4"/>
        <v>0</v>
      </c>
      <c r="AP44" s="2701"/>
      <c r="AQ44" s="2701"/>
      <c r="AR44" s="2701"/>
      <c r="AS44" s="2701"/>
      <c r="AT44" s="2701"/>
      <c r="AU44" s="2702">
        <f t="shared" si="5"/>
        <v>0</v>
      </c>
      <c r="AV44" s="2702"/>
      <c r="AW44" s="2702"/>
      <c r="AX44" s="2702"/>
      <c r="AY44" s="2702"/>
      <c r="AZ44" s="2702"/>
      <c r="BA44" s="1531"/>
      <c r="BB44" s="1531"/>
      <c r="BC44" s="1531"/>
      <c r="BD44" s="1531"/>
      <c r="BE44" s="1537"/>
    </row>
    <row r="45" spans="1:58" ht="15.75" customHeight="1">
      <c r="A45" s="1836"/>
      <c r="B45" s="2715" t="s">
        <v>2084</v>
      </c>
      <c r="C45" s="2716"/>
      <c r="D45" s="2716"/>
      <c r="E45" s="2716"/>
      <c r="F45" s="2716"/>
      <c r="G45" s="2716"/>
      <c r="H45" s="2716"/>
      <c r="I45" s="2717"/>
      <c r="J45" s="2704"/>
      <c r="K45" s="2705"/>
      <c r="L45" s="2705"/>
      <c r="M45" s="2706"/>
      <c r="N45" s="2707"/>
      <c r="O45" s="2705"/>
      <c r="P45" s="2705"/>
      <c r="Q45" s="2708"/>
      <c r="R45" s="2687"/>
      <c r="S45" s="2687"/>
      <c r="T45" s="2687"/>
      <c r="U45" s="2687"/>
      <c r="V45" s="2687"/>
      <c r="W45" s="2687"/>
      <c r="X45" s="2687"/>
      <c r="Y45" s="2687"/>
      <c r="Z45" s="2687"/>
      <c r="AA45" s="2687"/>
      <c r="AB45" s="2687"/>
      <c r="AC45" s="2687"/>
      <c r="AD45" s="2687"/>
      <c r="AE45" s="2687"/>
      <c r="AF45" s="2687"/>
      <c r="AG45" s="2687"/>
      <c r="AH45" s="2687"/>
      <c r="AI45" s="2687"/>
      <c r="AJ45" s="2687"/>
      <c r="AK45" s="2687"/>
      <c r="AL45" s="2687"/>
      <c r="AM45" s="2687"/>
      <c r="AN45" s="2687"/>
      <c r="AO45" s="2701">
        <f t="shared" si="4"/>
        <v>0</v>
      </c>
      <c r="AP45" s="2701"/>
      <c r="AQ45" s="2701"/>
      <c r="AR45" s="2701"/>
      <c r="AS45" s="2701"/>
      <c r="AT45" s="2701"/>
      <c r="AU45" s="2702">
        <f t="shared" si="5"/>
        <v>0</v>
      </c>
      <c r="AV45" s="2702"/>
      <c r="AW45" s="2702"/>
      <c r="AX45" s="2702"/>
      <c r="AY45" s="2702"/>
      <c r="AZ45" s="2702"/>
      <c r="BA45" s="1531"/>
      <c r="BB45" s="1531"/>
      <c r="BC45" s="1531"/>
      <c r="BD45" s="1531"/>
      <c r="BE45" s="1537"/>
    </row>
    <row r="46" spans="1:58" ht="15.75" customHeight="1">
      <c r="A46" s="1836"/>
      <c r="B46" s="2715" t="s">
        <v>2085</v>
      </c>
      <c r="C46" s="2716"/>
      <c r="D46" s="2716"/>
      <c r="E46" s="2716"/>
      <c r="F46" s="2716"/>
      <c r="G46" s="2716"/>
      <c r="H46" s="2716"/>
      <c r="I46" s="2717"/>
      <c r="J46" s="2704"/>
      <c r="K46" s="2705"/>
      <c r="L46" s="2705"/>
      <c r="M46" s="2706"/>
      <c r="N46" s="2685">
        <v>99</v>
      </c>
      <c r="O46" s="2683"/>
      <c r="P46" s="2683"/>
      <c r="Q46" s="2686"/>
      <c r="R46" s="2687"/>
      <c r="S46" s="2687"/>
      <c r="T46" s="2687"/>
      <c r="U46" s="2687"/>
      <c r="V46" s="2687"/>
      <c r="W46" s="2687"/>
      <c r="X46" s="2687"/>
      <c r="Y46" s="2687"/>
      <c r="Z46" s="2687"/>
      <c r="AA46" s="2687"/>
      <c r="AB46" s="2687"/>
      <c r="AC46" s="2687"/>
      <c r="AD46" s="2687"/>
      <c r="AE46" s="2687"/>
      <c r="AF46" s="2687"/>
      <c r="AG46" s="2687"/>
      <c r="AH46" s="2687"/>
      <c r="AI46" s="2687"/>
      <c r="AJ46" s="2687"/>
      <c r="AK46" s="2687"/>
      <c r="AL46" s="2687"/>
      <c r="AM46" s="2687"/>
      <c r="AN46" s="2687"/>
      <c r="AO46" s="2701">
        <f t="shared" si="4"/>
        <v>0</v>
      </c>
      <c r="AP46" s="2701"/>
      <c r="AQ46" s="2701"/>
      <c r="AR46" s="2701"/>
      <c r="AS46" s="2701"/>
      <c r="AT46" s="2701"/>
      <c r="AU46" s="2702">
        <f t="shared" si="5"/>
        <v>0</v>
      </c>
      <c r="AV46" s="2702"/>
      <c r="AW46" s="2702"/>
      <c r="AX46" s="2702"/>
      <c r="AY46" s="2702"/>
      <c r="AZ46" s="2702"/>
      <c r="BA46" s="1531"/>
      <c r="BB46" s="1531"/>
      <c r="BC46" s="1531"/>
      <c r="BD46" s="1531"/>
      <c r="BE46" s="1537"/>
    </row>
    <row r="47" spans="1:58" ht="15.75" customHeight="1" thickBot="1">
      <c r="A47" s="1836"/>
      <c r="B47" s="2718" t="s">
        <v>310</v>
      </c>
      <c r="C47" s="2719"/>
      <c r="D47" s="2719"/>
      <c r="E47" s="2719"/>
      <c r="F47" s="2719"/>
      <c r="G47" s="2719"/>
      <c r="H47" s="2719"/>
      <c r="I47" s="2720"/>
      <c r="J47" s="2721"/>
      <c r="K47" s="2722"/>
      <c r="L47" s="2722"/>
      <c r="M47" s="2723"/>
      <c r="N47" s="2724"/>
      <c r="O47" s="2722"/>
      <c r="P47" s="2722"/>
      <c r="Q47" s="2725"/>
      <c r="R47" s="2687"/>
      <c r="S47" s="2687"/>
      <c r="T47" s="2687"/>
      <c r="U47" s="2687"/>
      <c r="V47" s="2687"/>
      <c r="W47" s="2687"/>
      <c r="X47" s="2687"/>
      <c r="Y47" s="2687"/>
      <c r="Z47" s="2687"/>
      <c r="AA47" s="2687"/>
      <c r="AB47" s="2687"/>
      <c r="AC47" s="2687"/>
      <c r="AD47" s="2687"/>
      <c r="AE47" s="2687"/>
      <c r="AF47" s="2687"/>
      <c r="AG47" s="2687"/>
      <c r="AH47" s="2687"/>
      <c r="AI47" s="2687"/>
      <c r="AJ47" s="2687"/>
      <c r="AK47" s="2687"/>
      <c r="AL47" s="2687"/>
      <c r="AM47" s="2687"/>
      <c r="AN47" s="2687"/>
      <c r="AO47" s="2701">
        <f t="shared" si="4"/>
        <v>0</v>
      </c>
      <c r="AP47" s="2701"/>
      <c r="AQ47" s="2701"/>
      <c r="AR47" s="2701"/>
      <c r="AS47" s="2701"/>
      <c r="AT47" s="2701"/>
      <c r="AU47" s="2702">
        <f t="shared" si="5"/>
        <v>0</v>
      </c>
      <c r="AV47" s="2702"/>
      <c r="AW47" s="2702"/>
      <c r="AX47" s="2702"/>
      <c r="AY47" s="2702"/>
      <c r="AZ47" s="2702"/>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6" t="s">
        <v>2088</v>
      </c>
      <c r="C50" s="2727"/>
      <c r="D50" s="2727"/>
      <c r="E50" s="2727"/>
      <c r="F50" s="2727"/>
      <c r="G50" s="2727"/>
      <c r="H50" s="2727"/>
      <c r="I50" s="2727"/>
      <c r="J50" s="2727"/>
      <c r="K50" s="2727"/>
      <c r="L50" s="2727"/>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29" t="s">
        <v>2089</v>
      </c>
      <c r="C51" s="2730"/>
      <c r="D51" s="2730"/>
      <c r="E51" s="2730"/>
      <c r="F51" s="2730"/>
      <c r="G51" s="2730"/>
      <c r="H51" s="2730"/>
      <c r="I51" s="2731"/>
      <c r="J51" s="2729" t="s">
        <v>2090</v>
      </c>
      <c r="K51" s="2730"/>
      <c r="L51" s="2730"/>
      <c r="M51" s="2730"/>
      <c r="N51" s="2730"/>
      <c r="O51" s="2730"/>
      <c r="P51" s="2730"/>
      <c r="Q51" s="2731"/>
      <c r="R51" s="2732" t="s">
        <v>2091</v>
      </c>
      <c r="S51" s="2733"/>
      <c r="T51" s="2733"/>
      <c r="U51" s="2733"/>
      <c r="V51" s="2733"/>
      <c r="W51" s="2733"/>
      <c r="X51" s="2733"/>
      <c r="Y51" s="2734"/>
      <c r="Z51" s="2735" t="s">
        <v>2092</v>
      </c>
      <c r="AA51" s="2736"/>
      <c r="AB51" s="2736"/>
      <c r="AC51" s="2736"/>
      <c r="AD51" s="2736"/>
      <c r="AE51" s="2736"/>
      <c r="AF51" s="2736"/>
      <c r="AG51" s="2737"/>
      <c r="AH51" s="2735" t="s">
        <v>2093</v>
      </c>
      <c r="AI51" s="2736"/>
      <c r="AJ51" s="2736"/>
      <c r="AK51" s="2736"/>
      <c r="AL51" s="2736"/>
      <c r="AM51" s="2736"/>
      <c r="AN51" s="2736"/>
      <c r="AO51" s="273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8"/>
      <c r="C52" s="2739"/>
      <c r="D52" s="2739"/>
      <c r="E52" s="2739"/>
      <c r="F52" s="2739"/>
      <c r="G52" s="2739"/>
      <c r="H52" s="2739"/>
      <c r="I52" s="2739"/>
      <c r="J52" s="2739"/>
      <c r="K52" s="2739"/>
      <c r="L52" s="2739"/>
      <c r="M52" s="2739"/>
      <c r="N52" s="2739"/>
      <c r="O52" s="2739"/>
      <c r="P52" s="2739"/>
      <c r="Q52" s="2739"/>
      <c r="R52" s="2740"/>
      <c r="S52" s="2740"/>
      <c r="T52" s="2740"/>
      <c r="U52" s="2740"/>
      <c r="V52" s="2740"/>
      <c r="W52" s="2740"/>
      <c r="X52" s="2740"/>
      <c r="Y52" s="2740"/>
      <c r="Z52" s="2739"/>
      <c r="AA52" s="2739"/>
      <c r="AB52" s="2739"/>
      <c r="AC52" s="2739"/>
      <c r="AD52" s="2739"/>
      <c r="AE52" s="2739"/>
      <c r="AF52" s="2739"/>
      <c r="AG52" s="2739"/>
      <c r="AH52" s="2739"/>
      <c r="AI52" s="2739"/>
      <c r="AJ52" s="2739"/>
      <c r="AK52" s="2739"/>
      <c r="AL52" s="2739"/>
      <c r="AM52" s="2739"/>
      <c r="AN52" s="2739"/>
      <c r="AO52" s="274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8"/>
      <c r="C53" s="2739"/>
      <c r="D53" s="2739"/>
      <c r="E53" s="2739"/>
      <c r="F53" s="2739"/>
      <c r="G53" s="2739"/>
      <c r="H53" s="2739"/>
      <c r="I53" s="2739"/>
      <c r="J53" s="2739"/>
      <c r="K53" s="2739"/>
      <c r="L53" s="2739"/>
      <c r="M53" s="2739"/>
      <c r="N53" s="2739"/>
      <c r="O53" s="2739"/>
      <c r="P53" s="2739"/>
      <c r="Q53" s="2739"/>
      <c r="R53" s="2740"/>
      <c r="S53" s="2740"/>
      <c r="T53" s="2740"/>
      <c r="U53" s="2740"/>
      <c r="V53" s="2740"/>
      <c r="W53" s="2740"/>
      <c r="X53" s="2740"/>
      <c r="Y53" s="2740"/>
      <c r="Z53" s="2739"/>
      <c r="AA53" s="2739"/>
      <c r="AB53" s="2739"/>
      <c r="AC53" s="2739"/>
      <c r="AD53" s="2739"/>
      <c r="AE53" s="2739"/>
      <c r="AF53" s="2739"/>
      <c r="AG53" s="2739"/>
      <c r="AH53" s="2739"/>
      <c r="AI53" s="2739"/>
      <c r="AJ53" s="2739"/>
      <c r="AK53" s="2739"/>
      <c r="AL53" s="2739"/>
      <c r="AM53" s="2739"/>
      <c r="AN53" s="2739"/>
      <c r="AO53" s="274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8"/>
      <c r="C54" s="2739"/>
      <c r="D54" s="2739"/>
      <c r="E54" s="2739"/>
      <c r="F54" s="2739"/>
      <c r="G54" s="2739"/>
      <c r="H54" s="2739"/>
      <c r="I54" s="2739"/>
      <c r="J54" s="2739"/>
      <c r="K54" s="2739"/>
      <c r="L54" s="2739"/>
      <c r="M54" s="2739"/>
      <c r="N54" s="2739"/>
      <c r="O54" s="2739"/>
      <c r="P54" s="2739"/>
      <c r="Q54" s="2739"/>
      <c r="R54" s="2740"/>
      <c r="S54" s="2740"/>
      <c r="T54" s="2740"/>
      <c r="U54" s="2740"/>
      <c r="V54" s="2740"/>
      <c r="W54" s="2740"/>
      <c r="X54" s="2740"/>
      <c r="Y54" s="2740"/>
      <c r="Z54" s="2739"/>
      <c r="AA54" s="2739"/>
      <c r="AB54" s="2739"/>
      <c r="AC54" s="2739"/>
      <c r="AD54" s="2739"/>
      <c r="AE54" s="2739"/>
      <c r="AF54" s="2739"/>
      <c r="AG54" s="2739"/>
      <c r="AH54" s="2739"/>
      <c r="AI54" s="2739"/>
      <c r="AJ54" s="2739"/>
      <c r="AK54" s="2739"/>
      <c r="AL54" s="2739"/>
      <c r="AM54" s="2739"/>
      <c r="AN54" s="2739"/>
      <c r="AO54" s="274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8"/>
      <c r="C55" s="2739"/>
      <c r="D55" s="2739"/>
      <c r="E55" s="2739"/>
      <c r="F55" s="2739"/>
      <c r="G55" s="2739"/>
      <c r="H55" s="2739"/>
      <c r="I55" s="2739"/>
      <c r="J55" s="2739"/>
      <c r="K55" s="2739"/>
      <c r="L55" s="2739"/>
      <c r="M55" s="2739"/>
      <c r="N55" s="2739"/>
      <c r="O55" s="2739"/>
      <c r="P55" s="2739"/>
      <c r="Q55" s="2739"/>
      <c r="R55" s="2740"/>
      <c r="S55" s="2740"/>
      <c r="T55" s="2740"/>
      <c r="U55" s="2740"/>
      <c r="V55" s="2740"/>
      <c r="W55" s="2740"/>
      <c r="X55" s="2740"/>
      <c r="Y55" s="2740"/>
      <c r="Z55" s="2739"/>
      <c r="AA55" s="2739"/>
      <c r="AB55" s="2739"/>
      <c r="AC55" s="2739"/>
      <c r="AD55" s="2739"/>
      <c r="AE55" s="2739"/>
      <c r="AF55" s="2739"/>
      <c r="AG55" s="2739"/>
      <c r="AH55" s="2739"/>
      <c r="AI55" s="2739"/>
      <c r="AJ55" s="2739"/>
      <c r="AK55" s="2739"/>
      <c r="AL55" s="2739"/>
      <c r="AM55" s="2739"/>
      <c r="AN55" s="2739"/>
      <c r="AO55" s="274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1"/>
      <c r="C56" s="2752"/>
      <c r="D56" s="2752"/>
      <c r="E56" s="2752"/>
      <c r="F56" s="2752"/>
      <c r="G56" s="2752"/>
      <c r="H56" s="2752"/>
      <c r="I56" s="2752"/>
      <c r="J56" s="2752"/>
      <c r="K56" s="2752"/>
      <c r="L56" s="2752"/>
      <c r="M56" s="2752"/>
      <c r="N56" s="2752"/>
      <c r="O56" s="2752"/>
      <c r="P56" s="2752"/>
      <c r="Q56" s="2752"/>
      <c r="R56" s="2753"/>
      <c r="S56" s="2753"/>
      <c r="T56" s="2753"/>
      <c r="U56" s="2753"/>
      <c r="V56" s="2753"/>
      <c r="W56" s="2753"/>
      <c r="X56" s="2753"/>
      <c r="Y56" s="2753"/>
      <c r="Z56" s="2752"/>
      <c r="AA56" s="2752"/>
      <c r="AB56" s="2752"/>
      <c r="AC56" s="2752"/>
      <c r="AD56" s="2752"/>
      <c r="AE56" s="2752"/>
      <c r="AF56" s="2752"/>
      <c r="AG56" s="2752"/>
      <c r="AH56" s="2752"/>
      <c r="AI56" s="2752"/>
      <c r="AJ56" s="2752"/>
      <c r="AK56" s="2752"/>
      <c r="AL56" s="2752"/>
      <c r="AM56" s="2752"/>
      <c r="AN56" s="2752"/>
      <c r="AO56" s="275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5" t="s">
        <v>1893</v>
      </c>
      <c r="C57" s="2756"/>
      <c r="D57" s="2756"/>
      <c r="E57" s="2756"/>
      <c r="F57" s="2756"/>
      <c r="G57" s="2756"/>
      <c r="H57" s="2756"/>
      <c r="I57" s="2756"/>
      <c r="J57" s="2756"/>
      <c r="K57" s="2756"/>
      <c r="L57" s="2756"/>
      <c r="M57" s="2756"/>
      <c r="N57" s="2756"/>
      <c r="O57" s="2756"/>
      <c r="P57" s="2756"/>
      <c r="Q57" s="2756"/>
      <c r="R57" s="2757">
        <f>SUM(R52:Y56)</f>
        <v>0</v>
      </c>
      <c r="S57" s="2757"/>
      <c r="T57" s="2757"/>
      <c r="U57" s="2757"/>
      <c r="V57" s="2757"/>
      <c r="W57" s="2757"/>
      <c r="X57" s="2757"/>
      <c r="Y57" s="2757"/>
      <c r="Z57" s="2757">
        <f t="shared" ref="Z57" si="6">SUM(Z52:AG56)</f>
        <v>0</v>
      </c>
      <c r="AA57" s="2757"/>
      <c r="AB57" s="2757"/>
      <c r="AC57" s="2757"/>
      <c r="AD57" s="2757"/>
      <c r="AE57" s="2757"/>
      <c r="AF57" s="2757"/>
      <c r="AG57" s="2757"/>
      <c r="AH57" s="2757">
        <f t="shared" ref="AH57" si="7">SUM(AH52:AO56)</f>
        <v>0</v>
      </c>
      <c r="AI57" s="2757"/>
      <c r="AJ57" s="2757"/>
      <c r="AK57" s="2757"/>
      <c r="AL57" s="2757"/>
      <c r="AM57" s="2757"/>
      <c r="AN57" s="2757"/>
      <c r="AO57" s="275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2" t="s">
        <v>2089</v>
      </c>
      <c r="C59" s="2743"/>
      <c r="D59" s="2743"/>
      <c r="E59" s="2743"/>
      <c r="F59" s="2743"/>
      <c r="G59" s="2743"/>
      <c r="H59" s="2743"/>
      <c r="I59" s="2744"/>
      <c r="J59" s="2745" t="s">
        <v>2094</v>
      </c>
      <c r="K59" s="2745"/>
      <c r="L59" s="2745"/>
      <c r="M59" s="2745"/>
      <c r="N59" s="2745"/>
      <c r="O59" s="2745"/>
      <c r="P59" s="2745"/>
      <c r="Q59" s="2745"/>
      <c r="R59" s="2745"/>
      <c r="S59" s="2745"/>
      <c r="T59" s="2745"/>
      <c r="U59" s="2745"/>
      <c r="V59" s="2745"/>
      <c r="W59" s="2745"/>
      <c r="X59" s="2745"/>
      <c r="Y59" s="2745"/>
      <c r="Z59" s="2745"/>
      <c r="AA59" s="2745"/>
      <c r="AB59" s="2745"/>
      <c r="AC59" s="2745"/>
      <c r="AD59" s="2745"/>
      <c r="AE59" s="2745"/>
      <c r="AF59" s="2745"/>
      <c r="AG59" s="2745"/>
      <c r="AH59" s="2745"/>
      <c r="AI59" s="2745"/>
      <c r="AJ59" s="2745"/>
      <c r="AK59" s="2745"/>
      <c r="AL59" s="2745"/>
      <c r="AM59" s="2745"/>
      <c r="AN59" s="2745"/>
      <c r="AO59" s="2745"/>
      <c r="AP59" s="2745"/>
      <c r="AQ59" s="2745"/>
      <c r="AR59" s="2745"/>
      <c r="AS59" s="2745"/>
      <c r="AT59" s="2745"/>
      <c r="AU59" s="2745"/>
      <c r="AV59" s="2745"/>
      <c r="AW59" s="2746"/>
      <c r="AX59" s="1531"/>
      <c r="AY59" s="1531"/>
      <c r="AZ59" s="1531"/>
      <c r="BA59" s="1531"/>
      <c r="BB59" s="1531"/>
      <c r="BC59" s="1531"/>
      <c r="BD59" s="1531"/>
      <c r="BE59" s="1537"/>
    </row>
    <row r="60" spans="1:58" ht="15.75" customHeight="1">
      <c r="A60" s="1836"/>
      <c r="B60" s="2747" t="str">
        <f>IF(B52="", "", B52)</f>
        <v/>
      </c>
      <c r="C60" s="2748"/>
      <c r="D60" s="2748"/>
      <c r="E60" s="2748"/>
      <c r="F60" s="2748"/>
      <c r="G60" s="2748"/>
      <c r="H60" s="2748"/>
      <c r="I60" s="2749"/>
      <c r="J60" s="2750"/>
      <c r="K60" s="2739"/>
      <c r="L60" s="2739"/>
      <c r="M60" s="2739"/>
      <c r="N60" s="2739"/>
      <c r="O60" s="2739"/>
      <c r="P60" s="2739"/>
      <c r="Q60" s="2739"/>
      <c r="R60" s="2739"/>
      <c r="S60" s="2739"/>
      <c r="T60" s="2739"/>
      <c r="U60" s="2739"/>
      <c r="V60" s="2739"/>
      <c r="W60" s="2739"/>
      <c r="X60" s="2739"/>
      <c r="Y60" s="2739"/>
      <c r="Z60" s="2739"/>
      <c r="AA60" s="2739"/>
      <c r="AB60" s="2739"/>
      <c r="AC60" s="2739"/>
      <c r="AD60" s="2739"/>
      <c r="AE60" s="2739"/>
      <c r="AF60" s="2739"/>
      <c r="AG60" s="2739"/>
      <c r="AH60" s="2739"/>
      <c r="AI60" s="2739"/>
      <c r="AJ60" s="2739"/>
      <c r="AK60" s="2739"/>
      <c r="AL60" s="2739"/>
      <c r="AM60" s="2739"/>
      <c r="AN60" s="2739"/>
      <c r="AO60" s="2739"/>
      <c r="AP60" s="2739"/>
      <c r="AQ60" s="2739"/>
      <c r="AR60" s="2739"/>
      <c r="AS60" s="2739"/>
      <c r="AT60" s="2739"/>
      <c r="AU60" s="2739"/>
      <c r="AV60" s="2739"/>
      <c r="AW60" s="2741"/>
      <c r="AX60" s="1531"/>
      <c r="AY60" s="1531"/>
      <c r="AZ60" s="1531"/>
      <c r="BA60" s="1531"/>
      <c r="BB60" s="1531"/>
      <c r="BC60" s="1531"/>
      <c r="BD60" s="1531"/>
      <c r="BE60" s="1537"/>
    </row>
    <row r="61" spans="1:58" ht="15.75" customHeight="1">
      <c r="A61" s="1836"/>
      <c r="B61" s="2747" t="str">
        <f t="shared" ref="B61:B64" si="8">IF(B53="", "", B53)</f>
        <v/>
      </c>
      <c r="C61" s="2748"/>
      <c r="D61" s="2748"/>
      <c r="E61" s="2748"/>
      <c r="F61" s="2748"/>
      <c r="G61" s="2748"/>
      <c r="H61" s="2748"/>
      <c r="I61" s="2749"/>
      <c r="J61" s="2750"/>
      <c r="K61" s="2739"/>
      <c r="L61" s="2739"/>
      <c r="M61" s="2739"/>
      <c r="N61" s="2739"/>
      <c r="O61" s="2739"/>
      <c r="P61" s="2739"/>
      <c r="Q61" s="2739"/>
      <c r="R61" s="2739"/>
      <c r="S61" s="2739"/>
      <c r="T61" s="2739"/>
      <c r="U61" s="2739"/>
      <c r="V61" s="2739"/>
      <c r="W61" s="2739"/>
      <c r="X61" s="2739"/>
      <c r="Y61" s="2739"/>
      <c r="Z61" s="2739"/>
      <c r="AA61" s="2739"/>
      <c r="AB61" s="2739"/>
      <c r="AC61" s="2739"/>
      <c r="AD61" s="2739"/>
      <c r="AE61" s="2739"/>
      <c r="AF61" s="2739"/>
      <c r="AG61" s="2739"/>
      <c r="AH61" s="2739"/>
      <c r="AI61" s="2739"/>
      <c r="AJ61" s="2739"/>
      <c r="AK61" s="2739"/>
      <c r="AL61" s="2739"/>
      <c r="AM61" s="2739"/>
      <c r="AN61" s="2739"/>
      <c r="AO61" s="2739"/>
      <c r="AP61" s="2739"/>
      <c r="AQ61" s="2739"/>
      <c r="AR61" s="2739"/>
      <c r="AS61" s="2739"/>
      <c r="AT61" s="2739"/>
      <c r="AU61" s="2739"/>
      <c r="AV61" s="2739"/>
      <c r="AW61" s="2741"/>
      <c r="AX61" s="1531"/>
      <c r="AY61" s="1531"/>
      <c r="AZ61" s="1531"/>
      <c r="BA61" s="1531"/>
      <c r="BB61" s="1531"/>
      <c r="BC61" s="1531"/>
      <c r="BD61" s="1531"/>
      <c r="BE61" s="1537"/>
    </row>
    <row r="62" spans="1:58" ht="15.75" customHeight="1">
      <c r="A62" s="1836"/>
      <c r="B62" s="2747" t="str">
        <f t="shared" si="8"/>
        <v/>
      </c>
      <c r="C62" s="2748"/>
      <c r="D62" s="2748"/>
      <c r="E62" s="2748"/>
      <c r="F62" s="2748"/>
      <c r="G62" s="2748"/>
      <c r="H62" s="2748"/>
      <c r="I62" s="2749"/>
      <c r="J62" s="2750"/>
      <c r="K62" s="2739"/>
      <c r="L62" s="2739"/>
      <c r="M62" s="2739"/>
      <c r="N62" s="2739"/>
      <c r="O62" s="2739"/>
      <c r="P62" s="2739"/>
      <c r="Q62" s="2739"/>
      <c r="R62" s="2739"/>
      <c r="S62" s="2739"/>
      <c r="T62" s="2739"/>
      <c r="U62" s="2739"/>
      <c r="V62" s="2739"/>
      <c r="W62" s="2739"/>
      <c r="X62" s="2739"/>
      <c r="Y62" s="2739"/>
      <c r="Z62" s="2739"/>
      <c r="AA62" s="2739"/>
      <c r="AB62" s="2739"/>
      <c r="AC62" s="2739"/>
      <c r="AD62" s="2739"/>
      <c r="AE62" s="2739"/>
      <c r="AF62" s="2739"/>
      <c r="AG62" s="2739"/>
      <c r="AH62" s="2739"/>
      <c r="AI62" s="2739"/>
      <c r="AJ62" s="2739"/>
      <c r="AK62" s="2739"/>
      <c r="AL62" s="2739"/>
      <c r="AM62" s="2739"/>
      <c r="AN62" s="2739"/>
      <c r="AO62" s="2739"/>
      <c r="AP62" s="2739"/>
      <c r="AQ62" s="2739"/>
      <c r="AR62" s="2739"/>
      <c r="AS62" s="2739"/>
      <c r="AT62" s="2739"/>
      <c r="AU62" s="2739"/>
      <c r="AV62" s="2739"/>
      <c r="AW62" s="2741"/>
      <c r="AX62" s="1531"/>
      <c r="AY62" s="1531"/>
      <c r="AZ62" s="1531"/>
      <c r="BA62" s="1531"/>
      <c r="BB62" s="1531"/>
      <c r="BC62" s="1531"/>
      <c r="BD62" s="1531"/>
      <c r="BE62" s="1537"/>
    </row>
    <row r="63" spans="1:58" ht="15.75" customHeight="1">
      <c r="A63" s="1836"/>
      <c r="B63" s="2747" t="str">
        <f t="shared" si="8"/>
        <v/>
      </c>
      <c r="C63" s="2748"/>
      <c r="D63" s="2748"/>
      <c r="E63" s="2748"/>
      <c r="F63" s="2748"/>
      <c r="G63" s="2748"/>
      <c r="H63" s="2748"/>
      <c r="I63" s="2749"/>
      <c r="J63" s="2750"/>
      <c r="K63" s="2739"/>
      <c r="L63" s="2739"/>
      <c r="M63" s="2739"/>
      <c r="N63" s="2739"/>
      <c r="O63" s="2739"/>
      <c r="P63" s="2739"/>
      <c r="Q63" s="2739"/>
      <c r="R63" s="2739"/>
      <c r="S63" s="2739"/>
      <c r="T63" s="2739"/>
      <c r="U63" s="2739"/>
      <c r="V63" s="2739"/>
      <c r="W63" s="2739"/>
      <c r="X63" s="2739"/>
      <c r="Y63" s="2739"/>
      <c r="Z63" s="2739"/>
      <c r="AA63" s="2739"/>
      <c r="AB63" s="2739"/>
      <c r="AC63" s="2739"/>
      <c r="AD63" s="2739"/>
      <c r="AE63" s="2739"/>
      <c r="AF63" s="2739"/>
      <c r="AG63" s="2739"/>
      <c r="AH63" s="2739"/>
      <c r="AI63" s="2739"/>
      <c r="AJ63" s="2739"/>
      <c r="AK63" s="2739"/>
      <c r="AL63" s="2739"/>
      <c r="AM63" s="2739"/>
      <c r="AN63" s="2739"/>
      <c r="AO63" s="2739"/>
      <c r="AP63" s="2739"/>
      <c r="AQ63" s="2739"/>
      <c r="AR63" s="2739"/>
      <c r="AS63" s="2739"/>
      <c r="AT63" s="2739"/>
      <c r="AU63" s="2739"/>
      <c r="AV63" s="2739"/>
      <c r="AW63" s="2741"/>
      <c r="AX63" s="1531"/>
      <c r="AY63" s="1531"/>
      <c r="AZ63" s="1531"/>
      <c r="BA63" s="1531"/>
      <c r="BB63" s="1531"/>
      <c r="BC63" s="1531"/>
      <c r="BD63" s="1531"/>
      <c r="BE63" s="1537"/>
    </row>
    <row r="64" spans="1:58" ht="15.75" customHeight="1" thickBot="1">
      <c r="A64" s="1836"/>
      <c r="B64" s="2770" t="str">
        <f t="shared" si="8"/>
        <v/>
      </c>
      <c r="C64" s="2771"/>
      <c r="D64" s="2771"/>
      <c r="E64" s="2771"/>
      <c r="F64" s="2771"/>
      <c r="G64" s="2771"/>
      <c r="H64" s="2771"/>
      <c r="I64" s="2772"/>
      <c r="J64" s="2773"/>
      <c r="K64" s="2752"/>
      <c r="L64" s="2752"/>
      <c r="M64" s="2752"/>
      <c r="N64" s="2752"/>
      <c r="O64" s="2752"/>
      <c r="P64" s="2752"/>
      <c r="Q64" s="2752"/>
      <c r="R64" s="2752"/>
      <c r="S64" s="2752"/>
      <c r="T64" s="2752"/>
      <c r="U64" s="2752"/>
      <c r="V64" s="2752"/>
      <c r="W64" s="2752"/>
      <c r="X64" s="2752"/>
      <c r="Y64" s="2752"/>
      <c r="Z64" s="2752"/>
      <c r="AA64" s="2752"/>
      <c r="AB64" s="2752"/>
      <c r="AC64" s="2752"/>
      <c r="AD64" s="2752"/>
      <c r="AE64" s="2752"/>
      <c r="AF64" s="2752"/>
      <c r="AG64" s="2752"/>
      <c r="AH64" s="2752"/>
      <c r="AI64" s="2752"/>
      <c r="AJ64" s="2752"/>
      <c r="AK64" s="2752"/>
      <c r="AL64" s="2752"/>
      <c r="AM64" s="2752"/>
      <c r="AN64" s="2752"/>
      <c r="AO64" s="2752"/>
      <c r="AP64" s="2752"/>
      <c r="AQ64" s="2752"/>
      <c r="AR64" s="2752"/>
      <c r="AS64" s="2752"/>
      <c r="AT64" s="2752"/>
      <c r="AU64" s="2752"/>
      <c r="AV64" s="2752"/>
      <c r="AW64" s="275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5" t="s">
        <v>2096</v>
      </c>
      <c r="C68" s="2626"/>
      <c r="D68" s="2626"/>
      <c r="E68" s="2626"/>
      <c r="F68" s="2626"/>
      <c r="G68" s="2626"/>
      <c r="H68" s="2626"/>
      <c r="I68" s="2626"/>
      <c r="J68" s="2626"/>
      <c r="K68" s="2626"/>
      <c r="L68" s="2626"/>
      <c r="M68" s="2626"/>
      <c r="N68" s="2626"/>
      <c r="O68" s="2626"/>
      <c r="P68" s="2626"/>
      <c r="Q68" s="2626"/>
      <c r="R68" s="2626"/>
      <c r="S68" s="2626"/>
      <c r="T68" s="2626"/>
      <c r="U68" s="2626"/>
      <c r="V68" s="2626"/>
      <c r="W68" s="2626"/>
      <c r="X68" s="2626"/>
      <c r="Y68" s="2626"/>
      <c r="Z68" s="2626"/>
      <c r="AA68" s="2627"/>
      <c r="AB68" s="1531"/>
      <c r="AC68" s="2784" t="s">
        <v>2097</v>
      </c>
      <c r="AD68" s="2785"/>
      <c r="AE68" s="2785"/>
      <c r="AF68" s="2785"/>
      <c r="AG68" s="2785"/>
      <c r="AH68" s="2785"/>
      <c r="AI68" s="2785"/>
      <c r="AJ68" s="2785"/>
      <c r="AK68" s="2785"/>
      <c r="AL68" s="2785"/>
      <c r="AM68" s="2785"/>
      <c r="AN68" s="2785"/>
      <c r="AO68" s="2785"/>
      <c r="AP68" s="2785"/>
      <c r="AQ68" s="2785"/>
      <c r="AR68" s="2785"/>
      <c r="AS68" s="2785"/>
      <c r="AT68" s="2785"/>
      <c r="AU68" s="2785"/>
      <c r="AV68" s="2758" t="s">
        <v>2053</v>
      </c>
      <c r="AW68" s="2758"/>
      <c r="AX68" s="2758"/>
      <c r="AY68" s="2758"/>
      <c r="AZ68" s="2758"/>
      <c r="BA68" s="2758"/>
      <c r="BB68" s="2758"/>
      <c r="BC68" s="2759"/>
      <c r="BD68" s="1531"/>
      <c r="BE68" s="1537"/>
    </row>
    <row r="69" spans="1:57" ht="15.75" customHeight="1" thickBot="1">
      <c r="A69" s="1836"/>
      <c r="B69" s="2760" t="s">
        <v>2098</v>
      </c>
      <c r="C69" s="2761"/>
      <c r="D69" s="2761"/>
      <c r="E69" s="2761"/>
      <c r="F69" s="2761"/>
      <c r="G69" s="2761"/>
      <c r="H69" s="2761"/>
      <c r="I69" s="2761"/>
      <c r="J69" s="2761"/>
      <c r="K69" s="2761"/>
      <c r="L69" s="2761"/>
      <c r="M69" s="2761"/>
      <c r="N69" s="2761"/>
      <c r="O69" s="2762" t="s">
        <v>2099</v>
      </c>
      <c r="P69" s="2763"/>
      <c r="Q69" s="2763"/>
      <c r="R69" s="2763"/>
      <c r="S69" s="2763"/>
      <c r="T69" s="2763"/>
      <c r="U69" s="2763"/>
      <c r="V69" s="2763"/>
      <c r="W69" s="2763"/>
      <c r="X69" s="2763"/>
      <c r="Y69" s="2763"/>
      <c r="Z69" s="2763"/>
      <c r="AA69" s="2764"/>
      <c r="AB69" s="1531"/>
      <c r="AC69" s="2765" t="s">
        <v>2100</v>
      </c>
      <c r="AD69" s="2766"/>
      <c r="AE69" s="2766"/>
      <c r="AF69" s="2766"/>
      <c r="AG69" s="2766"/>
      <c r="AH69" s="2766"/>
      <c r="AI69" s="2766"/>
      <c r="AJ69" s="2766"/>
      <c r="AK69" s="2766"/>
      <c r="AL69" s="2766"/>
      <c r="AM69" s="2766"/>
      <c r="AN69" s="2766"/>
      <c r="AO69" s="2766"/>
      <c r="AP69" s="2766"/>
      <c r="AQ69" s="2766"/>
      <c r="AR69" s="2766"/>
      <c r="AS69" s="2766"/>
      <c r="AT69" s="2766"/>
      <c r="AU69" s="2766"/>
      <c r="AV69" s="2767">
        <v>44197</v>
      </c>
      <c r="AW69" s="2768"/>
      <c r="AX69" s="2768"/>
      <c r="AY69" s="2768"/>
      <c r="AZ69" s="2768"/>
      <c r="BA69" s="2768"/>
      <c r="BB69" s="2768"/>
      <c r="BC69" s="2769"/>
      <c r="BD69" s="1531"/>
      <c r="BE69" s="1537"/>
    </row>
    <row r="70" spans="1:57" ht="15.75" customHeight="1">
      <c r="A70" s="1836"/>
      <c r="B70" s="2774"/>
      <c r="C70" s="2775"/>
      <c r="D70" s="2775"/>
      <c r="E70" s="2775"/>
      <c r="F70" s="2775"/>
      <c r="G70" s="2775"/>
      <c r="H70" s="2775"/>
      <c r="I70" s="2775"/>
      <c r="J70" s="2775"/>
      <c r="K70" s="2775"/>
      <c r="L70" s="2775"/>
      <c r="M70" s="2775"/>
      <c r="N70" s="2775"/>
      <c r="O70" s="2776"/>
      <c r="P70" s="2776"/>
      <c r="Q70" s="2776"/>
      <c r="R70" s="2776"/>
      <c r="S70" s="2776"/>
      <c r="T70" s="2776"/>
      <c r="U70" s="2776"/>
      <c r="V70" s="2776"/>
      <c r="W70" s="2776"/>
      <c r="X70" s="2776"/>
      <c r="Y70" s="2776"/>
      <c r="Z70" s="2776"/>
      <c r="AA70" s="2777"/>
      <c r="AB70" s="1531"/>
      <c r="AC70" s="2778" t="s">
        <v>2101</v>
      </c>
      <c r="AD70" s="2779"/>
      <c r="AE70" s="2779"/>
      <c r="AF70" s="2780"/>
      <c r="AG70" s="2780"/>
      <c r="AH70" s="2780"/>
      <c r="AI70" s="2780"/>
      <c r="AJ70" s="2780"/>
      <c r="AK70" s="2780"/>
      <c r="AL70" s="2780"/>
      <c r="AM70" s="2780"/>
      <c r="AN70" s="2780"/>
      <c r="AO70" s="2780"/>
      <c r="AP70" s="2780"/>
      <c r="AQ70" s="2780"/>
      <c r="AR70" s="2780"/>
      <c r="AS70" s="2780"/>
      <c r="AT70" s="2780"/>
      <c r="AU70" s="2781"/>
      <c r="AV70" s="1531"/>
      <c r="AW70" s="1531"/>
      <c r="AX70" s="1531"/>
      <c r="AY70" s="1531"/>
      <c r="AZ70" s="1531"/>
      <c r="BA70" s="1531"/>
      <c r="BB70" s="1531"/>
      <c r="BC70" s="1531"/>
      <c r="BD70" s="1531"/>
      <c r="BE70" s="1537"/>
    </row>
    <row r="71" spans="1:57" ht="15.75" customHeight="1" thickBot="1">
      <c r="A71" s="1836"/>
      <c r="B71" s="2707"/>
      <c r="C71" s="2705"/>
      <c r="D71" s="2705"/>
      <c r="E71" s="2705"/>
      <c r="F71" s="2705"/>
      <c r="G71" s="2705"/>
      <c r="H71" s="2705"/>
      <c r="I71" s="2705"/>
      <c r="J71" s="2705"/>
      <c r="K71" s="2705"/>
      <c r="L71" s="2705"/>
      <c r="M71" s="2705"/>
      <c r="N71" s="2705"/>
      <c r="O71" s="2776"/>
      <c r="P71" s="2776"/>
      <c r="Q71" s="2776"/>
      <c r="R71" s="2776"/>
      <c r="S71" s="2776"/>
      <c r="T71" s="2776"/>
      <c r="U71" s="2776"/>
      <c r="V71" s="2776"/>
      <c r="W71" s="2776"/>
      <c r="X71" s="2776"/>
      <c r="Y71" s="2776"/>
      <c r="Z71" s="2776"/>
      <c r="AA71" s="2777"/>
      <c r="AB71" s="1531"/>
      <c r="AC71" s="2782" t="s">
        <v>2102</v>
      </c>
      <c r="AD71" s="2783"/>
      <c r="AE71" s="2783"/>
      <c r="AF71" s="2722"/>
      <c r="AG71" s="2722"/>
      <c r="AH71" s="2722"/>
      <c r="AI71" s="2722"/>
      <c r="AJ71" s="2722"/>
      <c r="AK71" s="2722"/>
      <c r="AL71" s="2722"/>
      <c r="AM71" s="2722"/>
      <c r="AN71" s="2722"/>
      <c r="AO71" s="2722"/>
      <c r="AP71" s="2722"/>
      <c r="AQ71" s="2722"/>
      <c r="AR71" s="2722"/>
      <c r="AS71" s="2722"/>
      <c r="AT71" s="2722"/>
      <c r="AU71" s="2723"/>
      <c r="AV71" s="1531"/>
      <c r="AW71" s="1531"/>
      <c r="AX71" s="1531"/>
      <c r="AY71" s="1531"/>
      <c r="AZ71" s="1531"/>
      <c r="BA71" s="1531"/>
      <c r="BB71" s="1531"/>
      <c r="BC71" s="1531"/>
      <c r="BD71" s="1531"/>
      <c r="BE71" s="1537"/>
    </row>
    <row r="72" spans="1:57" ht="15.75" customHeight="1">
      <c r="A72" s="1836"/>
      <c r="B72" s="2707"/>
      <c r="C72" s="2705"/>
      <c r="D72" s="2705"/>
      <c r="E72" s="2705"/>
      <c r="F72" s="2705"/>
      <c r="G72" s="2705"/>
      <c r="H72" s="2705"/>
      <c r="I72" s="2705"/>
      <c r="J72" s="2705"/>
      <c r="K72" s="2705"/>
      <c r="L72" s="2705"/>
      <c r="M72" s="2705"/>
      <c r="N72" s="2705"/>
      <c r="O72" s="2776"/>
      <c r="P72" s="2776"/>
      <c r="Q72" s="2776"/>
      <c r="R72" s="2776"/>
      <c r="S72" s="2776"/>
      <c r="T72" s="2776"/>
      <c r="U72" s="2776"/>
      <c r="V72" s="2776"/>
      <c r="W72" s="2776"/>
      <c r="X72" s="2776"/>
      <c r="Y72" s="2776"/>
      <c r="Z72" s="2776"/>
      <c r="AA72" s="2777"/>
      <c r="AB72" s="1531"/>
      <c r="AC72" s="2791" t="s">
        <v>2103</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531"/>
      <c r="BE72" s="1537"/>
    </row>
    <row r="73" spans="1:57" ht="15.75" customHeight="1">
      <c r="A73" s="1836"/>
      <c r="B73" s="2707"/>
      <c r="C73" s="2705"/>
      <c r="D73" s="2705"/>
      <c r="E73" s="2705"/>
      <c r="F73" s="2705"/>
      <c r="G73" s="2705"/>
      <c r="H73" s="2705"/>
      <c r="I73" s="2705"/>
      <c r="J73" s="2705"/>
      <c r="K73" s="2705"/>
      <c r="L73" s="2705"/>
      <c r="M73" s="2705"/>
      <c r="N73" s="2705"/>
      <c r="O73" s="2776"/>
      <c r="P73" s="2776"/>
      <c r="Q73" s="2776"/>
      <c r="R73" s="2776"/>
      <c r="S73" s="2776"/>
      <c r="T73" s="2776"/>
      <c r="U73" s="2776"/>
      <c r="V73" s="2776"/>
      <c r="W73" s="2776"/>
      <c r="X73" s="2776"/>
      <c r="Y73" s="2776"/>
      <c r="Z73" s="2776"/>
      <c r="AA73" s="2777"/>
      <c r="AB73" s="1531"/>
      <c r="AC73" s="2707"/>
      <c r="AD73" s="2705"/>
      <c r="AE73" s="2705"/>
      <c r="AF73" s="2705"/>
      <c r="AG73" s="2705"/>
      <c r="AH73" s="2705"/>
      <c r="AI73" s="2705"/>
      <c r="AJ73" s="2705"/>
      <c r="AK73" s="2705"/>
      <c r="AL73" s="2705"/>
      <c r="AM73" s="2705"/>
      <c r="AN73" s="2705"/>
      <c r="AO73" s="2705"/>
      <c r="AP73" s="2705"/>
      <c r="AQ73" s="2705"/>
      <c r="AR73" s="2705"/>
      <c r="AS73" s="2705"/>
      <c r="AT73" s="2705"/>
      <c r="AU73" s="2705"/>
      <c r="AV73" s="2705"/>
      <c r="AW73" s="2705"/>
      <c r="AX73" s="2705"/>
      <c r="AY73" s="2705"/>
      <c r="AZ73" s="2705"/>
      <c r="BA73" s="2705"/>
      <c r="BB73" s="2705"/>
      <c r="BC73" s="2706"/>
      <c r="BD73" s="1531"/>
      <c r="BE73" s="1537"/>
    </row>
    <row r="74" spans="1:57" ht="15.75" customHeight="1" thickBot="1">
      <c r="A74" s="1836"/>
      <c r="B74" s="2707"/>
      <c r="C74" s="2705"/>
      <c r="D74" s="2705"/>
      <c r="E74" s="2705"/>
      <c r="F74" s="2705"/>
      <c r="G74" s="2705"/>
      <c r="H74" s="2705"/>
      <c r="I74" s="2705"/>
      <c r="J74" s="2705"/>
      <c r="K74" s="2705"/>
      <c r="L74" s="2705"/>
      <c r="M74" s="2705"/>
      <c r="N74" s="2705"/>
      <c r="O74" s="2794"/>
      <c r="P74" s="2794"/>
      <c r="Q74" s="2794"/>
      <c r="R74" s="2794"/>
      <c r="S74" s="2794"/>
      <c r="T74" s="2794"/>
      <c r="U74" s="2794"/>
      <c r="V74" s="2794"/>
      <c r="W74" s="2794"/>
      <c r="X74" s="2794"/>
      <c r="Y74" s="2794"/>
      <c r="Z74" s="2794"/>
      <c r="AA74" s="2795"/>
      <c r="AB74" s="1531"/>
      <c r="AC74" s="2707"/>
      <c r="AD74" s="2705"/>
      <c r="AE74" s="2705"/>
      <c r="AF74" s="2705"/>
      <c r="AG74" s="2705"/>
      <c r="AH74" s="2705"/>
      <c r="AI74" s="2705"/>
      <c r="AJ74" s="2705"/>
      <c r="AK74" s="2705"/>
      <c r="AL74" s="2705"/>
      <c r="AM74" s="2705"/>
      <c r="AN74" s="2705"/>
      <c r="AO74" s="2705"/>
      <c r="AP74" s="2705"/>
      <c r="AQ74" s="2705"/>
      <c r="AR74" s="2705"/>
      <c r="AS74" s="2705"/>
      <c r="AT74" s="2705"/>
      <c r="AU74" s="2705"/>
      <c r="AV74" s="2705"/>
      <c r="AW74" s="2705"/>
      <c r="AX74" s="2705"/>
      <c r="AY74" s="2705"/>
      <c r="AZ74" s="2705"/>
      <c r="BA74" s="2705"/>
      <c r="BB74" s="2705"/>
      <c r="BC74" s="2706"/>
      <c r="BD74" s="1531"/>
      <c r="BE74" s="1537"/>
    </row>
    <row r="75" spans="1:57" ht="15.75" customHeight="1" thickTop="1" thickBot="1">
      <c r="A75" s="1836"/>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31"/>
      <c r="AC75" s="2707"/>
      <c r="AD75" s="2705"/>
      <c r="AE75" s="2705"/>
      <c r="AF75" s="2705"/>
      <c r="AG75" s="2705"/>
      <c r="AH75" s="2705"/>
      <c r="AI75" s="2705"/>
      <c r="AJ75" s="2705"/>
      <c r="AK75" s="2705"/>
      <c r="AL75" s="2705"/>
      <c r="AM75" s="2705"/>
      <c r="AN75" s="2705"/>
      <c r="AO75" s="2705"/>
      <c r="AP75" s="2705"/>
      <c r="AQ75" s="2705"/>
      <c r="AR75" s="2705"/>
      <c r="AS75" s="2705"/>
      <c r="AT75" s="2705"/>
      <c r="AU75" s="2705"/>
      <c r="AV75" s="2705"/>
      <c r="AW75" s="2705"/>
      <c r="AX75" s="2705"/>
      <c r="AY75" s="2705"/>
      <c r="AZ75" s="2705"/>
      <c r="BA75" s="2705"/>
      <c r="BB75" s="2705"/>
      <c r="BC75" s="270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7"/>
      <c r="AD76" s="2705"/>
      <c r="AE76" s="2705"/>
      <c r="AF76" s="2705"/>
      <c r="AG76" s="2705"/>
      <c r="AH76" s="2705"/>
      <c r="AI76" s="2705"/>
      <c r="AJ76" s="2705"/>
      <c r="AK76" s="2705"/>
      <c r="AL76" s="2705"/>
      <c r="AM76" s="2705"/>
      <c r="AN76" s="2705"/>
      <c r="AO76" s="2705"/>
      <c r="AP76" s="2705"/>
      <c r="AQ76" s="2705"/>
      <c r="AR76" s="2705"/>
      <c r="AS76" s="2705"/>
      <c r="AT76" s="2705"/>
      <c r="AU76" s="2705"/>
      <c r="AV76" s="2705"/>
      <c r="AW76" s="2705"/>
      <c r="AX76" s="2705"/>
      <c r="AY76" s="2705"/>
      <c r="AZ76" s="2705"/>
      <c r="BA76" s="2705"/>
      <c r="BB76" s="2705"/>
      <c r="BC76" s="2706"/>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4"/>
      <c r="AD77" s="2722"/>
      <c r="AE77" s="2722"/>
      <c r="AF77" s="2722"/>
      <c r="AG77" s="2722"/>
      <c r="AH77" s="2722"/>
      <c r="AI77" s="2722"/>
      <c r="AJ77" s="2722"/>
      <c r="AK77" s="2722"/>
      <c r="AL77" s="2722"/>
      <c r="AM77" s="2722"/>
      <c r="AN77" s="2722"/>
      <c r="AO77" s="2722"/>
      <c r="AP77" s="2722"/>
      <c r="AQ77" s="2722"/>
      <c r="AR77" s="2722"/>
      <c r="AS77" s="2722"/>
      <c r="AT77" s="2722"/>
      <c r="AU77" s="2722"/>
      <c r="AV77" s="2722"/>
      <c r="AW77" s="2722"/>
      <c r="AX77" s="2722"/>
      <c r="AY77" s="2722"/>
      <c r="AZ77" s="2722"/>
      <c r="BA77" s="2722"/>
      <c r="BB77" s="2722"/>
      <c r="BC77" s="272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6" t="s">
        <v>2105</v>
      </c>
      <c r="C79" s="2597"/>
      <c r="D79" s="2597"/>
      <c r="E79" s="2597"/>
      <c r="F79" s="2597"/>
      <c r="G79" s="2597"/>
      <c r="H79" s="2597"/>
      <c r="I79" s="2597"/>
      <c r="J79" s="2597"/>
      <c r="K79" s="2597"/>
      <c r="L79" s="2597"/>
      <c r="M79" s="2597"/>
      <c r="N79" s="2597"/>
      <c r="O79" s="2597"/>
      <c r="P79" s="2597"/>
      <c r="Q79" s="2597"/>
      <c r="R79" s="2597"/>
      <c r="S79" s="2597"/>
      <c r="T79" s="2597"/>
      <c r="U79" s="2597"/>
      <c r="V79" s="2597"/>
      <c r="W79" s="2597"/>
      <c r="X79" s="2597"/>
      <c r="Y79" s="2597"/>
      <c r="Z79" s="2597"/>
      <c r="AA79" s="2597"/>
      <c r="AB79" s="2786"/>
      <c r="AC79" s="2786"/>
      <c r="AD79" s="2786"/>
      <c r="AE79" s="2786"/>
      <c r="AF79" s="2786"/>
      <c r="AG79" s="278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6"/>
      <c r="C80" s="2597"/>
      <c r="D80" s="2597"/>
      <c r="E80" s="2597"/>
      <c r="F80" s="2597"/>
      <c r="G80" s="2597"/>
      <c r="H80" s="2598"/>
      <c r="I80" s="2788" t="s">
        <v>2106</v>
      </c>
      <c r="J80" s="2789"/>
      <c r="K80" s="2789"/>
      <c r="L80" s="2789"/>
      <c r="M80" s="2789"/>
      <c r="N80" s="2790"/>
      <c r="O80" s="2788" t="s">
        <v>2107</v>
      </c>
      <c r="P80" s="2789"/>
      <c r="Q80" s="2789"/>
      <c r="R80" s="2789"/>
      <c r="S80" s="2789"/>
      <c r="T80" s="2789"/>
      <c r="U80" s="2790"/>
      <c r="V80" s="2788" t="s">
        <v>2108</v>
      </c>
      <c r="W80" s="2789"/>
      <c r="X80" s="2789"/>
      <c r="Y80" s="2789"/>
      <c r="Z80" s="2789"/>
      <c r="AA80" s="2790"/>
      <c r="AB80" s="2788" t="s">
        <v>2109</v>
      </c>
      <c r="AC80" s="2789"/>
      <c r="AD80" s="2789"/>
      <c r="AE80" s="2789"/>
      <c r="AF80" s="2789"/>
      <c r="AG80" s="279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8" t="s">
        <v>2110</v>
      </c>
      <c r="C81" s="2789"/>
      <c r="D81" s="2789"/>
      <c r="E81" s="2789"/>
      <c r="F81" s="2789"/>
      <c r="G81" s="2789"/>
      <c r="H81" s="2790"/>
      <c r="I81" s="2807"/>
      <c r="J81" s="2808"/>
      <c r="K81" s="2808"/>
      <c r="L81" s="2808"/>
      <c r="M81" s="2808"/>
      <c r="N81" s="2808"/>
      <c r="O81" s="2808"/>
      <c r="P81" s="2808"/>
      <c r="Q81" s="2808"/>
      <c r="R81" s="2808"/>
      <c r="S81" s="2808"/>
      <c r="T81" s="2808"/>
      <c r="U81" s="2808"/>
      <c r="V81" s="2808"/>
      <c r="W81" s="2808"/>
      <c r="X81" s="2808"/>
      <c r="Y81" s="2808"/>
      <c r="Z81" s="2808"/>
      <c r="AA81" s="2809"/>
      <c r="AB81" s="2808"/>
      <c r="AC81" s="2808"/>
      <c r="AD81" s="2808"/>
      <c r="AE81" s="2808"/>
      <c r="AF81" s="2808"/>
      <c r="AG81" s="280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8" t="s">
        <v>2111</v>
      </c>
      <c r="C82" s="2789"/>
      <c r="D82" s="2789"/>
      <c r="E82" s="2789"/>
      <c r="F82" s="2789"/>
      <c r="G82" s="2789"/>
      <c r="H82" s="2790"/>
      <c r="I82" s="2810"/>
      <c r="J82" s="2811"/>
      <c r="K82" s="2811"/>
      <c r="L82" s="2811"/>
      <c r="M82" s="2811"/>
      <c r="N82" s="2811"/>
      <c r="O82" s="2811"/>
      <c r="P82" s="2811"/>
      <c r="Q82" s="2811"/>
      <c r="R82" s="2811"/>
      <c r="S82" s="2811"/>
      <c r="T82" s="2811"/>
      <c r="U82" s="2811"/>
      <c r="V82" s="2811"/>
      <c r="W82" s="2811"/>
      <c r="X82" s="2811"/>
      <c r="Y82" s="2811"/>
      <c r="Z82" s="2811"/>
      <c r="AA82" s="2812"/>
      <c r="AB82" s="2811"/>
      <c r="AC82" s="2811"/>
      <c r="AD82" s="2811"/>
      <c r="AE82" s="2811"/>
      <c r="AF82" s="2811"/>
      <c r="AG82" s="281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1" t="s">
        <v>2113</v>
      </c>
      <c r="C86" s="2802"/>
      <c r="D86" s="2802"/>
      <c r="E86" s="2802"/>
      <c r="F86" s="2802"/>
      <c r="G86" s="2802"/>
      <c r="H86" s="2802"/>
      <c r="I86" s="2802"/>
      <c r="J86" s="2802"/>
      <c r="K86" s="2802"/>
      <c r="L86" s="2802"/>
      <c r="M86" s="2802"/>
      <c r="N86" s="2802"/>
      <c r="O86" s="2802"/>
      <c r="P86" s="2802"/>
      <c r="Q86" s="2802"/>
      <c r="R86" s="2802"/>
      <c r="S86" s="2802"/>
      <c r="T86" s="2802"/>
      <c r="U86" s="2802"/>
      <c r="V86" s="2802"/>
      <c r="W86" s="2802"/>
      <c r="X86" s="2802"/>
      <c r="Y86" s="2802"/>
      <c r="Z86" s="2802"/>
      <c r="AA86" s="2802"/>
      <c r="AB86" s="2802"/>
      <c r="AC86" s="2802"/>
      <c r="AD86" s="2802"/>
      <c r="AE86" s="2802"/>
      <c r="AF86" s="2802"/>
      <c r="AG86" s="2802"/>
      <c r="AH86" s="280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6"/>
      <c r="C87" s="2597"/>
      <c r="D87" s="2597"/>
      <c r="E87" s="2597"/>
      <c r="F87" s="2597"/>
      <c r="G87" s="2597"/>
      <c r="H87" s="2598"/>
      <c r="I87" s="2788" t="s">
        <v>2106</v>
      </c>
      <c r="J87" s="2789"/>
      <c r="K87" s="2789"/>
      <c r="L87" s="2789"/>
      <c r="M87" s="2789"/>
      <c r="N87" s="2790"/>
      <c r="O87" s="2788" t="s">
        <v>2107</v>
      </c>
      <c r="P87" s="2789"/>
      <c r="Q87" s="2789"/>
      <c r="R87" s="2789"/>
      <c r="S87" s="2789"/>
      <c r="T87" s="2789"/>
      <c r="U87" s="2790"/>
      <c r="V87" s="2788" t="s">
        <v>2108</v>
      </c>
      <c r="W87" s="2789"/>
      <c r="X87" s="2789"/>
      <c r="Y87" s="2789"/>
      <c r="Z87" s="2789"/>
      <c r="AA87" s="2790"/>
      <c r="AB87" s="2804" t="s">
        <v>2109</v>
      </c>
      <c r="AC87" s="2805"/>
      <c r="AD87" s="2805"/>
      <c r="AE87" s="2805"/>
      <c r="AF87" s="2805"/>
      <c r="AG87" s="2805"/>
      <c r="AH87" s="280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8" t="s">
        <v>2110</v>
      </c>
      <c r="C88" s="2789"/>
      <c r="D88" s="2789"/>
      <c r="E88" s="2789"/>
      <c r="F88" s="2789"/>
      <c r="G88" s="2789"/>
      <c r="H88" s="2790"/>
      <c r="I88" s="2807"/>
      <c r="J88" s="2808"/>
      <c r="K88" s="2808"/>
      <c r="L88" s="2808"/>
      <c r="M88" s="2808"/>
      <c r="N88" s="2808"/>
      <c r="O88" s="2808"/>
      <c r="P88" s="2808"/>
      <c r="Q88" s="2808"/>
      <c r="R88" s="2808"/>
      <c r="S88" s="2808"/>
      <c r="T88" s="2808"/>
      <c r="U88" s="2808"/>
      <c r="V88" s="2808"/>
      <c r="W88" s="2808"/>
      <c r="X88" s="2808"/>
      <c r="Y88" s="2808"/>
      <c r="Z88" s="2808"/>
      <c r="AA88" s="2813"/>
      <c r="AB88" s="2780"/>
      <c r="AC88" s="2780"/>
      <c r="AD88" s="2780"/>
      <c r="AE88" s="2780"/>
      <c r="AF88" s="2780"/>
      <c r="AG88" s="2780"/>
      <c r="AH88" s="278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8" t="s">
        <v>2111</v>
      </c>
      <c r="C89" s="2789"/>
      <c r="D89" s="2789"/>
      <c r="E89" s="2789"/>
      <c r="F89" s="2789"/>
      <c r="G89" s="2789"/>
      <c r="H89" s="2790"/>
      <c r="I89" s="2810"/>
      <c r="J89" s="2811"/>
      <c r="K89" s="2811"/>
      <c r="L89" s="2811"/>
      <c r="M89" s="2811"/>
      <c r="N89" s="2811"/>
      <c r="O89" s="2811"/>
      <c r="P89" s="2811"/>
      <c r="Q89" s="2811"/>
      <c r="R89" s="2811"/>
      <c r="S89" s="2811"/>
      <c r="T89" s="2811"/>
      <c r="U89" s="2811"/>
      <c r="V89" s="2811"/>
      <c r="W89" s="2811"/>
      <c r="X89" s="2811"/>
      <c r="Y89" s="2811"/>
      <c r="Z89" s="2811"/>
      <c r="AA89" s="2814"/>
      <c r="AB89" s="2722"/>
      <c r="AC89" s="2722"/>
      <c r="AD89" s="2722"/>
      <c r="AE89" s="2722"/>
      <c r="AF89" s="2722"/>
      <c r="AG89" s="2722"/>
      <c r="AH89" s="272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6" t="s">
        <v>2115</v>
      </c>
      <c r="C93" s="2597"/>
      <c r="D93" s="2597"/>
      <c r="E93" s="2597"/>
      <c r="F93" s="2597"/>
      <c r="G93" s="2597"/>
      <c r="H93" s="2597"/>
      <c r="I93" s="2597"/>
      <c r="J93" s="2597"/>
      <c r="K93" s="2597"/>
      <c r="L93" s="2597"/>
      <c r="M93" s="2597"/>
      <c r="N93" s="2597"/>
      <c r="O93" s="2597"/>
      <c r="P93" s="2597"/>
      <c r="Q93" s="2597"/>
      <c r="R93" s="2597"/>
      <c r="S93" s="2597"/>
      <c r="T93" s="2597"/>
      <c r="U93" s="2597"/>
      <c r="V93" s="2597"/>
      <c r="W93" s="2597"/>
      <c r="X93" s="2597"/>
      <c r="Y93" s="2597"/>
      <c r="Z93" s="2597"/>
      <c r="AA93" s="2597"/>
      <c r="AB93" s="2597"/>
      <c r="AC93" s="2597"/>
      <c r="AD93" s="2597"/>
      <c r="AE93" s="2597"/>
      <c r="AF93" s="2597"/>
      <c r="AG93" s="2597"/>
      <c r="AH93" s="259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6"/>
      <c r="C94" s="2597"/>
      <c r="D94" s="2597"/>
      <c r="E94" s="2597"/>
      <c r="F94" s="2597"/>
      <c r="G94" s="2597"/>
      <c r="H94" s="2598"/>
      <c r="I94" s="2788" t="s">
        <v>2106</v>
      </c>
      <c r="J94" s="2789"/>
      <c r="K94" s="2789"/>
      <c r="L94" s="2789"/>
      <c r="M94" s="2789"/>
      <c r="N94" s="2790"/>
      <c r="O94" s="2788" t="s">
        <v>2107</v>
      </c>
      <c r="P94" s="2789"/>
      <c r="Q94" s="2789"/>
      <c r="R94" s="2789"/>
      <c r="S94" s="2789"/>
      <c r="T94" s="2789"/>
      <c r="U94" s="2790"/>
      <c r="V94" s="2788" t="s">
        <v>2108</v>
      </c>
      <c r="W94" s="2789"/>
      <c r="X94" s="2789"/>
      <c r="Y94" s="2789"/>
      <c r="Z94" s="2789"/>
      <c r="AA94" s="2790"/>
      <c r="AB94" s="2804" t="s">
        <v>2109</v>
      </c>
      <c r="AC94" s="2805"/>
      <c r="AD94" s="2805"/>
      <c r="AE94" s="2805"/>
      <c r="AF94" s="2805"/>
      <c r="AG94" s="2805"/>
      <c r="AH94" s="280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8" t="s">
        <v>2110</v>
      </c>
      <c r="C95" s="2789"/>
      <c r="D95" s="2789"/>
      <c r="E95" s="2789"/>
      <c r="F95" s="2789"/>
      <c r="G95" s="2789"/>
      <c r="H95" s="2790"/>
      <c r="I95" s="2807"/>
      <c r="J95" s="2808"/>
      <c r="K95" s="2808"/>
      <c r="L95" s="2808"/>
      <c r="M95" s="2808"/>
      <c r="N95" s="2808"/>
      <c r="O95" s="2808"/>
      <c r="P95" s="2808"/>
      <c r="Q95" s="2808"/>
      <c r="R95" s="2808"/>
      <c r="S95" s="2808"/>
      <c r="T95" s="2808"/>
      <c r="U95" s="2808"/>
      <c r="V95" s="2808"/>
      <c r="W95" s="2808"/>
      <c r="X95" s="2808"/>
      <c r="Y95" s="2808"/>
      <c r="Z95" s="2808"/>
      <c r="AA95" s="2809"/>
      <c r="AB95" s="2780"/>
      <c r="AC95" s="2780"/>
      <c r="AD95" s="2780"/>
      <c r="AE95" s="2780"/>
      <c r="AF95" s="2780"/>
      <c r="AG95" s="2780"/>
      <c r="AH95" s="278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8" t="s">
        <v>2111</v>
      </c>
      <c r="C96" s="2789"/>
      <c r="D96" s="2789"/>
      <c r="E96" s="2789"/>
      <c r="F96" s="2789"/>
      <c r="G96" s="2789"/>
      <c r="H96" s="2790"/>
      <c r="I96" s="2810"/>
      <c r="J96" s="2811"/>
      <c r="K96" s="2811"/>
      <c r="L96" s="2811"/>
      <c r="M96" s="2811"/>
      <c r="N96" s="2811"/>
      <c r="O96" s="2811"/>
      <c r="P96" s="2811"/>
      <c r="Q96" s="2811"/>
      <c r="R96" s="2811"/>
      <c r="S96" s="2811"/>
      <c r="T96" s="2811"/>
      <c r="U96" s="2811"/>
      <c r="V96" s="2811"/>
      <c r="W96" s="2811"/>
      <c r="X96" s="2811"/>
      <c r="Y96" s="2811"/>
      <c r="Z96" s="2811"/>
      <c r="AA96" s="2812"/>
      <c r="AB96" s="2722"/>
      <c r="AC96" s="2722"/>
      <c r="AD96" s="2722"/>
      <c r="AE96" s="2722"/>
      <c r="AF96" s="2722"/>
      <c r="AG96" s="2722"/>
      <c r="AH96" s="272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5" t="s">
        <v>2117</v>
      </c>
      <c r="C100" s="2626"/>
      <c r="D100" s="2626"/>
      <c r="E100" s="2626"/>
      <c r="F100" s="2626"/>
      <c r="G100" s="2626"/>
      <c r="H100" s="2626"/>
      <c r="I100" s="2626"/>
      <c r="J100" s="2626"/>
      <c r="K100" s="2626"/>
      <c r="L100" s="2626"/>
      <c r="M100" s="2626"/>
      <c r="N100" s="2626"/>
      <c r="O100" s="2626"/>
      <c r="P100" s="2626"/>
      <c r="Q100" s="2626"/>
      <c r="R100" s="2626"/>
      <c r="S100" s="2626"/>
      <c r="T100" s="2626"/>
      <c r="U100" s="282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0"/>
      <c r="C101" s="2831"/>
      <c r="D101" s="2831"/>
      <c r="E101" s="2831"/>
      <c r="F101" s="2831"/>
      <c r="G101" s="2831"/>
      <c r="H101" s="2832"/>
      <c r="I101" s="2762" t="s">
        <v>2107</v>
      </c>
      <c r="J101" s="2763"/>
      <c r="K101" s="2763"/>
      <c r="L101" s="2763"/>
      <c r="M101" s="2763"/>
      <c r="N101" s="2763"/>
      <c r="O101" s="2833"/>
      <c r="P101" s="2762" t="s">
        <v>2118</v>
      </c>
      <c r="Q101" s="2763"/>
      <c r="R101" s="2763"/>
      <c r="S101" s="2763"/>
      <c r="T101" s="2763"/>
      <c r="U101" s="283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4" t="s">
        <v>2110</v>
      </c>
      <c r="C102" s="2835"/>
      <c r="D102" s="2835"/>
      <c r="E102" s="2835"/>
      <c r="F102" s="2835"/>
      <c r="G102" s="2835"/>
      <c r="H102" s="2835"/>
      <c r="I102" s="2815"/>
      <c r="J102" s="2816"/>
      <c r="K102" s="2816"/>
      <c r="L102" s="2816"/>
      <c r="M102" s="2816"/>
      <c r="N102" s="2816"/>
      <c r="O102" s="2817"/>
      <c r="P102" s="2815"/>
      <c r="Q102" s="2816"/>
      <c r="R102" s="2816"/>
      <c r="S102" s="2816"/>
      <c r="T102" s="2816"/>
      <c r="U102" s="281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5" t="s">
        <v>2111</v>
      </c>
      <c r="C103" s="2766"/>
      <c r="D103" s="2766"/>
      <c r="E103" s="2766"/>
      <c r="F103" s="2766"/>
      <c r="G103" s="2766"/>
      <c r="H103" s="2766"/>
      <c r="I103" s="2815"/>
      <c r="J103" s="2816"/>
      <c r="K103" s="2816"/>
      <c r="L103" s="2816"/>
      <c r="M103" s="2816"/>
      <c r="N103" s="2816"/>
      <c r="O103" s="2817"/>
      <c r="P103" s="2815"/>
      <c r="Q103" s="2816"/>
      <c r="R103" s="2816"/>
      <c r="S103" s="2816"/>
      <c r="T103" s="2816"/>
      <c r="U103" s="281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8" t="s">
        <v>2119</v>
      </c>
      <c r="C105" s="2819"/>
      <c r="D105" s="2819"/>
      <c r="E105" s="2819"/>
      <c r="F105" s="2819"/>
      <c r="G105" s="2819"/>
      <c r="H105" s="2819"/>
      <c r="I105" s="2819"/>
      <c r="J105" s="2819"/>
      <c r="K105" s="2819"/>
      <c r="L105" s="2819"/>
      <c r="M105" s="2819"/>
      <c r="N105" s="2819"/>
      <c r="O105" s="2819"/>
      <c r="P105" s="2819"/>
      <c r="Q105" s="2819"/>
      <c r="R105" s="2820"/>
      <c r="S105" s="2820"/>
      <c r="T105" s="2820"/>
      <c r="U105" s="2820"/>
      <c r="V105" s="2820"/>
      <c r="W105" s="2820"/>
      <c r="X105" s="2820"/>
      <c r="Y105" s="2820"/>
      <c r="Z105" s="2820"/>
      <c r="AA105" s="2820"/>
      <c r="AB105" s="2820"/>
      <c r="AC105" s="2820"/>
      <c r="AD105" s="2820"/>
      <c r="AE105" s="2820"/>
      <c r="AF105" s="2820"/>
      <c r="AG105" s="2821" t="s">
        <v>2053</v>
      </c>
      <c r="AH105" s="2821"/>
      <c r="AI105" s="2821"/>
      <c r="AJ105" s="282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3" t="s">
        <v>2120</v>
      </c>
      <c r="C106" s="2824"/>
      <c r="D106" s="2824"/>
      <c r="E106" s="2824"/>
      <c r="F106" s="2824"/>
      <c r="G106" s="2824"/>
      <c r="H106" s="2824"/>
      <c r="I106" s="2824"/>
      <c r="J106" s="2824"/>
      <c r="K106" s="2824"/>
      <c r="L106" s="2824"/>
      <c r="M106" s="2824"/>
      <c r="N106" s="2824"/>
      <c r="O106" s="2824"/>
      <c r="P106" s="2824"/>
      <c r="Q106" s="2825"/>
      <c r="R106" s="2826" t="s">
        <v>2121</v>
      </c>
      <c r="S106" s="2827"/>
      <c r="T106" s="2827"/>
      <c r="U106" s="2827"/>
      <c r="V106" s="2827"/>
      <c r="W106" s="2827"/>
      <c r="X106" s="2827"/>
      <c r="Y106" s="2827"/>
      <c r="Z106" s="2827"/>
      <c r="AA106" s="2827"/>
      <c r="AB106" s="2827"/>
      <c r="AC106" s="2827"/>
      <c r="AD106" s="2827"/>
      <c r="AE106" s="2827"/>
      <c r="AF106" s="2827"/>
      <c r="AG106" s="2827"/>
      <c r="AH106" s="2827"/>
      <c r="AI106" s="2827"/>
      <c r="AJ106" s="2827"/>
      <c r="AK106" s="2827"/>
      <c r="AL106" s="2827"/>
      <c r="AM106" s="2827"/>
      <c r="AN106" s="2827"/>
      <c r="AO106" s="2827"/>
      <c r="AP106" s="2827"/>
      <c r="AQ106" s="2827"/>
      <c r="AR106" s="2827"/>
      <c r="AS106" s="2827"/>
      <c r="AT106" s="2827"/>
      <c r="AU106" s="2827"/>
      <c r="AV106" s="2827"/>
      <c r="AW106" s="2827"/>
      <c r="AX106" s="2828"/>
      <c r="AY106" s="1531"/>
      <c r="AZ106" s="1531"/>
      <c r="BA106" s="1531"/>
      <c r="BB106" s="1531"/>
      <c r="BC106" s="1531"/>
      <c r="BD106" s="1531"/>
      <c r="BE106" s="1537"/>
    </row>
    <row r="107" spans="1:57" ht="15.75" customHeight="1">
      <c r="A107" s="1836"/>
      <c r="B107" s="2849" t="s">
        <v>2122</v>
      </c>
      <c r="C107" s="2850"/>
      <c r="D107" s="2850"/>
      <c r="E107" s="2850"/>
      <c r="F107" s="2850"/>
      <c r="G107" s="2850"/>
      <c r="H107" s="2850"/>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50"/>
      <c r="AD107" s="2850"/>
      <c r="AE107" s="2850"/>
      <c r="AF107" s="2850"/>
      <c r="AG107" s="2850"/>
      <c r="AH107" s="2850"/>
      <c r="AI107" s="2850"/>
      <c r="AJ107" s="2850"/>
      <c r="AK107" s="2850"/>
      <c r="AL107" s="2850"/>
      <c r="AM107" s="2850"/>
      <c r="AN107" s="2850"/>
      <c r="AO107" s="2850"/>
      <c r="AP107" s="2850"/>
      <c r="AQ107" s="2850"/>
      <c r="AR107" s="2850"/>
      <c r="AS107" s="2850"/>
      <c r="AT107" s="2850"/>
      <c r="AU107" s="2850"/>
      <c r="AV107" s="2850"/>
      <c r="AW107" s="2850"/>
      <c r="AX107" s="2851"/>
      <c r="AY107" s="1531"/>
      <c r="AZ107" s="1531"/>
      <c r="BA107" s="1531"/>
      <c r="BB107" s="1531"/>
      <c r="BC107" s="1531"/>
      <c r="BD107" s="1531"/>
      <c r="BE107" s="1537"/>
    </row>
    <row r="108" spans="1:57" ht="15.75" customHeight="1">
      <c r="A108" s="1836"/>
      <c r="B108" s="2852"/>
      <c r="C108" s="2853"/>
      <c r="D108" s="2853"/>
      <c r="E108" s="2853"/>
      <c r="F108" s="2853"/>
      <c r="G108" s="2853"/>
      <c r="H108" s="2853"/>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53"/>
      <c r="AD108" s="2853"/>
      <c r="AE108" s="2853"/>
      <c r="AF108" s="2853"/>
      <c r="AG108" s="2853"/>
      <c r="AH108" s="2853"/>
      <c r="AI108" s="2853"/>
      <c r="AJ108" s="2853"/>
      <c r="AK108" s="2853"/>
      <c r="AL108" s="2853"/>
      <c r="AM108" s="2853"/>
      <c r="AN108" s="2853"/>
      <c r="AO108" s="2853"/>
      <c r="AP108" s="2853"/>
      <c r="AQ108" s="2853"/>
      <c r="AR108" s="2853"/>
      <c r="AS108" s="2853"/>
      <c r="AT108" s="2853"/>
      <c r="AU108" s="2853"/>
      <c r="AV108" s="2853"/>
      <c r="AW108" s="2853"/>
      <c r="AX108" s="2854"/>
      <c r="AY108" s="1531"/>
      <c r="AZ108" s="1531"/>
      <c r="BA108" s="1531"/>
      <c r="BB108" s="1531"/>
      <c r="BC108" s="1531"/>
      <c r="BD108" s="1531"/>
      <c r="BE108" s="1537"/>
    </row>
    <row r="109" spans="1:57" ht="15.75" customHeight="1">
      <c r="A109" s="1836"/>
      <c r="B109" s="2852"/>
      <c r="C109" s="2853"/>
      <c r="D109" s="2853"/>
      <c r="E109" s="2853"/>
      <c r="F109" s="2853"/>
      <c r="G109" s="2853"/>
      <c r="H109" s="2853"/>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53"/>
      <c r="AD109" s="2853"/>
      <c r="AE109" s="2853"/>
      <c r="AF109" s="2853"/>
      <c r="AG109" s="2853"/>
      <c r="AH109" s="2853"/>
      <c r="AI109" s="2853"/>
      <c r="AJ109" s="2853"/>
      <c r="AK109" s="2853"/>
      <c r="AL109" s="2853"/>
      <c r="AM109" s="2853"/>
      <c r="AN109" s="2853"/>
      <c r="AO109" s="2853"/>
      <c r="AP109" s="2853"/>
      <c r="AQ109" s="2853"/>
      <c r="AR109" s="2853"/>
      <c r="AS109" s="2853"/>
      <c r="AT109" s="2853"/>
      <c r="AU109" s="2853"/>
      <c r="AV109" s="2853"/>
      <c r="AW109" s="2853"/>
      <c r="AX109" s="2854"/>
      <c r="AY109" s="1531"/>
      <c r="AZ109" s="1531"/>
      <c r="BA109" s="1531"/>
      <c r="BB109" s="1531"/>
      <c r="BC109" s="1531"/>
      <c r="BD109" s="1531"/>
      <c r="BE109" s="1537"/>
    </row>
    <row r="110" spans="1:57" ht="15.75" customHeight="1">
      <c r="A110" s="1836"/>
      <c r="B110" s="2852"/>
      <c r="C110" s="2853"/>
      <c r="D110" s="2853"/>
      <c r="E110" s="2853"/>
      <c r="F110" s="2853"/>
      <c r="G110" s="2853"/>
      <c r="H110" s="2853"/>
      <c r="I110" s="2853"/>
      <c r="J110" s="2853"/>
      <c r="K110" s="2853"/>
      <c r="L110" s="2853"/>
      <c r="M110" s="2853"/>
      <c r="N110" s="2853"/>
      <c r="O110" s="2853"/>
      <c r="P110" s="2853"/>
      <c r="Q110" s="2853"/>
      <c r="R110" s="2853"/>
      <c r="S110" s="2853"/>
      <c r="T110" s="2853"/>
      <c r="U110" s="2853"/>
      <c r="V110" s="2853"/>
      <c r="W110" s="2853"/>
      <c r="X110" s="2853"/>
      <c r="Y110" s="2853"/>
      <c r="Z110" s="2853"/>
      <c r="AA110" s="2853"/>
      <c r="AB110" s="2853"/>
      <c r="AC110" s="2853"/>
      <c r="AD110" s="2853"/>
      <c r="AE110" s="2853"/>
      <c r="AF110" s="2853"/>
      <c r="AG110" s="2853"/>
      <c r="AH110" s="2853"/>
      <c r="AI110" s="2853"/>
      <c r="AJ110" s="2853"/>
      <c r="AK110" s="2853"/>
      <c r="AL110" s="2853"/>
      <c r="AM110" s="2853"/>
      <c r="AN110" s="2853"/>
      <c r="AO110" s="2853"/>
      <c r="AP110" s="2853"/>
      <c r="AQ110" s="2853"/>
      <c r="AR110" s="2853"/>
      <c r="AS110" s="2853"/>
      <c r="AT110" s="2853"/>
      <c r="AU110" s="2853"/>
      <c r="AV110" s="2853"/>
      <c r="AW110" s="2853"/>
      <c r="AX110" s="2854"/>
      <c r="AY110" s="1531"/>
      <c r="AZ110" s="1531"/>
      <c r="BA110" s="1531"/>
      <c r="BB110" s="1531"/>
      <c r="BC110" s="1531"/>
      <c r="BD110" s="1531"/>
      <c r="BE110" s="1537"/>
    </row>
    <row r="111" spans="1:57" ht="15.75" customHeight="1">
      <c r="A111" s="1836"/>
      <c r="B111" s="2852"/>
      <c r="C111" s="2853"/>
      <c r="D111" s="2853"/>
      <c r="E111" s="2853"/>
      <c r="F111" s="2853"/>
      <c r="G111" s="2853"/>
      <c r="H111" s="2853"/>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53"/>
      <c r="AD111" s="2853"/>
      <c r="AE111" s="2853"/>
      <c r="AF111" s="2853"/>
      <c r="AG111" s="2853"/>
      <c r="AH111" s="2853"/>
      <c r="AI111" s="2853"/>
      <c r="AJ111" s="2853"/>
      <c r="AK111" s="2853"/>
      <c r="AL111" s="2853"/>
      <c r="AM111" s="2853"/>
      <c r="AN111" s="2853"/>
      <c r="AO111" s="2853"/>
      <c r="AP111" s="2853"/>
      <c r="AQ111" s="2853"/>
      <c r="AR111" s="2853"/>
      <c r="AS111" s="2853"/>
      <c r="AT111" s="2853"/>
      <c r="AU111" s="2853"/>
      <c r="AV111" s="2853"/>
      <c r="AW111" s="2853"/>
      <c r="AX111" s="2854"/>
      <c r="AY111" s="1531"/>
      <c r="AZ111" s="1531"/>
      <c r="BA111" s="1531"/>
      <c r="BB111" s="1531"/>
      <c r="BC111" s="1531"/>
      <c r="BD111" s="1531"/>
      <c r="BE111" s="1537"/>
    </row>
    <row r="112" spans="1:57" ht="15.75" customHeight="1">
      <c r="A112" s="1836"/>
      <c r="B112" s="2852"/>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531"/>
      <c r="AZ112" s="1531"/>
      <c r="BA112" s="1531"/>
      <c r="BB112" s="1531"/>
      <c r="BC112" s="1531"/>
      <c r="BD112" s="1531"/>
      <c r="BE112" s="1537"/>
    </row>
    <row r="113" spans="1:57" ht="15.75" customHeight="1">
      <c r="A113" s="1836"/>
      <c r="B113" s="2852"/>
      <c r="C113" s="2853"/>
      <c r="D113" s="2853"/>
      <c r="E113" s="2853"/>
      <c r="F113" s="2853"/>
      <c r="G113" s="2853"/>
      <c r="H113" s="2853"/>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53"/>
      <c r="AD113" s="2853"/>
      <c r="AE113" s="2853"/>
      <c r="AF113" s="2853"/>
      <c r="AG113" s="2853"/>
      <c r="AH113" s="2853"/>
      <c r="AI113" s="2853"/>
      <c r="AJ113" s="2853"/>
      <c r="AK113" s="2853"/>
      <c r="AL113" s="2853"/>
      <c r="AM113" s="2853"/>
      <c r="AN113" s="2853"/>
      <c r="AO113" s="2853"/>
      <c r="AP113" s="2853"/>
      <c r="AQ113" s="2853"/>
      <c r="AR113" s="2853"/>
      <c r="AS113" s="2853"/>
      <c r="AT113" s="2853"/>
      <c r="AU113" s="2853"/>
      <c r="AV113" s="2853"/>
      <c r="AW113" s="2853"/>
      <c r="AX113" s="2854"/>
      <c r="AY113" s="1531"/>
      <c r="AZ113" s="1531"/>
      <c r="BA113" s="1531"/>
      <c r="BB113" s="1531"/>
      <c r="BC113" s="1531"/>
      <c r="BD113" s="1531"/>
      <c r="BE113" s="1537"/>
    </row>
    <row r="114" spans="1:57" ht="15.75" customHeight="1">
      <c r="A114" s="1836"/>
      <c r="B114" s="2852"/>
      <c r="C114" s="2853"/>
      <c r="D114" s="2853"/>
      <c r="E114" s="2853"/>
      <c r="F114" s="2853"/>
      <c r="G114" s="2853"/>
      <c r="H114" s="2853"/>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53"/>
      <c r="AD114" s="2853"/>
      <c r="AE114" s="2853"/>
      <c r="AF114" s="2853"/>
      <c r="AG114" s="2853"/>
      <c r="AH114" s="2853"/>
      <c r="AI114" s="2853"/>
      <c r="AJ114" s="2853"/>
      <c r="AK114" s="2853"/>
      <c r="AL114" s="2853"/>
      <c r="AM114" s="2853"/>
      <c r="AN114" s="2853"/>
      <c r="AO114" s="2853"/>
      <c r="AP114" s="2853"/>
      <c r="AQ114" s="2853"/>
      <c r="AR114" s="2853"/>
      <c r="AS114" s="2853"/>
      <c r="AT114" s="2853"/>
      <c r="AU114" s="2853"/>
      <c r="AV114" s="2853"/>
      <c r="AW114" s="2853"/>
      <c r="AX114" s="2854"/>
      <c r="AY114" s="1531"/>
      <c r="AZ114" s="1531"/>
      <c r="BA114" s="1531"/>
      <c r="BB114" s="1531"/>
      <c r="BC114" s="1531"/>
      <c r="BD114" s="1531"/>
      <c r="BE114" s="1537"/>
    </row>
    <row r="115" spans="1:57" ht="15.75" customHeight="1">
      <c r="A115" s="1836"/>
      <c r="B115" s="2852"/>
      <c r="C115" s="2853"/>
      <c r="D115" s="2853"/>
      <c r="E115" s="2853"/>
      <c r="F115" s="2853"/>
      <c r="G115" s="2853"/>
      <c r="H115" s="2853"/>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53"/>
      <c r="AD115" s="2853"/>
      <c r="AE115" s="2853"/>
      <c r="AF115" s="2853"/>
      <c r="AG115" s="2853"/>
      <c r="AH115" s="2853"/>
      <c r="AI115" s="2853"/>
      <c r="AJ115" s="2853"/>
      <c r="AK115" s="2853"/>
      <c r="AL115" s="2853"/>
      <c r="AM115" s="2853"/>
      <c r="AN115" s="2853"/>
      <c r="AO115" s="2853"/>
      <c r="AP115" s="2853"/>
      <c r="AQ115" s="2853"/>
      <c r="AR115" s="2853"/>
      <c r="AS115" s="2853"/>
      <c r="AT115" s="2853"/>
      <c r="AU115" s="2853"/>
      <c r="AV115" s="2853"/>
      <c r="AW115" s="2853"/>
      <c r="AX115" s="2854"/>
      <c r="AY115" s="1531"/>
      <c r="AZ115" s="1531"/>
      <c r="BA115" s="1531"/>
      <c r="BB115" s="1531"/>
      <c r="BC115" s="1531"/>
      <c r="BD115" s="1531"/>
      <c r="BE115" s="1537"/>
    </row>
    <row r="116" spans="1:57" ht="15.75" customHeight="1" thickBot="1">
      <c r="A116" s="1836"/>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5" t="s">
        <v>2124</v>
      </c>
      <c r="C120" s="2626"/>
      <c r="D120" s="2626"/>
      <c r="E120" s="2626"/>
      <c r="F120" s="2626"/>
      <c r="G120" s="2626"/>
      <c r="H120" s="2626"/>
      <c r="I120" s="2626"/>
      <c r="J120" s="2626"/>
      <c r="K120" s="2626"/>
      <c r="L120" s="2626"/>
      <c r="M120" s="2626"/>
      <c r="N120" s="2626"/>
      <c r="O120" s="2626"/>
      <c r="P120" s="2626"/>
      <c r="Q120" s="2626"/>
      <c r="R120" s="2626"/>
      <c r="S120" s="2626"/>
      <c r="T120" s="2626"/>
      <c r="U120" s="2829"/>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0"/>
      <c r="C121" s="2831"/>
      <c r="D121" s="2831"/>
      <c r="E121" s="2831"/>
      <c r="F121" s="2831"/>
      <c r="G121" s="2831"/>
      <c r="H121" s="2832"/>
      <c r="I121" s="2762" t="s">
        <v>2107</v>
      </c>
      <c r="J121" s="2763"/>
      <c r="K121" s="2763"/>
      <c r="L121" s="2763"/>
      <c r="M121" s="2763"/>
      <c r="N121" s="2763"/>
      <c r="O121" s="2833"/>
      <c r="P121" s="2762" t="s">
        <v>2118</v>
      </c>
      <c r="Q121" s="2763"/>
      <c r="R121" s="2763"/>
      <c r="S121" s="2763"/>
      <c r="T121" s="2763"/>
      <c r="U121" s="283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4" t="s">
        <v>2110</v>
      </c>
      <c r="C122" s="2835"/>
      <c r="D122" s="2835"/>
      <c r="E122" s="2835"/>
      <c r="F122" s="2835"/>
      <c r="G122" s="2835"/>
      <c r="H122" s="2835"/>
      <c r="I122" s="2815"/>
      <c r="J122" s="2816"/>
      <c r="K122" s="2816"/>
      <c r="L122" s="2816"/>
      <c r="M122" s="2816"/>
      <c r="N122" s="2816"/>
      <c r="O122" s="2817"/>
      <c r="P122" s="2815"/>
      <c r="Q122" s="2816"/>
      <c r="R122" s="2816"/>
      <c r="S122" s="2816"/>
      <c r="T122" s="2816"/>
      <c r="U122" s="281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5" t="s">
        <v>2111</v>
      </c>
      <c r="C123" s="2766"/>
      <c r="D123" s="2766"/>
      <c r="E123" s="2766"/>
      <c r="F123" s="2766"/>
      <c r="G123" s="2766"/>
      <c r="H123" s="2766"/>
      <c r="I123" s="2815"/>
      <c r="J123" s="2816"/>
      <c r="K123" s="2816"/>
      <c r="L123" s="2816"/>
      <c r="M123" s="2816"/>
      <c r="N123" s="2816"/>
      <c r="O123" s="2817"/>
      <c r="P123" s="2815"/>
      <c r="Q123" s="2816"/>
      <c r="R123" s="2816"/>
      <c r="S123" s="2816"/>
      <c r="T123" s="2816"/>
      <c r="U123" s="281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6" t="s">
        <v>2125</v>
      </c>
      <c r="D125" s="2837"/>
      <c r="E125" s="2837"/>
      <c r="F125" s="2837"/>
      <c r="G125" s="2837"/>
      <c r="H125" s="2837"/>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37"/>
      <c r="AD125" s="2837"/>
      <c r="AE125" s="2837"/>
      <c r="AF125" s="2837"/>
      <c r="AG125" s="283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39" t="s">
        <v>2126</v>
      </c>
      <c r="D126" s="2840"/>
      <c r="E126" s="2840"/>
      <c r="F126" s="2840"/>
      <c r="G126" s="2840"/>
      <c r="H126" s="2840"/>
      <c r="I126" s="2840"/>
      <c r="J126" s="2840"/>
      <c r="K126" s="2840"/>
      <c r="L126" s="2840"/>
      <c r="M126" s="2840"/>
      <c r="N126" s="2840"/>
      <c r="O126" s="2840"/>
      <c r="P126" s="2841"/>
      <c r="Q126" s="2842" t="s">
        <v>2127</v>
      </c>
      <c r="R126" s="2840"/>
      <c r="S126" s="2841"/>
      <c r="T126" s="2843" t="s">
        <v>2128</v>
      </c>
      <c r="U126" s="2844"/>
      <c r="V126" s="2844"/>
      <c r="W126" s="2844"/>
      <c r="X126" s="2844"/>
      <c r="Y126" s="2844"/>
      <c r="Z126" s="2844"/>
      <c r="AA126" s="2845"/>
      <c r="AB126" s="2846" t="s">
        <v>2129</v>
      </c>
      <c r="AC126" s="2847"/>
      <c r="AD126" s="2847"/>
      <c r="AE126" s="2847"/>
      <c r="AF126" s="2847"/>
      <c r="AG126" s="284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8" t="s">
        <v>2130</v>
      </c>
      <c r="D127" s="2859"/>
      <c r="E127" s="2859"/>
      <c r="F127" s="2859"/>
      <c r="G127" s="2859"/>
      <c r="H127" s="2859"/>
      <c r="I127" s="2859"/>
      <c r="J127" s="2859"/>
      <c r="K127" s="2859"/>
      <c r="L127" s="2859"/>
      <c r="M127" s="2859"/>
      <c r="N127" s="2859"/>
      <c r="O127" s="2859"/>
      <c r="P127" s="2860"/>
      <c r="Q127" s="2861">
        <v>55</v>
      </c>
      <c r="R127" s="2862"/>
      <c r="S127" s="2863"/>
      <c r="T127" s="2869"/>
      <c r="U127" s="2870"/>
      <c r="V127" s="2870"/>
      <c r="W127" s="2870"/>
      <c r="X127" s="2870"/>
      <c r="Y127" s="2870"/>
      <c r="Z127" s="2870"/>
      <c r="AA127" s="287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8" t="s">
        <v>432</v>
      </c>
      <c r="D128" s="2859"/>
      <c r="E128" s="2859"/>
      <c r="F128" s="2859"/>
      <c r="G128" s="2859"/>
      <c r="H128" s="2859"/>
      <c r="I128" s="2859"/>
      <c r="J128" s="2859"/>
      <c r="K128" s="2859"/>
      <c r="L128" s="2859"/>
      <c r="M128" s="2859"/>
      <c r="N128" s="2859"/>
      <c r="O128" s="2859"/>
      <c r="P128" s="2860"/>
      <c r="Q128" s="2861">
        <v>55</v>
      </c>
      <c r="R128" s="2862"/>
      <c r="S128" s="2863"/>
      <c r="T128" s="2871" t="str">
        <f>_xlfn.CONCAT(Application!AC515,"/", Application!AH515)</f>
        <v>N/A/</v>
      </c>
      <c r="U128" s="2872"/>
      <c r="V128" s="2872"/>
      <c r="W128" s="2872"/>
      <c r="X128" s="2872"/>
      <c r="Y128" s="2872"/>
      <c r="Z128" s="2872"/>
      <c r="AA128" s="287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8" t="s">
        <v>2131</v>
      </c>
      <c r="D129" s="2859"/>
      <c r="E129" s="2859"/>
      <c r="F129" s="2859"/>
      <c r="G129" s="2859"/>
      <c r="H129" s="2859"/>
      <c r="I129" s="2859"/>
      <c r="J129" s="2859"/>
      <c r="K129" s="2859"/>
      <c r="L129" s="2859"/>
      <c r="M129" s="2859"/>
      <c r="N129" s="2859"/>
      <c r="O129" s="2859"/>
      <c r="P129" s="2860"/>
      <c r="Q129" s="2861">
        <v>55</v>
      </c>
      <c r="R129" s="2862"/>
      <c r="S129" s="2863"/>
      <c r="T129" s="2864"/>
      <c r="U129" s="2865"/>
      <c r="V129" s="2865"/>
      <c r="W129" s="2865"/>
      <c r="X129" s="2865"/>
      <c r="Y129" s="2865"/>
      <c r="Z129" s="2865"/>
      <c r="AA129" s="286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8" t="s">
        <v>2132</v>
      </c>
      <c r="D130" s="2859"/>
      <c r="E130" s="2859"/>
      <c r="F130" s="2859"/>
      <c r="G130" s="2859"/>
      <c r="H130" s="2859"/>
      <c r="I130" s="2859"/>
      <c r="J130" s="2859"/>
      <c r="K130" s="2859"/>
      <c r="L130" s="2859"/>
      <c r="M130" s="2859"/>
      <c r="N130" s="2859"/>
      <c r="O130" s="2859"/>
      <c r="P130" s="2860"/>
      <c r="Q130" s="2866"/>
      <c r="R130" s="2867"/>
      <c r="S130" s="2868"/>
      <c r="T130" s="2869"/>
      <c r="U130" s="2870"/>
      <c r="V130" s="2870"/>
      <c r="W130" s="2870"/>
      <c r="X130" s="2870"/>
      <c r="Y130" s="2870"/>
      <c r="Z130" s="2870"/>
      <c r="AA130" s="287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8" t="s">
        <v>2085</v>
      </c>
      <c r="D131" s="2859"/>
      <c r="E131" s="2859"/>
      <c r="F131" s="2859"/>
      <c r="G131" s="2859"/>
      <c r="H131" s="2859"/>
      <c r="I131" s="2859"/>
      <c r="J131" s="2859"/>
      <c r="K131" s="2859"/>
      <c r="L131" s="2859"/>
      <c r="M131" s="2859"/>
      <c r="N131" s="2859"/>
      <c r="O131" s="2859"/>
      <c r="P131" s="2860"/>
      <c r="Q131" s="2873">
        <f>Application!AG400</f>
        <v>0</v>
      </c>
      <c r="R131" s="2874"/>
      <c r="S131" s="2875"/>
      <c r="T131" s="2869"/>
      <c r="U131" s="2870"/>
      <c r="V131" s="2870"/>
      <c r="W131" s="2870"/>
      <c r="X131" s="2870"/>
      <c r="Y131" s="2870"/>
      <c r="Z131" s="2870"/>
      <c r="AA131" s="2876"/>
      <c r="AB131" s="2877">
        <f>Application!AE401</f>
        <v>0</v>
      </c>
      <c r="AC131" s="2878"/>
      <c r="AD131" s="2878"/>
      <c r="AE131" s="2878"/>
      <c r="AF131" s="2878"/>
      <c r="AG131" s="287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4" t="s">
        <v>175</v>
      </c>
      <c r="D132" s="2595"/>
      <c r="E132" s="2595"/>
      <c r="F132" s="2880" t="s">
        <v>2133</v>
      </c>
      <c r="G132" s="2880"/>
      <c r="H132" s="2880"/>
      <c r="I132" s="2880"/>
      <c r="J132" s="2880"/>
      <c r="K132" s="2880"/>
      <c r="L132" s="2880"/>
      <c r="M132" s="2880"/>
      <c r="N132" s="2880"/>
      <c r="O132" s="2880"/>
      <c r="P132" s="2880"/>
      <c r="Q132" s="2881">
        <v>55</v>
      </c>
      <c r="R132" s="2881"/>
      <c r="S132" s="2881"/>
      <c r="T132" s="2882"/>
      <c r="U132" s="2882"/>
      <c r="V132" s="2882"/>
      <c r="W132" s="2882"/>
      <c r="X132" s="2882"/>
      <c r="Y132" s="2882"/>
      <c r="Z132" s="2882"/>
      <c r="AA132" s="2882"/>
      <c r="AB132" s="2883"/>
      <c r="AC132" s="2884"/>
      <c r="AD132" s="2884"/>
      <c r="AE132" s="2884"/>
      <c r="AF132" s="2884"/>
      <c r="AG132" s="288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4" t="s">
        <v>175</v>
      </c>
      <c r="D133" s="2595"/>
      <c r="E133" s="2595"/>
      <c r="F133" s="2880" t="s">
        <v>2133</v>
      </c>
      <c r="G133" s="2880"/>
      <c r="H133" s="2880"/>
      <c r="I133" s="2880"/>
      <c r="J133" s="2880"/>
      <c r="K133" s="2880"/>
      <c r="L133" s="2880"/>
      <c r="M133" s="2880"/>
      <c r="N133" s="2880"/>
      <c r="O133" s="2880"/>
      <c r="P133" s="2880"/>
      <c r="Q133" s="2881">
        <v>55</v>
      </c>
      <c r="R133" s="2881"/>
      <c r="S133" s="2881"/>
      <c r="T133" s="2882"/>
      <c r="U133" s="2882"/>
      <c r="V133" s="2882"/>
      <c r="W133" s="2882"/>
      <c r="X133" s="2882"/>
      <c r="Y133" s="2882"/>
      <c r="Z133" s="2882"/>
      <c r="AA133" s="2882"/>
      <c r="AB133" s="2883"/>
      <c r="AC133" s="2884"/>
      <c r="AD133" s="2884"/>
      <c r="AE133" s="2884"/>
      <c r="AF133" s="2884"/>
      <c r="AG133" s="288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4" t="s">
        <v>175</v>
      </c>
      <c r="D134" s="2595"/>
      <c r="E134" s="2595"/>
      <c r="F134" s="2886" t="s">
        <v>2133</v>
      </c>
      <c r="G134" s="2886"/>
      <c r="H134" s="2886"/>
      <c r="I134" s="2886"/>
      <c r="J134" s="2886"/>
      <c r="K134" s="2886"/>
      <c r="L134" s="2886"/>
      <c r="M134" s="2886"/>
      <c r="N134" s="2886"/>
      <c r="O134" s="2886"/>
      <c r="P134" s="2886"/>
      <c r="Q134" s="2768">
        <v>55</v>
      </c>
      <c r="R134" s="2768"/>
      <c r="S134" s="2768"/>
      <c r="T134" s="2767"/>
      <c r="U134" s="2767"/>
      <c r="V134" s="2767"/>
      <c r="W134" s="2767"/>
      <c r="X134" s="2767"/>
      <c r="Y134" s="2767"/>
      <c r="Z134" s="2767"/>
      <c r="AA134" s="2767"/>
      <c r="AB134" s="2887"/>
      <c r="AC134" s="2888"/>
      <c r="AD134" s="2888"/>
      <c r="AE134" s="2888"/>
      <c r="AF134" s="2888"/>
      <c r="AG134" s="288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6" t="s">
        <v>2134</v>
      </c>
      <c r="D136" s="2597"/>
      <c r="E136" s="2597"/>
      <c r="F136" s="2597"/>
      <c r="G136" s="2597"/>
      <c r="H136" s="2597"/>
      <c r="I136" s="2597"/>
      <c r="J136" s="2597"/>
      <c r="K136" s="2597"/>
      <c r="L136" s="2597"/>
      <c r="M136" s="2597"/>
      <c r="N136" s="2598"/>
      <c r="O136" s="1531"/>
      <c r="P136" s="2891" t="s">
        <v>2135</v>
      </c>
      <c r="Q136" s="2892"/>
      <c r="R136" s="2892"/>
      <c r="S136" s="2892"/>
      <c r="T136" s="2892"/>
      <c r="U136" s="2892"/>
      <c r="V136" s="2892"/>
      <c r="W136" s="2892"/>
      <c r="X136" s="2892"/>
      <c r="Y136" s="2892"/>
      <c r="Z136" s="2892"/>
      <c r="AA136" s="2892"/>
      <c r="AB136" s="2892"/>
      <c r="AC136" s="2892"/>
      <c r="AD136" s="2892"/>
      <c r="AE136" s="2892"/>
      <c r="AF136" s="2892"/>
      <c r="AG136" s="2892"/>
      <c r="AH136" s="2892"/>
      <c r="AI136" s="2892"/>
      <c r="AJ136" s="2892"/>
      <c r="AK136" s="2892"/>
      <c r="AL136" s="2892"/>
      <c r="AM136" s="2892"/>
      <c r="AN136" s="2892"/>
      <c r="AO136" s="289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1" t="s">
        <v>2136</v>
      </c>
      <c r="D137" s="2802"/>
      <c r="E137" s="2802"/>
      <c r="F137" s="2802"/>
      <c r="G137" s="2802"/>
      <c r="H137" s="2803"/>
      <c r="I137" s="2801" t="s">
        <v>2137</v>
      </c>
      <c r="J137" s="2802"/>
      <c r="K137" s="2802"/>
      <c r="L137" s="2802"/>
      <c r="M137" s="2802"/>
      <c r="N137" s="2803"/>
      <c r="O137" s="1531"/>
      <c r="P137" s="2894"/>
      <c r="Q137" s="2895"/>
      <c r="R137" s="2895"/>
      <c r="S137" s="2895"/>
      <c r="T137" s="2895"/>
      <c r="U137" s="2895"/>
      <c r="V137" s="2895"/>
      <c r="W137" s="2895"/>
      <c r="X137" s="2895"/>
      <c r="Y137" s="2895"/>
      <c r="Z137" s="2895"/>
      <c r="AA137" s="2895"/>
      <c r="AB137" s="2895"/>
      <c r="AC137" s="2895"/>
      <c r="AD137" s="2895"/>
      <c r="AE137" s="2895"/>
      <c r="AF137" s="2895"/>
      <c r="AG137" s="2895"/>
      <c r="AH137" s="2895"/>
      <c r="AI137" s="2895"/>
      <c r="AJ137" s="2895"/>
      <c r="AK137" s="2895"/>
      <c r="AL137" s="2895"/>
      <c r="AM137" s="2895"/>
      <c r="AN137" s="2895"/>
      <c r="AO137" s="289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5"/>
      <c r="D138" s="2705"/>
      <c r="E138" s="2705"/>
      <c r="F138" s="2705"/>
      <c r="G138" s="2705"/>
      <c r="H138" s="2705"/>
      <c r="I138" s="2890"/>
      <c r="J138" s="2890"/>
      <c r="K138" s="2890"/>
      <c r="L138" s="2890"/>
      <c r="M138" s="2890"/>
      <c r="N138" s="2890"/>
      <c r="O138" s="1531"/>
      <c r="P138" s="2894"/>
      <c r="Q138" s="2895"/>
      <c r="R138" s="2895"/>
      <c r="S138" s="2895"/>
      <c r="T138" s="2895"/>
      <c r="U138" s="2895"/>
      <c r="V138" s="2895"/>
      <c r="W138" s="2895"/>
      <c r="X138" s="2895"/>
      <c r="Y138" s="2895"/>
      <c r="Z138" s="2895"/>
      <c r="AA138" s="2895"/>
      <c r="AB138" s="2895"/>
      <c r="AC138" s="2895"/>
      <c r="AD138" s="2895"/>
      <c r="AE138" s="2895"/>
      <c r="AF138" s="2895"/>
      <c r="AG138" s="2895"/>
      <c r="AH138" s="2895"/>
      <c r="AI138" s="2895"/>
      <c r="AJ138" s="2895"/>
      <c r="AK138" s="2895"/>
      <c r="AL138" s="2895"/>
      <c r="AM138" s="2895"/>
      <c r="AN138" s="2895"/>
      <c r="AO138" s="289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5"/>
      <c r="D139" s="2705"/>
      <c r="E139" s="2705"/>
      <c r="F139" s="2705"/>
      <c r="G139" s="2705"/>
      <c r="H139" s="2705"/>
      <c r="I139" s="2890"/>
      <c r="J139" s="2890"/>
      <c r="K139" s="2890"/>
      <c r="L139" s="2890"/>
      <c r="M139" s="2890"/>
      <c r="N139" s="2890"/>
      <c r="O139" s="1531"/>
      <c r="P139" s="2894"/>
      <c r="Q139" s="2895"/>
      <c r="R139" s="2895"/>
      <c r="S139" s="2895"/>
      <c r="T139" s="2895"/>
      <c r="U139" s="2895"/>
      <c r="V139" s="2895"/>
      <c r="W139" s="2895"/>
      <c r="X139" s="2895"/>
      <c r="Y139" s="2895"/>
      <c r="Z139" s="2895"/>
      <c r="AA139" s="2895"/>
      <c r="AB139" s="2895"/>
      <c r="AC139" s="2895"/>
      <c r="AD139" s="2895"/>
      <c r="AE139" s="2895"/>
      <c r="AF139" s="2895"/>
      <c r="AG139" s="2895"/>
      <c r="AH139" s="2895"/>
      <c r="AI139" s="2895"/>
      <c r="AJ139" s="2895"/>
      <c r="AK139" s="2895"/>
      <c r="AL139" s="2895"/>
      <c r="AM139" s="2895"/>
      <c r="AN139" s="2895"/>
      <c r="AO139" s="289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5"/>
      <c r="D140" s="2705"/>
      <c r="E140" s="2705"/>
      <c r="F140" s="2705"/>
      <c r="G140" s="2705"/>
      <c r="H140" s="2705"/>
      <c r="I140" s="2890"/>
      <c r="J140" s="2890"/>
      <c r="K140" s="2890"/>
      <c r="L140" s="2890"/>
      <c r="M140" s="2890"/>
      <c r="N140" s="2890"/>
      <c r="O140" s="1531"/>
      <c r="P140" s="2894"/>
      <c r="Q140" s="2895"/>
      <c r="R140" s="2895"/>
      <c r="S140" s="2895"/>
      <c r="T140" s="2895"/>
      <c r="U140" s="2895"/>
      <c r="V140" s="2895"/>
      <c r="W140" s="2895"/>
      <c r="X140" s="2895"/>
      <c r="Y140" s="2895"/>
      <c r="Z140" s="2895"/>
      <c r="AA140" s="2895"/>
      <c r="AB140" s="2895"/>
      <c r="AC140" s="2895"/>
      <c r="AD140" s="2895"/>
      <c r="AE140" s="2895"/>
      <c r="AF140" s="2895"/>
      <c r="AG140" s="2895"/>
      <c r="AH140" s="2895"/>
      <c r="AI140" s="2895"/>
      <c r="AJ140" s="2895"/>
      <c r="AK140" s="2895"/>
      <c r="AL140" s="2895"/>
      <c r="AM140" s="2895"/>
      <c r="AN140" s="2895"/>
      <c r="AO140" s="289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5"/>
      <c r="D141" s="2705"/>
      <c r="E141" s="2705"/>
      <c r="F141" s="2705"/>
      <c r="G141" s="2705"/>
      <c r="H141" s="2705"/>
      <c r="I141" s="2890"/>
      <c r="J141" s="2890"/>
      <c r="K141" s="2890"/>
      <c r="L141" s="2890"/>
      <c r="M141" s="2890"/>
      <c r="N141" s="2890"/>
      <c r="O141" s="1531"/>
      <c r="P141" s="2894"/>
      <c r="Q141" s="2895"/>
      <c r="R141" s="2895"/>
      <c r="S141" s="2895"/>
      <c r="T141" s="2895"/>
      <c r="U141" s="2895"/>
      <c r="V141" s="2895"/>
      <c r="W141" s="2895"/>
      <c r="X141" s="2895"/>
      <c r="Y141" s="2895"/>
      <c r="Z141" s="2895"/>
      <c r="AA141" s="2895"/>
      <c r="AB141" s="2895"/>
      <c r="AC141" s="2895"/>
      <c r="AD141" s="2895"/>
      <c r="AE141" s="2895"/>
      <c r="AF141" s="2895"/>
      <c r="AG141" s="2895"/>
      <c r="AH141" s="2895"/>
      <c r="AI141" s="2895"/>
      <c r="AJ141" s="2895"/>
      <c r="AK141" s="2895"/>
      <c r="AL141" s="2895"/>
      <c r="AM141" s="2895"/>
      <c r="AN141" s="2895"/>
      <c r="AO141" s="289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5"/>
      <c r="D142" s="2705"/>
      <c r="E142" s="2705"/>
      <c r="F142" s="2705"/>
      <c r="G142" s="2705"/>
      <c r="H142" s="2705"/>
      <c r="I142" s="2890"/>
      <c r="J142" s="2890"/>
      <c r="K142" s="2890"/>
      <c r="L142" s="2890"/>
      <c r="M142" s="2890"/>
      <c r="N142" s="2890"/>
      <c r="O142" s="1531"/>
      <c r="P142" s="2894"/>
      <c r="Q142" s="2895"/>
      <c r="R142" s="2895"/>
      <c r="S142" s="2895"/>
      <c r="T142" s="2895"/>
      <c r="U142" s="2895"/>
      <c r="V142" s="2895"/>
      <c r="W142" s="2895"/>
      <c r="X142" s="2895"/>
      <c r="Y142" s="2895"/>
      <c r="Z142" s="2895"/>
      <c r="AA142" s="2895"/>
      <c r="AB142" s="2895"/>
      <c r="AC142" s="2895"/>
      <c r="AD142" s="2895"/>
      <c r="AE142" s="2895"/>
      <c r="AF142" s="2895"/>
      <c r="AG142" s="2895"/>
      <c r="AH142" s="2895"/>
      <c r="AI142" s="2895"/>
      <c r="AJ142" s="2895"/>
      <c r="AK142" s="2895"/>
      <c r="AL142" s="2895"/>
      <c r="AM142" s="2895"/>
      <c r="AN142" s="2895"/>
      <c r="AO142" s="289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5"/>
      <c r="D143" s="2705"/>
      <c r="E143" s="2705"/>
      <c r="F143" s="2705"/>
      <c r="G143" s="2705"/>
      <c r="H143" s="2705"/>
      <c r="I143" s="2890"/>
      <c r="J143" s="2890"/>
      <c r="K143" s="2890"/>
      <c r="L143" s="2890"/>
      <c r="M143" s="2890"/>
      <c r="N143" s="2890"/>
      <c r="O143" s="1531"/>
      <c r="P143" s="2894"/>
      <c r="Q143" s="2895"/>
      <c r="R143" s="2895"/>
      <c r="S143" s="2895"/>
      <c r="T143" s="2895"/>
      <c r="U143" s="2895"/>
      <c r="V143" s="2895"/>
      <c r="W143" s="2895"/>
      <c r="X143" s="2895"/>
      <c r="Y143" s="2895"/>
      <c r="Z143" s="2895"/>
      <c r="AA143" s="2895"/>
      <c r="AB143" s="2895"/>
      <c r="AC143" s="2895"/>
      <c r="AD143" s="2895"/>
      <c r="AE143" s="2895"/>
      <c r="AF143" s="2895"/>
      <c r="AG143" s="2895"/>
      <c r="AH143" s="2895"/>
      <c r="AI143" s="2895"/>
      <c r="AJ143" s="2895"/>
      <c r="AK143" s="2895"/>
      <c r="AL143" s="2895"/>
      <c r="AM143" s="2895"/>
      <c r="AN143" s="2895"/>
      <c r="AO143" s="289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5"/>
      <c r="D144" s="2705"/>
      <c r="E144" s="2705"/>
      <c r="F144" s="2705"/>
      <c r="G144" s="2705"/>
      <c r="H144" s="2705"/>
      <c r="I144" s="2890"/>
      <c r="J144" s="2890"/>
      <c r="K144" s="2890"/>
      <c r="L144" s="2890"/>
      <c r="M144" s="2890"/>
      <c r="N144" s="2890"/>
      <c r="O144" s="1531"/>
      <c r="P144" s="2897"/>
      <c r="Q144" s="2898"/>
      <c r="R144" s="2898"/>
      <c r="S144" s="2898"/>
      <c r="T144" s="2898"/>
      <c r="U144" s="2898"/>
      <c r="V144" s="2898"/>
      <c r="W144" s="2898"/>
      <c r="X144" s="2898"/>
      <c r="Y144" s="2898"/>
      <c r="Z144" s="2898"/>
      <c r="AA144" s="2898"/>
      <c r="AB144" s="2898"/>
      <c r="AC144" s="2898"/>
      <c r="AD144" s="2898"/>
      <c r="AE144" s="2898"/>
      <c r="AF144" s="2898"/>
      <c r="AG144" s="2898"/>
      <c r="AH144" s="2898"/>
      <c r="AI144" s="2898"/>
      <c r="AJ144" s="2898"/>
      <c r="AK144" s="2898"/>
      <c r="AL144" s="2898"/>
      <c r="AM144" s="2898"/>
      <c r="AN144" s="2898"/>
      <c r="AO144" s="289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0"/>
      <c r="D149" s="2911"/>
      <c r="E149" s="2911"/>
      <c r="F149" s="2911"/>
      <c r="G149" s="2911"/>
      <c r="H149" s="2911"/>
      <c r="I149" s="2911"/>
      <c r="J149" s="2911"/>
      <c r="K149" s="2911"/>
      <c r="L149" s="2911"/>
      <c r="M149" s="2912"/>
      <c r="N149" s="2913" t="s">
        <v>2140</v>
      </c>
      <c r="O149" s="2913"/>
      <c r="P149" s="2913"/>
      <c r="Q149" s="2913"/>
      <c r="R149" s="2913"/>
      <c r="S149" s="2913"/>
      <c r="T149" s="2914"/>
      <c r="U149" s="2915" t="s">
        <v>2126</v>
      </c>
      <c r="V149" s="2745"/>
      <c r="W149" s="2745"/>
      <c r="X149" s="2745"/>
      <c r="Y149" s="2745"/>
      <c r="Z149" s="2745"/>
      <c r="AA149" s="2745"/>
      <c r="AB149" s="2745"/>
      <c r="AC149" s="2745"/>
      <c r="AD149" s="2745"/>
      <c r="AE149" s="2746"/>
      <c r="AF149" s="1531"/>
      <c r="AG149" s="1531"/>
      <c r="AH149" s="2589" t="s">
        <v>2141</v>
      </c>
      <c r="AI149" s="2590"/>
      <c r="AJ149" s="2590"/>
      <c r="AK149" s="2590"/>
      <c r="AL149" s="2590"/>
      <c r="AM149" s="2590"/>
      <c r="AN149" s="2590"/>
      <c r="AO149" s="2590"/>
      <c r="AP149" s="2590"/>
      <c r="AQ149" s="2590"/>
      <c r="AR149" s="2590"/>
      <c r="AS149" s="2900"/>
      <c r="AT149" s="2901"/>
      <c r="AU149" s="2901"/>
      <c r="AV149" s="2901"/>
      <c r="AW149" s="2901"/>
      <c r="AX149" s="1531"/>
      <c r="AY149" s="1531"/>
      <c r="AZ149" s="1531"/>
      <c r="BA149" s="1531"/>
      <c r="BB149" s="1531"/>
      <c r="BC149" s="1531"/>
      <c r="BD149" s="1531"/>
      <c r="BE149" s="1537"/>
    </row>
    <row r="150" spans="1:57" ht="15.75" customHeight="1">
      <c r="A150" s="1836"/>
      <c r="B150" s="1531"/>
      <c r="C150" s="2839" t="s">
        <v>2142</v>
      </c>
      <c r="D150" s="2840"/>
      <c r="E150" s="2840"/>
      <c r="F150" s="2840"/>
      <c r="G150" s="2840"/>
      <c r="H150" s="2840"/>
      <c r="I150" s="2840"/>
      <c r="J150" s="2840"/>
      <c r="K150" s="2840"/>
      <c r="L150" s="2840"/>
      <c r="M150" s="2902"/>
      <c r="N150" s="2903">
        <f>'Sources and Uses Budget'!B104</f>
        <v>7441750</v>
      </c>
      <c r="O150" s="2903"/>
      <c r="P150" s="2903"/>
      <c r="Q150" s="2903"/>
      <c r="R150" s="2903"/>
      <c r="S150" s="2903"/>
      <c r="T150" s="2904"/>
      <c r="U150" s="2905"/>
      <c r="V150" s="2906"/>
      <c r="W150" s="2906"/>
      <c r="X150" s="2906"/>
      <c r="Y150" s="2906"/>
      <c r="Z150" s="2906"/>
      <c r="AA150" s="2906"/>
      <c r="AB150" s="2906"/>
      <c r="AC150" s="2906"/>
      <c r="AD150" s="2906"/>
      <c r="AE150" s="2907"/>
      <c r="AF150" s="1531"/>
      <c r="AG150" s="1531"/>
      <c r="AH150" s="2908" t="s">
        <v>2143</v>
      </c>
      <c r="AI150" s="2909"/>
      <c r="AJ150" s="2909"/>
      <c r="AK150" s="2909"/>
      <c r="AL150" s="2909"/>
      <c r="AM150" s="2909"/>
      <c r="AN150" s="2909"/>
      <c r="AO150" s="2909"/>
      <c r="AP150" s="2909"/>
      <c r="AQ150" s="2909"/>
      <c r="AR150" s="2909"/>
      <c r="AS150" s="2900"/>
      <c r="AT150" s="2901"/>
      <c r="AU150" s="2901"/>
      <c r="AV150" s="2901"/>
      <c r="AW150" s="2901"/>
      <c r="AX150" s="1531"/>
      <c r="AY150" s="1531"/>
      <c r="AZ150" s="1531"/>
      <c r="BA150" s="1531"/>
      <c r="BB150" s="1531"/>
      <c r="BC150" s="1531"/>
      <c r="BD150" s="1531"/>
      <c r="BE150" s="1537"/>
    </row>
    <row r="151" spans="1:57" ht="15.75" customHeight="1">
      <c r="A151" s="1836"/>
      <c r="B151" s="1531"/>
      <c r="C151" s="2839" t="s">
        <v>2144</v>
      </c>
      <c r="D151" s="2840"/>
      <c r="E151" s="2840"/>
      <c r="F151" s="2840"/>
      <c r="G151" s="2840"/>
      <c r="H151" s="2840"/>
      <c r="I151" s="2840"/>
      <c r="J151" s="2840"/>
      <c r="K151" s="2840"/>
      <c r="L151" s="2840"/>
      <c r="M151" s="2902"/>
      <c r="N151" s="2903">
        <f>N150/J29</f>
        <v>45376.524390243903</v>
      </c>
      <c r="O151" s="2903"/>
      <c r="P151" s="2903"/>
      <c r="Q151" s="2903"/>
      <c r="R151" s="2903"/>
      <c r="S151" s="2903"/>
      <c r="T151" s="2904"/>
      <c r="U151" s="1555"/>
      <c r="V151" s="1555"/>
      <c r="W151" s="1555"/>
      <c r="X151" s="1555"/>
      <c r="Y151" s="1555"/>
      <c r="Z151" s="1555"/>
      <c r="AA151" s="1555"/>
      <c r="AB151" s="1555"/>
      <c r="AC151" s="1555"/>
      <c r="AD151" s="1555"/>
      <c r="AE151" s="1556"/>
      <c r="AF151" s="1531"/>
      <c r="AG151" s="1531"/>
      <c r="AH151" s="2858" t="s">
        <v>2145</v>
      </c>
      <c r="AI151" s="2859"/>
      <c r="AJ151" s="2859"/>
      <c r="AK151" s="2859"/>
      <c r="AL151" s="2859"/>
      <c r="AM151" s="2859"/>
      <c r="AN151" s="2859"/>
      <c r="AO151" s="2859"/>
      <c r="AP151" s="2859"/>
      <c r="AQ151" s="2859"/>
      <c r="AR151" s="2860"/>
      <c r="AS151" s="2900"/>
      <c r="AT151" s="2901"/>
      <c r="AU151" s="2901"/>
      <c r="AV151" s="2901"/>
      <c r="AW151" s="2901"/>
      <c r="AX151" s="1531"/>
      <c r="AY151" s="1531"/>
      <c r="AZ151" s="1531"/>
      <c r="BA151" s="1531"/>
      <c r="BB151" s="1531"/>
      <c r="BC151" s="1531"/>
      <c r="BD151" s="1531"/>
      <c r="BE151" s="1537"/>
    </row>
    <row r="152" spans="1:57" ht="15.75" customHeight="1">
      <c r="A152" s="1836"/>
      <c r="B152" s="1531"/>
      <c r="C152" s="2926" t="s">
        <v>2146</v>
      </c>
      <c r="D152" s="2763"/>
      <c r="E152" s="2763"/>
      <c r="F152" s="2763"/>
      <c r="G152" s="2763"/>
      <c r="H152" s="2763"/>
      <c r="I152" s="2763"/>
      <c r="J152" s="2763"/>
      <c r="K152" s="2763"/>
      <c r="L152" s="2763"/>
      <c r="M152" s="2764"/>
      <c r="N152" s="2927"/>
      <c r="O152" s="2927"/>
      <c r="P152" s="2927"/>
      <c r="Q152" s="2927"/>
      <c r="R152" s="2927"/>
      <c r="S152" s="2927"/>
      <c r="T152" s="2928"/>
      <c r="U152" s="2933"/>
      <c r="V152" s="2934"/>
      <c r="W152" s="2934"/>
      <c r="X152" s="2934"/>
      <c r="Y152" s="2934"/>
      <c r="Z152" s="2934"/>
      <c r="AA152" s="2934"/>
      <c r="AB152" s="2934"/>
      <c r="AC152" s="2934"/>
      <c r="AD152" s="2934"/>
      <c r="AE152" s="2935"/>
      <c r="AF152" s="1531"/>
      <c r="AG152" s="1531"/>
      <c r="AH152" s="2905"/>
      <c r="AI152" s="2906"/>
      <c r="AJ152" s="2906"/>
      <c r="AK152" s="2906"/>
      <c r="AL152" s="2906"/>
      <c r="AM152" s="2906"/>
      <c r="AN152" s="2906"/>
      <c r="AO152" s="2906"/>
      <c r="AP152" s="2906"/>
      <c r="AQ152" s="2906"/>
      <c r="AR152" s="2929"/>
      <c r="AS152" s="2930"/>
      <c r="AT152" s="2931"/>
      <c r="AU152" s="2931"/>
      <c r="AV152" s="2931"/>
      <c r="AW152" s="2932"/>
      <c r="AX152" s="1531"/>
      <c r="AY152" s="1531"/>
      <c r="AZ152" s="1531"/>
      <c r="BA152" s="1531"/>
      <c r="BB152" s="1531"/>
      <c r="BC152" s="1531"/>
      <c r="BD152" s="1531"/>
      <c r="BE152" s="1537"/>
    </row>
    <row r="153" spans="1:57" ht="15.75" customHeight="1" thickBot="1">
      <c r="A153" s="1836"/>
      <c r="B153" s="1531"/>
      <c r="C153" s="2858" t="s">
        <v>2147</v>
      </c>
      <c r="D153" s="2859"/>
      <c r="E153" s="2859"/>
      <c r="F153" s="2859"/>
      <c r="G153" s="2859"/>
      <c r="H153" s="2859"/>
      <c r="I153" s="2859"/>
      <c r="J153" s="2859"/>
      <c r="K153" s="2859"/>
      <c r="L153" s="2859"/>
      <c r="M153" s="2916"/>
      <c r="N153" s="2917">
        <f>SUM('Sources and Uses Budget'!B85:B86)</f>
        <v>5419768</v>
      </c>
      <c r="O153" s="2917"/>
      <c r="P153" s="2917"/>
      <c r="Q153" s="2917"/>
      <c r="R153" s="2917"/>
      <c r="S153" s="2917"/>
      <c r="T153" s="2918"/>
      <c r="U153" s="2919"/>
      <c r="V153" s="2920"/>
      <c r="W153" s="2920"/>
      <c r="X153" s="2920"/>
      <c r="Y153" s="2920"/>
      <c r="Z153" s="2920"/>
      <c r="AA153" s="2920"/>
      <c r="AB153" s="2920"/>
      <c r="AC153" s="2920"/>
      <c r="AD153" s="2920"/>
      <c r="AE153" s="2921"/>
      <c r="AF153" s="1531"/>
      <c r="AG153" s="1531"/>
      <c r="AH153" s="2922" t="s">
        <v>2148</v>
      </c>
      <c r="AI153" s="2923"/>
      <c r="AJ153" s="2923"/>
      <c r="AK153" s="2923"/>
      <c r="AL153" s="2923"/>
      <c r="AM153" s="2923"/>
      <c r="AN153" s="2923"/>
      <c r="AO153" s="2923"/>
      <c r="AP153" s="2923"/>
      <c r="AQ153" s="2923"/>
      <c r="AR153" s="2923"/>
      <c r="AS153" s="2924">
        <f>SUM(AS149:AW151)</f>
        <v>0</v>
      </c>
      <c r="AT153" s="2925"/>
      <c r="AU153" s="2925"/>
      <c r="AV153" s="2925"/>
      <c r="AW153" s="2925"/>
      <c r="AX153" s="1531"/>
      <c r="AY153" s="1531"/>
      <c r="AZ153" s="1531"/>
      <c r="BA153" s="1531"/>
      <c r="BB153" s="1531"/>
      <c r="BC153" s="1531"/>
      <c r="BD153" s="1531"/>
      <c r="BE153" s="1537"/>
    </row>
    <row r="154" spans="1:57" ht="15.75" customHeight="1">
      <c r="A154" s="1836"/>
      <c r="B154" s="1531"/>
      <c r="C154" s="2858" t="s">
        <v>2149</v>
      </c>
      <c r="D154" s="2859"/>
      <c r="E154" s="2859"/>
      <c r="F154" s="2859"/>
      <c r="G154" s="2859"/>
      <c r="H154" s="2859"/>
      <c r="I154" s="2859"/>
      <c r="J154" s="2859"/>
      <c r="K154" s="2859"/>
      <c r="L154" s="2859"/>
      <c r="M154" s="2916"/>
      <c r="N154" s="2917">
        <f>'Sources and Uses Budget'!B8</f>
        <v>4844248</v>
      </c>
      <c r="O154" s="2917"/>
      <c r="P154" s="2917"/>
      <c r="Q154" s="2917"/>
      <c r="R154" s="2917"/>
      <c r="S154" s="2917"/>
      <c r="T154" s="2918"/>
      <c r="U154" s="2919"/>
      <c r="V154" s="2920"/>
      <c r="W154" s="2920"/>
      <c r="X154" s="2920"/>
      <c r="Y154" s="2920"/>
      <c r="Z154" s="2920"/>
      <c r="AA154" s="2920"/>
      <c r="AB154" s="2920"/>
      <c r="AC154" s="2920"/>
      <c r="AD154" s="2920"/>
      <c r="AE154" s="292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8" t="s">
        <v>2150</v>
      </c>
      <c r="D155" s="2859"/>
      <c r="E155" s="2859"/>
      <c r="F155" s="2859"/>
      <c r="G155" s="2859"/>
      <c r="H155" s="2859"/>
      <c r="I155" s="2859"/>
      <c r="J155" s="2859"/>
      <c r="K155" s="2859"/>
      <c r="L155" s="2859"/>
      <c r="M155" s="2916"/>
      <c r="N155" s="2939"/>
      <c r="O155" s="2939"/>
      <c r="P155" s="2939"/>
      <c r="Q155" s="2939"/>
      <c r="R155" s="2939"/>
      <c r="S155" s="2939"/>
      <c r="T155" s="2940"/>
      <c r="U155" s="2919"/>
      <c r="V155" s="2920"/>
      <c r="W155" s="2920"/>
      <c r="X155" s="2920"/>
      <c r="Y155" s="2920"/>
      <c r="Z155" s="2920"/>
      <c r="AA155" s="2920"/>
      <c r="AB155" s="2920"/>
      <c r="AC155" s="2920"/>
      <c r="AD155" s="2920"/>
      <c r="AE155" s="292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8" t="s">
        <v>2143</v>
      </c>
      <c r="D156" s="2859"/>
      <c r="E156" s="2859"/>
      <c r="F156" s="2859"/>
      <c r="G156" s="2859"/>
      <c r="H156" s="2859"/>
      <c r="I156" s="2859"/>
      <c r="J156" s="2859"/>
      <c r="K156" s="2859"/>
      <c r="L156" s="2859"/>
      <c r="M156" s="2916"/>
      <c r="N156" s="2939"/>
      <c r="O156" s="2939"/>
      <c r="P156" s="2939"/>
      <c r="Q156" s="2939"/>
      <c r="R156" s="2939"/>
      <c r="S156" s="2939"/>
      <c r="T156" s="2940"/>
      <c r="U156" s="2919"/>
      <c r="V156" s="2920"/>
      <c r="W156" s="2920"/>
      <c r="X156" s="2920"/>
      <c r="Y156" s="2920"/>
      <c r="Z156" s="2920"/>
      <c r="AA156" s="2920"/>
      <c r="AB156" s="2920"/>
      <c r="AC156" s="2920"/>
      <c r="AD156" s="2920"/>
      <c r="AE156" s="292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6" t="s">
        <v>310</v>
      </c>
      <c r="D157" s="2937"/>
      <c r="E157" s="2880" t="s">
        <v>2133</v>
      </c>
      <c r="F157" s="2880"/>
      <c r="G157" s="2880"/>
      <c r="H157" s="2880"/>
      <c r="I157" s="2880"/>
      <c r="J157" s="2880"/>
      <c r="K157" s="2880"/>
      <c r="L157" s="2880"/>
      <c r="M157" s="2938"/>
      <c r="N157" s="2939"/>
      <c r="O157" s="2939"/>
      <c r="P157" s="2939"/>
      <c r="Q157" s="2939"/>
      <c r="R157" s="2939"/>
      <c r="S157" s="2939"/>
      <c r="T157" s="2940"/>
      <c r="U157" s="2919"/>
      <c r="V157" s="2920"/>
      <c r="W157" s="2920"/>
      <c r="X157" s="2920"/>
      <c r="Y157" s="2920"/>
      <c r="Z157" s="2920"/>
      <c r="AA157" s="2920"/>
      <c r="AB157" s="2920"/>
      <c r="AC157" s="2920"/>
      <c r="AD157" s="2920"/>
      <c r="AE157" s="292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3" t="s">
        <v>310</v>
      </c>
      <c r="D158" s="2934"/>
      <c r="E158" s="2880" t="s">
        <v>2133</v>
      </c>
      <c r="F158" s="2880"/>
      <c r="G158" s="2880"/>
      <c r="H158" s="2880"/>
      <c r="I158" s="2880"/>
      <c r="J158" s="2880"/>
      <c r="K158" s="2880"/>
      <c r="L158" s="2880"/>
      <c r="M158" s="2938"/>
      <c r="N158" s="2939"/>
      <c r="O158" s="2939"/>
      <c r="P158" s="2939"/>
      <c r="Q158" s="2939"/>
      <c r="R158" s="2939"/>
      <c r="S158" s="2939"/>
      <c r="T158" s="2940"/>
      <c r="U158" s="2919"/>
      <c r="V158" s="2920"/>
      <c r="W158" s="2920"/>
      <c r="X158" s="2920"/>
      <c r="Y158" s="2920"/>
      <c r="Z158" s="2920"/>
      <c r="AA158" s="2920"/>
      <c r="AB158" s="2920"/>
      <c r="AC158" s="2920"/>
      <c r="AD158" s="2920"/>
      <c r="AE158" s="292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2" t="s">
        <v>310</v>
      </c>
      <c r="D159" s="2953"/>
      <c r="E159" s="2886" t="s">
        <v>2133</v>
      </c>
      <c r="F159" s="2886"/>
      <c r="G159" s="2886"/>
      <c r="H159" s="2886"/>
      <c r="I159" s="2886"/>
      <c r="J159" s="2886"/>
      <c r="K159" s="2886"/>
      <c r="L159" s="2886"/>
      <c r="M159" s="2954"/>
      <c r="N159" s="2955"/>
      <c r="O159" s="2955"/>
      <c r="P159" s="2955"/>
      <c r="Q159" s="2955"/>
      <c r="R159" s="2955"/>
      <c r="S159" s="2955"/>
      <c r="T159" s="2956"/>
      <c r="U159" s="2957"/>
      <c r="V159" s="2958"/>
      <c r="W159" s="2958"/>
      <c r="X159" s="2958"/>
      <c r="Y159" s="2958"/>
      <c r="Z159" s="2958"/>
      <c r="AA159" s="2958"/>
      <c r="AB159" s="2958"/>
      <c r="AC159" s="2958"/>
      <c r="AD159" s="2958"/>
      <c r="AE159" s="295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0" t="s">
        <v>2151</v>
      </c>
      <c r="D160" s="2961"/>
      <c r="E160" s="2961"/>
      <c r="F160" s="2961"/>
      <c r="G160" s="2961"/>
      <c r="H160" s="2961"/>
      <c r="I160" s="2961"/>
      <c r="J160" s="2961"/>
      <c r="K160" s="2961"/>
      <c r="L160" s="2961"/>
      <c r="M160" s="2962"/>
      <c r="N160" s="2963">
        <f>SUM(N152:T159)</f>
        <v>10264016</v>
      </c>
      <c r="O160" s="2964"/>
      <c r="P160" s="2964"/>
      <c r="Q160" s="2964"/>
      <c r="R160" s="2964"/>
      <c r="S160" s="2964"/>
      <c r="T160" s="296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5" t="s">
        <v>2152</v>
      </c>
      <c r="D161" s="2766"/>
      <c r="E161" s="2766"/>
      <c r="F161" s="2766"/>
      <c r="G161" s="2766"/>
      <c r="H161" s="2766"/>
      <c r="I161" s="2766"/>
      <c r="J161" s="2766"/>
      <c r="K161" s="2766"/>
      <c r="L161" s="2766"/>
      <c r="M161" s="2766"/>
      <c r="N161" s="2941">
        <f>(N150-N160)/J29</f>
        <v>-17208.939024390245</v>
      </c>
      <c r="O161" s="2941"/>
      <c r="P161" s="2941"/>
      <c r="Q161" s="2941"/>
      <c r="R161" s="2941"/>
      <c r="S161" s="2941"/>
      <c r="T161" s="294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3" t="s">
        <v>2153</v>
      </c>
      <c r="C164" s="2944"/>
      <c r="D164" s="2944"/>
      <c r="E164" s="2944"/>
      <c r="F164" s="2944"/>
      <c r="G164" s="2944"/>
      <c r="H164" s="2944"/>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44"/>
      <c r="AD164" s="2944"/>
      <c r="AE164" s="2944"/>
      <c r="AF164" s="2944"/>
      <c r="AG164" s="2944"/>
      <c r="AH164" s="2944"/>
      <c r="AI164" s="2944"/>
      <c r="AJ164" s="2944"/>
      <c r="AK164" s="2944"/>
      <c r="AL164" s="2944"/>
      <c r="AM164" s="2944"/>
      <c r="AN164" s="2944"/>
      <c r="AO164" s="2944"/>
      <c r="AP164" s="2944"/>
      <c r="AQ164" s="2944"/>
      <c r="AR164" s="2944"/>
      <c r="AS164" s="2944"/>
      <c r="AT164" s="2944"/>
      <c r="AU164" s="2944"/>
      <c r="AV164" s="2944"/>
      <c r="AW164" s="2944"/>
      <c r="AX164" s="2944"/>
      <c r="AY164" s="2944"/>
      <c r="AZ164" s="2944"/>
      <c r="BA164" s="2944"/>
      <c r="BB164" s="2944"/>
      <c r="BC164" s="2944"/>
      <c r="BD164" s="2945"/>
      <c r="BE164" s="1537"/>
    </row>
    <row r="165" spans="1:57" ht="15.75" customHeight="1">
      <c r="A165" s="1836"/>
      <c r="B165" s="2946"/>
      <c r="C165" s="2947"/>
      <c r="D165" s="2947"/>
      <c r="E165" s="2947"/>
      <c r="F165" s="2947"/>
      <c r="G165" s="2947"/>
      <c r="H165" s="2947"/>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47"/>
      <c r="AD165" s="2947"/>
      <c r="AE165" s="2947"/>
      <c r="AF165" s="2947"/>
      <c r="AG165" s="2947"/>
      <c r="AH165" s="2947"/>
      <c r="AI165" s="2947"/>
      <c r="AJ165" s="2947"/>
      <c r="AK165" s="2947"/>
      <c r="AL165" s="2947"/>
      <c r="AM165" s="2947"/>
      <c r="AN165" s="2947"/>
      <c r="AO165" s="2947"/>
      <c r="AP165" s="2947"/>
      <c r="AQ165" s="2947"/>
      <c r="AR165" s="2947"/>
      <c r="AS165" s="2947"/>
      <c r="AT165" s="2947"/>
      <c r="AU165" s="2947"/>
      <c r="AV165" s="2947"/>
      <c r="AW165" s="2947"/>
      <c r="AX165" s="2947"/>
      <c r="AY165" s="2947"/>
      <c r="AZ165" s="2947"/>
      <c r="BA165" s="2947"/>
      <c r="BB165" s="2947"/>
      <c r="BC165" s="2947"/>
      <c r="BD165" s="2948"/>
      <c r="BE165" s="1537"/>
    </row>
    <row r="166" spans="1:57" ht="15.75" customHeight="1">
      <c r="A166" s="1836"/>
      <c r="B166" s="2949" t="s">
        <v>2154</v>
      </c>
      <c r="C166" s="2950"/>
      <c r="D166" s="2950"/>
      <c r="E166" s="2950"/>
      <c r="F166" s="2950"/>
      <c r="G166" s="2950"/>
      <c r="H166" s="2950"/>
      <c r="I166" s="2950"/>
      <c r="J166" s="2950"/>
      <c r="K166" s="2950"/>
      <c r="L166" s="2950"/>
      <c r="M166" s="2950"/>
      <c r="N166" s="2950"/>
      <c r="O166" s="2950"/>
      <c r="P166" s="2950"/>
      <c r="Q166" s="2950"/>
      <c r="R166" s="2950"/>
      <c r="S166" s="2950"/>
      <c r="T166" s="2950"/>
      <c r="U166" s="2950"/>
      <c r="V166" s="2950"/>
      <c r="W166" s="2950"/>
      <c r="X166" s="2950"/>
      <c r="Y166" s="2950"/>
      <c r="Z166" s="2950"/>
      <c r="AA166" s="2950"/>
      <c r="AB166" s="2950"/>
      <c r="AC166" s="2950"/>
      <c r="AD166" s="2950"/>
      <c r="AE166" s="2950"/>
      <c r="AF166" s="2950"/>
      <c r="AG166" s="2950"/>
      <c r="AH166" s="2950"/>
      <c r="AI166" s="2950"/>
      <c r="AJ166" s="2950"/>
      <c r="AK166" s="2950"/>
      <c r="AL166" s="2950"/>
      <c r="AM166" s="2950"/>
      <c r="AN166" s="2950"/>
      <c r="AO166" s="2950"/>
      <c r="AP166" s="2950"/>
      <c r="AQ166" s="2950"/>
      <c r="AR166" s="2950"/>
      <c r="AS166" s="2950"/>
      <c r="AT166" s="2950"/>
      <c r="AU166" s="2950"/>
      <c r="AV166" s="2950"/>
      <c r="AW166" s="2950"/>
      <c r="AX166" s="2950"/>
      <c r="AY166" s="2950"/>
      <c r="AZ166" s="2950"/>
      <c r="BA166" s="2950"/>
      <c r="BB166" s="2950"/>
      <c r="BC166" s="2950"/>
      <c r="BD166" s="2951"/>
      <c r="BE166" s="1537"/>
    </row>
    <row r="167" spans="1:57" ht="15.75" customHeight="1">
      <c r="A167" s="1836"/>
      <c r="B167" s="2949" t="s">
        <v>2155</v>
      </c>
      <c r="C167" s="2950"/>
      <c r="D167" s="2950"/>
      <c r="E167" s="2950"/>
      <c r="F167" s="2950"/>
      <c r="G167" s="2950"/>
      <c r="H167" s="2950"/>
      <c r="I167" s="2950"/>
      <c r="J167" s="2950"/>
      <c r="K167" s="2950"/>
      <c r="L167" s="2950"/>
      <c r="M167" s="2950"/>
      <c r="N167" s="2950"/>
      <c r="O167" s="2950"/>
      <c r="P167" s="2950"/>
      <c r="Q167" s="2950"/>
      <c r="R167" s="2950"/>
      <c r="S167" s="2950"/>
      <c r="T167" s="2950"/>
      <c r="U167" s="2950"/>
      <c r="V167" s="2950"/>
      <c r="W167" s="2950"/>
      <c r="X167" s="2950"/>
      <c r="Y167" s="2950"/>
      <c r="Z167" s="2950"/>
      <c r="AA167" s="2950"/>
      <c r="AB167" s="2950"/>
      <c r="AC167" s="2950"/>
      <c r="AD167" s="2950"/>
      <c r="AE167" s="2950"/>
      <c r="AF167" s="2950"/>
      <c r="AG167" s="2950"/>
      <c r="AH167" s="2950"/>
      <c r="AI167" s="2950"/>
      <c r="AJ167" s="2950"/>
      <c r="AK167" s="2950"/>
      <c r="AL167" s="2950"/>
      <c r="AM167" s="2950"/>
      <c r="AN167" s="2950"/>
      <c r="AO167" s="2950"/>
      <c r="AP167" s="2950"/>
      <c r="AQ167" s="2950"/>
      <c r="AR167" s="2950"/>
      <c r="AS167" s="2950"/>
      <c r="AT167" s="2950"/>
      <c r="AU167" s="2950"/>
      <c r="AV167" s="2950"/>
      <c r="AW167" s="2950"/>
      <c r="AX167" s="2950"/>
      <c r="AY167" s="2950"/>
      <c r="AZ167" s="2950"/>
      <c r="BA167" s="2950"/>
      <c r="BB167" s="2950"/>
      <c r="BC167" s="2950"/>
      <c r="BD167" s="295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2" t="s">
        <v>2156</v>
      </c>
      <c r="C169" s="2973"/>
      <c r="D169" s="2973"/>
      <c r="E169" s="2973"/>
      <c r="F169" s="2973"/>
      <c r="G169" s="2973"/>
      <c r="H169" s="2973"/>
      <c r="I169" s="2973"/>
      <c r="J169" s="2973"/>
      <c r="K169" s="2973"/>
      <c r="L169" s="2973"/>
      <c r="M169" s="2973"/>
      <c r="N169" s="2973"/>
      <c r="O169" s="2973"/>
      <c r="P169" s="2973"/>
      <c r="Q169" s="2973"/>
      <c r="R169" s="2973"/>
      <c r="S169" s="2973"/>
      <c r="T169" s="2973"/>
      <c r="U169" s="2973"/>
      <c r="V169" s="2973"/>
      <c r="W169" s="2973"/>
      <c r="X169" s="2973"/>
      <c r="Y169" s="2973"/>
      <c r="Z169" s="2973"/>
      <c r="AA169" s="2973"/>
      <c r="AB169" s="2973"/>
      <c r="AC169" s="2973"/>
      <c r="AD169" s="2973"/>
      <c r="AE169" s="2973"/>
      <c r="AF169" s="2973"/>
      <c r="AG169" s="2973"/>
      <c r="AH169" s="2973"/>
      <c r="AI169" s="2973"/>
      <c r="AJ169" s="2973"/>
      <c r="AK169" s="2973"/>
      <c r="AL169" s="2973"/>
      <c r="AM169" s="2973"/>
      <c r="AN169" s="2973"/>
      <c r="AO169" s="2973"/>
      <c r="AP169" s="2973"/>
      <c r="AQ169" s="2973"/>
      <c r="AR169" s="2973"/>
      <c r="AS169" s="2973"/>
      <c r="AT169" s="2973"/>
      <c r="AU169" s="2973"/>
      <c r="AV169" s="2973"/>
      <c r="AW169" s="2973"/>
      <c r="AX169" s="2973"/>
      <c r="AY169" s="2973"/>
      <c r="AZ169" s="2973"/>
      <c r="BA169" s="2973"/>
      <c r="BB169" s="2973"/>
      <c r="BC169" s="2973"/>
      <c r="BD169" s="297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5" t="s">
        <v>2158</v>
      </c>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6" t="s">
        <v>2159</v>
      </c>
      <c r="I175" s="2976"/>
      <c r="J175" s="2976"/>
      <c r="K175" s="2976"/>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c r="AG175" s="2976"/>
      <c r="AH175" s="2976"/>
      <c r="AI175" s="2976"/>
      <c r="AJ175" s="2976"/>
      <c r="AK175" s="2976"/>
      <c r="AL175" s="2976"/>
      <c r="AM175" s="2976"/>
      <c r="AN175" s="2976"/>
      <c r="AO175" s="2976"/>
      <c r="AP175" s="2976"/>
      <c r="AQ175" s="2976"/>
      <c r="AR175" s="2976"/>
      <c r="AS175" s="2976"/>
      <c r="AT175" s="2976"/>
      <c r="AU175" s="2976"/>
      <c r="AV175" s="2976"/>
      <c r="AW175" s="2976"/>
      <c r="AX175" s="2976"/>
      <c r="AY175" s="2976"/>
      <c r="AZ175" s="2976"/>
      <c r="BA175" s="1557"/>
      <c r="BB175" s="1557"/>
      <c r="BC175" s="1557"/>
      <c r="BD175" s="1537"/>
      <c r="BE175" s="1537"/>
    </row>
    <row r="176" spans="1:57" ht="15.75" customHeight="1">
      <c r="A176" s="1836"/>
      <c r="B176" s="1530"/>
      <c r="C176" s="1557"/>
      <c r="D176" s="1557"/>
      <c r="E176" s="1557"/>
      <c r="F176" s="1557"/>
      <c r="G176" s="1557"/>
      <c r="H176" s="2976"/>
      <c r="I176" s="2976"/>
      <c r="J176" s="2976"/>
      <c r="K176" s="2976"/>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c r="AG176" s="2976"/>
      <c r="AH176" s="2976"/>
      <c r="AI176" s="2976"/>
      <c r="AJ176" s="2976"/>
      <c r="AK176" s="2976"/>
      <c r="AL176" s="2976"/>
      <c r="AM176" s="2976"/>
      <c r="AN176" s="2976"/>
      <c r="AO176" s="2976"/>
      <c r="AP176" s="2976"/>
      <c r="AQ176" s="2976"/>
      <c r="AR176" s="2976"/>
      <c r="AS176" s="2976"/>
      <c r="AT176" s="2976"/>
      <c r="AU176" s="2976"/>
      <c r="AV176" s="2976"/>
      <c r="AW176" s="2976"/>
      <c r="AX176" s="2976"/>
      <c r="AY176" s="2976"/>
      <c r="AZ176" s="2976"/>
      <c r="BA176" s="1557"/>
      <c r="BB176" s="1557"/>
      <c r="BC176" s="1557"/>
      <c r="BD176" s="1537"/>
      <c r="BE176" s="1537"/>
    </row>
    <row r="177" spans="1:57" ht="15.75" customHeight="1">
      <c r="A177" s="1836"/>
      <c r="B177" s="1530"/>
      <c r="C177" s="1557"/>
      <c r="D177" s="1557"/>
      <c r="E177" s="1557"/>
      <c r="F177" s="1557"/>
      <c r="G177" s="1557"/>
      <c r="H177" s="2976"/>
      <c r="I177" s="2976"/>
      <c r="J177" s="2976"/>
      <c r="K177" s="2976"/>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c r="AG177" s="2976"/>
      <c r="AH177" s="2976"/>
      <c r="AI177" s="2976"/>
      <c r="AJ177" s="2976"/>
      <c r="AK177" s="2976"/>
      <c r="AL177" s="2976"/>
      <c r="AM177" s="2976"/>
      <c r="AN177" s="2976"/>
      <c r="AO177" s="2976"/>
      <c r="AP177" s="2976"/>
      <c r="AQ177" s="2976"/>
      <c r="AR177" s="2976"/>
      <c r="AS177" s="2976"/>
      <c r="AT177" s="2976"/>
      <c r="AU177" s="2976"/>
      <c r="AV177" s="2976"/>
      <c r="AW177" s="2976"/>
      <c r="AX177" s="2976"/>
      <c r="AY177" s="2976"/>
      <c r="AZ177" s="297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7" t="s">
        <v>2160</v>
      </c>
      <c r="I180" s="2977"/>
      <c r="J180" s="2977"/>
      <c r="K180" s="2977"/>
      <c r="L180" s="2977"/>
      <c r="M180" s="2977"/>
      <c r="N180" s="2977"/>
      <c r="O180" s="2977"/>
      <c r="P180" s="2977"/>
      <c r="Q180" s="2977"/>
      <c r="R180" s="2977"/>
      <c r="S180" s="2977"/>
      <c r="T180" s="2977"/>
      <c r="U180" s="2977"/>
      <c r="V180" s="2977"/>
      <c r="W180" s="2977"/>
      <c r="X180" s="2977"/>
      <c r="Y180" s="2977"/>
      <c r="Z180" s="2977"/>
      <c r="AA180" s="2977"/>
      <c r="AB180" s="2977"/>
      <c r="AC180" s="2977"/>
      <c r="AD180" s="2977"/>
      <c r="AE180" s="2977"/>
      <c r="AF180" s="2977"/>
      <c r="AG180" s="2977"/>
      <c r="AH180" s="2977"/>
      <c r="AI180" s="2977"/>
      <c r="AJ180" s="2977"/>
      <c r="AK180" s="2977"/>
      <c r="AL180" s="2977"/>
      <c r="AM180" s="2977"/>
      <c r="AN180" s="2977"/>
      <c r="AO180" s="2977"/>
      <c r="AP180" s="2977"/>
      <c r="AQ180" s="2977"/>
      <c r="AR180" s="2977"/>
      <c r="AS180" s="2977"/>
      <c r="AT180" s="2977"/>
      <c r="AU180" s="2977"/>
      <c r="AV180" s="297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0" t="s">
        <v>2161</v>
      </c>
      <c r="I182" s="2970"/>
      <c r="J182" s="2970"/>
      <c r="K182" s="2970"/>
      <c r="L182" s="1566"/>
      <c r="M182" s="1566"/>
      <c r="N182" s="1566"/>
      <c r="O182" s="1566"/>
      <c r="P182" s="1566"/>
      <c r="Q182" s="1566"/>
      <c r="R182" s="1566"/>
      <c r="S182" s="2967"/>
      <c r="T182" s="2968"/>
      <c r="U182" s="2968"/>
      <c r="V182" s="2968"/>
      <c r="W182" s="2968"/>
      <c r="X182" s="2968"/>
      <c r="Y182" s="2968"/>
      <c r="Z182" s="2968"/>
      <c r="AA182" s="2968"/>
      <c r="AB182" s="2968"/>
      <c r="AC182" s="2968"/>
      <c r="AD182" s="2968"/>
      <c r="AE182" s="2968"/>
      <c r="AF182" s="2968"/>
      <c r="AG182" s="2968"/>
      <c r="AH182" s="2968"/>
      <c r="AI182" s="2968"/>
      <c r="AJ182" s="296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0" t="s">
        <v>2162</v>
      </c>
      <c r="I184" s="2970"/>
      <c r="J184" s="2970"/>
      <c r="K184" s="1568"/>
      <c r="L184" s="1566"/>
      <c r="M184" s="1566"/>
      <c r="N184" s="1566"/>
      <c r="O184" s="1566"/>
      <c r="P184" s="1566"/>
      <c r="Q184" s="1566"/>
      <c r="R184" s="1566"/>
      <c r="S184" s="2967"/>
      <c r="T184" s="2968"/>
      <c r="U184" s="2968"/>
      <c r="V184" s="2968"/>
      <c r="W184" s="2968"/>
      <c r="X184" s="2968"/>
      <c r="Y184" s="2968"/>
      <c r="Z184" s="2968"/>
      <c r="AA184" s="2968"/>
      <c r="AB184" s="2968"/>
      <c r="AC184" s="2968"/>
      <c r="AD184" s="2968"/>
      <c r="AE184" s="2968"/>
      <c r="AF184" s="2968"/>
      <c r="AG184" s="2968"/>
      <c r="AH184" s="2968"/>
      <c r="AI184" s="2968"/>
      <c r="AJ184" s="296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0" t="s">
        <v>465</v>
      </c>
      <c r="I186" s="2970"/>
      <c r="J186" s="1568"/>
      <c r="K186" s="1568"/>
      <c r="L186" s="1566"/>
      <c r="M186" s="1566"/>
      <c r="N186" s="1566"/>
      <c r="O186" s="1566"/>
      <c r="P186" s="1566"/>
      <c r="Q186" s="1566"/>
      <c r="R186" s="1566"/>
      <c r="S186" s="2967"/>
      <c r="T186" s="2968"/>
      <c r="U186" s="2968"/>
      <c r="V186" s="2968"/>
      <c r="W186" s="2968"/>
      <c r="X186" s="2968"/>
      <c r="Y186" s="2968"/>
      <c r="Z186" s="2968"/>
      <c r="AA186" s="2968"/>
      <c r="AB186" s="2968"/>
      <c r="AC186" s="2968"/>
      <c r="AD186" s="2968"/>
      <c r="AE186" s="2968"/>
      <c r="AF186" s="2968"/>
      <c r="AG186" s="2968"/>
      <c r="AH186" s="2968"/>
      <c r="AI186" s="2968"/>
      <c r="AJ186" s="296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1" t="s">
        <v>2163</v>
      </c>
      <c r="I188" s="2971"/>
      <c r="J188" s="2971"/>
      <c r="K188" s="2971"/>
      <c r="L188" s="2971"/>
      <c r="M188" s="2971"/>
      <c r="N188" s="2971"/>
      <c r="O188" s="2971"/>
      <c r="P188" s="1566"/>
      <c r="Q188" s="1566"/>
      <c r="R188" s="1566"/>
      <c r="S188" s="2967"/>
      <c r="T188" s="2968"/>
      <c r="U188" s="2968"/>
      <c r="V188" s="2968"/>
      <c r="W188" s="2968"/>
      <c r="X188" s="2968"/>
      <c r="Y188" s="2968"/>
      <c r="Z188" s="2968"/>
      <c r="AA188" s="2968"/>
      <c r="AB188" s="2968"/>
      <c r="AC188" s="2968"/>
      <c r="AD188" s="2968"/>
      <c r="AE188" s="2968"/>
      <c r="AF188" s="2968"/>
      <c r="AG188" s="2968"/>
      <c r="AH188" s="2968"/>
      <c r="AI188" s="2968"/>
      <c r="AJ188" s="296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6" t="s">
        <v>2164</v>
      </c>
      <c r="I190" s="2966"/>
      <c r="J190" s="1566"/>
      <c r="K190" s="1566"/>
      <c r="L190" s="1566"/>
      <c r="M190" s="1566"/>
      <c r="N190" s="1566"/>
      <c r="O190" s="1566"/>
      <c r="P190" s="1566"/>
      <c r="Q190" s="1566"/>
      <c r="R190" s="1566"/>
      <c r="S190" s="2967"/>
      <c r="T190" s="2968"/>
      <c r="U190" s="2968"/>
      <c r="V190" s="2968"/>
      <c r="W190" s="2968"/>
      <c r="X190" s="2968"/>
      <c r="Y190" s="2968"/>
      <c r="Z190" s="2968"/>
      <c r="AA190" s="2968"/>
      <c r="AB190" s="2968"/>
      <c r="AC190" s="2968"/>
      <c r="AD190" s="2968"/>
      <c r="AE190" s="2968"/>
      <c r="AF190" s="2968"/>
      <c r="AG190" s="2968"/>
      <c r="AH190" s="2968"/>
      <c r="AI190" s="2968"/>
      <c r="AJ190" s="296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94" zoomScaleNormal="100" zoomScaleSheetLayoutView="100" workbookViewId="0">
      <selection activeCell="T404" sqref="T404"/>
    </sheetView>
  </sheetViews>
  <sheetFormatPr defaultColWidth="0" defaultRowHeight="13.2" zeroHeight="1"/>
  <cols>
    <col min="1" max="3" width="2.44140625" style="51" customWidth="1"/>
    <col min="4" max="4" width="3.33203125" style="51" customWidth="1"/>
    <col min="5" max="5" width="3.44140625" style="51" customWidth="1"/>
    <col min="6" max="6" width="2.6640625" style="51" customWidth="1"/>
    <col min="7" max="16" width="2.44140625" style="51" customWidth="1"/>
    <col min="17" max="17" width="3.3320312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6640625" style="51" hidden="1" customWidth="1"/>
    <col min="47" max="48" width="5.5546875" style="51" hidden="1" customWidth="1"/>
    <col min="49" max="49" width="8.55468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6640625" style="51" hidden="1"/>
  </cols>
  <sheetData>
    <row r="1" spans="1:42" ht="15.75" customHeight="1">
      <c r="A1" s="3220" t="s">
        <v>1570</v>
      </c>
      <c r="B1" s="3220"/>
      <c r="C1" s="3220"/>
      <c r="D1" s="3220"/>
      <c r="E1" s="3220"/>
      <c r="F1" s="3220"/>
      <c r="G1" s="3220"/>
      <c r="H1" s="3220"/>
      <c r="I1" s="3220"/>
      <c r="J1" s="3220"/>
      <c r="K1" s="3220"/>
      <c r="L1" s="3220"/>
      <c r="M1" s="3220"/>
      <c r="N1" s="3220"/>
      <c r="O1" s="3220"/>
      <c r="P1" s="3220"/>
      <c r="Q1" s="3220"/>
      <c r="R1" s="3220"/>
      <c r="S1" s="3220"/>
      <c r="T1" s="3220"/>
      <c r="U1" s="3220"/>
      <c r="V1" s="3220"/>
      <c r="W1" s="3220"/>
      <c r="X1" s="3220"/>
      <c r="Y1" s="3220"/>
      <c r="Z1" s="3220"/>
      <c r="AA1" s="3220"/>
      <c r="AB1" s="3220"/>
      <c r="AC1" s="3220"/>
      <c r="AD1" s="3220"/>
      <c r="AE1" s="3220"/>
      <c r="AF1" s="3220"/>
      <c r="AG1" s="3220"/>
      <c r="AH1" s="3220"/>
      <c r="AI1" s="3220"/>
      <c r="AJ1" s="3220"/>
      <c r="AK1" s="3220"/>
      <c r="AL1" s="3220"/>
      <c r="AM1" s="3220"/>
    </row>
    <row r="2" spans="1:42" s="929" customFormat="1" ht="12.75" customHeight="1" thickBot="1">
      <c r="A2" s="3221"/>
      <c r="B2" s="3221"/>
      <c r="C2" s="3221"/>
      <c r="D2" s="3221"/>
      <c r="E2" s="3221"/>
      <c r="F2" s="3221"/>
      <c r="G2" s="3221"/>
      <c r="H2" s="3221"/>
      <c r="I2" s="3221"/>
      <c r="J2" s="3221"/>
      <c r="K2" s="3221"/>
      <c r="L2" s="3221"/>
      <c r="M2" s="3221"/>
      <c r="N2" s="3221"/>
      <c r="O2" s="3221"/>
      <c r="P2" s="3221"/>
      <c r="Q2" s="3221"/>
      <c r="R2" s="3221"/>
      <c r="S2" s="3221"/>
      <c r="T2" s="3221"/>
      <c r="U2" s="3221"/>
      <c r="V2" s="3221"/>
      <c r="W2" s="3221"/>
      <c r="X2" s="3221"/>
      <c r="Y2" s="3221"/>
      <c r="Z2" s="3221"/>
      <c r="AA2" s="3221"/>
      <c r="AB2" s="3221"/>
      <c r="AC2" s="3221"/>
      <c r="AD2" s="3221"/>
      <c r="AE2" s="3221"/>
      <c r="AF2" s="3221"/>
      <c r="AG2" s="3221"/>
      <c r="AH2" s="3221"/>
      <c r="AI2" s="3221"/>
      <c r="AJ2" s="3221"/>
      <c r="AK2" s="3221"/>
      <c r="AL2" s="3221"/>
      <c r="AM2" s="322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6" t="s">
        <v>1575</v>
      </c>
      <c r="AF7" s="3196"/>
      <c r="AG7" s="3196"/>
      <c r="AH7" s="3196"/>
      <c r="AI7" s="3196"/>
      <c r="AJ7" s="3196"/>
      <c r="AK7" s="3196"/>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5" t="s">
        <v>627</v>
      </c>
      <c r="C12" s="3205"/>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2"/>
      <c r="AH12" s="3222"/>
      <c r="AI12" s="3222"/>
      <c r="AJ12" s="322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5" t="s">
        <v>627</v>
      </c>
      <c r="C15" s="3205"/>
      <c r="D15" s="942"/>
      <c r="E15" s="3224" t="s">
        <v>1578</v>
      </c>
      <c r="F15" s="3225"/>
      <c r="G15" s="3225"/>
      <c r="H15" s="3225"/>
      <c r="I15" s="3225"/>
      <c r="J15" s="3225"/>
      <c r="K15" s="3225"/>
      <c r="L15" s="3225"/>
      <c r="M15" s="3225"/>
      <c r="N15" s="3225"/>
      <c r="O15" s="3225"/>
      <c r="P15" s="3225"/>
      <c r="Q15" s="3225"/>
      <c r="R15" s="3225"/>
      <c r="S15" s="3225"/>
      <c r="T15" s="3225"/>
      <c r="U15" s="3225"/>
      <c r="V15" s="3225"/>
      <c r="W15" s="3225"/>
      <c r="X15" s="3225"/>
      <c r="Y15" s="3225"/>
      <c r="Z15" s="3225"/>
      <c r="AA15" s="3225"/>
      <c r="AB15" s="3225"/>
      <c r="AC15" s="3225"/>
      <c r="AD15" s="3225"/>
      <c r="AE15" s="3225"/>
      <c r="AF15" s="3225"/>
      <c r="AG15" s="3225"/>
      <c r="AH15" s="3225"/>
      <c r="AI15" s="3225"/>
      <c r="AJ15" s="3226"/>
      <c r="AK15" s="935"/>
      <c r="AL15" s="935"/>
      <c r="AM15" s="935"/>
      <c r="AN15" s="931"/>
      <c r="AO15" s="945">
        <f>IF($B24="yes",20,0)</f>
        <v>0</v>
      </c>
      <c r="AP15" s="51"/>
    </row>
    <row r="16" spans="1:42" s="932" customFormat="1" ht="12.75" customHeight="1">
      <c r="A16" s="935"/>
      <c r="B16" s="935"/>
      <c r="C16" s="935"/>
      <c r="D16" s="946"/>
      <c r="E16" s="3227"/>
      <c r="F16" s="3228"/>
      <c r="G16" s="3228"/>
      <c r="H16" s="3228"/>
      <c r="I16" s="3228"/>
      <c r="J16" s="3228"/>
      <c r="K16" s="3228"/>
      <c r="L16" s="3228"/>
      <c r="M16" s="3228"/>
      <c r="N16" s="3228"/>
      <c r="O16" s="3228"/>
      <c r="P16" s="3228"/>
      <c r="Q16" s="3228"/>
      <c r="R16" s="3228"/>
      <c r="S16" s="3228"/>
      <c r="T16" s="3228"/>
      <c r="U16" s="3228"/>
      <c r="V16" s="3228"/>
      <c r="W16" s="3228"/>
      <c r="X16" s="3228"/>
      <c r="Y16" s="3228"/>
      <c r="Z16" s="3228"/>
      <c r="AA16" s="3228"/>
      <c r="AB16" s="3228"/>
      <c r="AC16" s="3228"/>
      <c r="AD16" s="3228"/>
      <c r="AE16" s="3228"/>
      <c r="AF16" s="3228"/>
      <c r="AG16" s="3228"/>
      <c r="AH16" s="3228"/>
      <c r="AI16" s="3228"/>
      <c r="AJ16" s="3229"/>
      <c r="AK16" s="935"/>
      <c r="AL16" s="935"/>
      <c r="AM16" s="935"/>
      <c r="AN16" s="931"/>
      <c r="AO16" s="932">
        <f>IF(SUM(AO12:AO15)&gt;20,20,(SUM(AO12:AO15)))</f>
        <v>0</v>
      </c>
      <c r="AP16" s="932" t="s">
        <v>1579</v>
      </c>
    </row>
    <row r="17" spans="1:42" s="932" customFormat="1" ht="12.75" customHeight="1">
      <c r="A17" s="935"/>
      <c r="B17" s="935"/>
      <c r="C17" s="935"/>
      <c r="D17" s="946"/>
      <c r="E17" s="3227"/>
      <c r="F17" s="3228"/>
      <c r="G17" s="3228"/>
      <c r="H17" s="3228"/>
      <c r="I17" s="3228"/>
      <c r="J17" s="3228"/>
      <c r="K17" s="3228"/>
      <c r="L17" s="3228"/>
      <c r="M17" s="3228"/>
      <c r="N17" s="3228"/>
      <c r="O17" s="3228"/>
      <c r="P17" s="3228"/>
      <c r="Q17" s="3228"/>
      <c r="R17" s="3228"/>
      <c r="S17" s="3228"/>
      <c r="T17" s="3228"/>
      <c r="U17" s="3228"/>
      <c r="V17" s="3228"/>
      <c r="W17" s="3228"/>
      <c r="X17" s="3228"/>
      <c r="Y17" s="3228"/>
      <c r="Z17" s="3228"/>
      <c r="AA17" s="3228"/>
      <c r="AB17" s="3228"/>
      <c r="AC17" s="3228"/>
      <c r="AD17" s="3228"/>
      <c r="AE17" s="3228"/>
      <c r="AF17" s="3228"/>
      <c r="AG17" s="3228"/>
      <c r="AH17" s="3228"/>
      <c r="AI17" s="3228"/>
      <c r="AJ17" s="3229"/>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1"/>
      <c r="F19" s="3232"/>
      <c r="G19" s="3232"/>
      <c r="H19" s="3232"/>
      <c r="I19" s="3232"/>
      <c r="J19" s="3232"/>
      <c r="K19" s="3232"/>
      <c r="L19" s="3232"/>
      <c r="M19" s="3232"/>
      <c r="N19" s="3232"/>
      <c r="O19" s="3232"/>
      <c r="P19" s="3232"/>
      <c r="Q19" s="3232"/>
      <c r="R19" s="3232"/>
      <c r="S19" s="3232"/>
      <c r="T19" s="3232"/>
      <c r="U19" s="3232"/>
      <c r="V19" s="3232"/>
      <c r="W19" s="3232"/>
      <c r="X19" s="3232"/>
      <c r="Y19" s="3232"/>
      <c r="Z19" s="3232"/>
      <c r="AA19" s="3232"/>
      <c r="AB19" s="3232"/>
      <c r="AC19" s="3232"/>
      <c r="AD19" s="3232"/>
      <c r="AE19" s="3232"/>
      <c r="AF19" s="3232"/>
      <c r="AG19" s="3232"/>
      <c r="AH19" s="3232"/>
      <c r="AI19" s="3232"/>
      <c r="AJ19" s="323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5" t="s">
        <v>627</v>
      </c>
      <c r="C21" s="3205"/>
      <c r="D21" s="942"/>
      <c r="E21" s="3234" t="s">
        <v>1581</v>
      </c>
      <c r="F21" s="3235"/>
      <c r="G21" s="3235"/>
      <c r="H21" s="3235"/>
      <c r="I21" s="3235"/>
      <c r="J21" s="3235"/>
      <c r="K21" s="3235"/>
      <c r="L21" s="3235"/>
      <c r="M21" s="3235"/>
      <c r="N21" s="3235"/>
      <c r="O21" s="3235"/>
      <c r="P21" s="3235"/>
      <c r="Q21" s="3235"/>
      <c r="R21" s="3235"/>
      <c r="S21" s="3235"/>
      <c r="T21" s="3235"/>
      <c r="U21" s="3235"/>
      <c r="V21" s="3235"/>
      <c r="W21" s="3235"/>
      <c r="X21" s="3235"/>
      <c r="Y21" s="3235"/>
      <c r="Z21" s="3235"/>
      <c r="AA21" s="3235"/>
      <c r="AB21" s="3235"/>
      <c r="AC21" s="3235"/>
      <c r="AD21" s="3235"/>
      <c r="AE21" s="3235"/>
      <c r="AF21" s="3235"/>
      <c r="AG21" s="3235"/>
      <c r="AH21" s="3235"/>
      <c r="AI21" s="3235"/>
      <c r="AJ21" s="3236"/>
      <c r="AK21" s="935"/>
      <c r="AL21" s="935"/>
      <c r="AM21" s="935"/>
      <c r="AN21" s="931"/>
      <c r="AO21" s="932">
        <f>SUM(AO20)</f>
        <v>0</v>
      </c>
      <c r="AP21" s="932" t="s">
        <v>1579</v>
      </c>
    </row>
    <row r="22" spans="1:42" s="932" customFormat="1" ht="12.75" customHeight="1">
      <c r="A22" s="935"/>
      <c r="B22" s="935"/>
      <c r="C22" s="935"/>
      <c r="D22" s="945"/>
      <c r="E22" s="3237"/>
      <c r="F22" s="3238"/>
      <c r="G22" s="3238"/>
      <c r="H22" s="3238"/>
      <c r="I22" s="3238"/>
      <c r="J22" s="3238"/>
      <c r="K22" s="3238"/>
      <c r="L22" s="3238"/>
      <c r="M22" s="3238"/>
      <c r="N22" s="3238"/>
      <c r="O22" s="3238"/>
      <c r="P22" s="3238"/>
      <c r="Q22" s="3238"/>
      <c r="R22" s="3238"/>
      <c r="S22" s="3238"/>
      <c r="T22" s="3238"/>
      <c r="U22" s="3238"/>
      <c r="V22" s="3238"/>
      <c r="W22" s="3238"/>
      <c r="X22" s="3238"/>
      <c r="Y22" s="3238"/>
      <c r="Z22" s="3238"/>
      <c r="AA22" s="3238"/>
      <c r="AB22" s="3238"/>
      <c r="AC22" s="3238"/>
      <c r="AD22" s="3238"/>
      <c r="AE22" s="3238"/>
      <c r="AF22" s="3238"/>
      <c r="AG22" s="3238"/>
      <c r="AH22" s="3238"/>
      <c r="AI22" s="3238"/>
      <c r="AJ22" s="323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5" t="s">
        <v>627</v>
      </c>
      <c r="C24" s="3205"/>
      <c r="D24" s="942"/>
      <c r="E24" s="3131" t="s">
        <v>1582</v>
      </c>
      <c r="F24" s="3132"/>
      <c r="G24" s="3132"/>
      <c r="H24" s="3132"/>
      <c r="I24" s="3132"/>
      <c r="J24" s="3132"/>
      <c r="K24" s="3132"/>
      <c r="L24" s="3132"/>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3"/>
      <c r="AK24" s="935"/>
      <c r="AL24" s="935"/>
      <c r="AM24" s="935"/>
      <c r="AN24" s="931"/>
      <c r="AO24" s="945">
        <f>IF($B39="yes",6,0)</f>
        <v>0</v>
      </c>
    </row>
    <row r="25" spans="1:42" s="932" customFormat="1" ht="12.75" customHeight="1">
      <c r="A25" s="935"/>
      <c r="B25" s="935"/>
      <c r="C25" s="935"/>
      <c r="D25" s="945"/>
      <c r="E25" s="3206"/>
      <c r="F25" s="3207"/>
      <c r="G25" s="3207"/>
      <c r="H25" s="3207"/>
      <c r="I25" s="3207"/>
      <c r="J25" s="3207"/>
      <c r="K25" s="3207"/>
      <c r="L25" s="3207"/>
      <c r="M25" s="3207"/>
      <c r="N25" s="3207"/>
      <c r="O25" s="3207"/>
      <c r="P25" s="3207"/>
      <c r="Q25" s="3207"/>
      <c r="R25" s="3207"/>
      <c r="S25" s="3207"/>
      <c r="T25" s="3207"/>
      <c r="U25" s="3207"/>
      <c r="V25" s="3207"/>
      <c r="W25" s="3207"/>
      <c r="X25" s="3207"/>
      <c r="Y25" s="3207"/>
      <c r="Z25" s="3207"/>
      <c r="AA25" s="3207"/>
      <c r="AB25" s="3207"/>
      <c r="AC25" s="3207"/>
      <c r="AD25" s="3207"/>
      <c r="AE25" s="3207"/>
      <c r="AF25" s="3207"/>
      <c r="AG25" s="3207"/>
      <c r="AH25" s="3207"/>
      <c r="AI25" s="3207"/>
      <c r="AJ25" s="320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5" t="s">
        <v>627</v>
      </c>
      <c r="C29" s="3205"/>
      <c r="D29" s="942"/>
      <c r="E29" s="3131" t="s">
        <v>1584</v>
      </c>
      <c r="F29" s="3132"/>
      <c r="G29" s="3132"/>
      <c r="H29" s="3132"/>
      <c r="I29" s="3132"/>
      <c r="J29" s="3132"/>
      <c r="K29" s="3132"/>
      <c r="L29" s="3132"/>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2"/>
      <c r="AJ29" s="3133"/>
      <c r="AK29" s="935"/>
      <c r="AL29" s="935"/>
      <c r="AM29" s="935"/>
      <c r="AN29" s="931"/>
      <c r="AO29" s="945">
        <f>IF($B49="yes",6,0)</f>
        <v>0</v>
      </c>
    </row>
    <row r="30" spans="1:42" s="932" customFormat="1" ht="12.75" customHeight="1">
      <c r="A30" s="935"/>
      <c r="B30" s="935"/>
      <c r="C30" s="935"/>
      <c r="E30" s="3134"/>
      <c r="F30" s="3135"/>
      <c r="G30" s="3135"/>
      <c r="H30" s="3135"/>
      <c r="I30" s="3135"/>
      <c r="J30" s="3135"/>
      <c r="K30" s="3135"/>
      <c r="L30" s="3135"/>
      <c r="M30" s="3135"/>
      <c r="N30" s="3135"/>
      <c r="O30" s="3135"/>
      <c r="P30" s="3135"/>
      <c r="Q30" s="3135"/>
      <c r="R30" s="3135"/>
      <c r="S30" s="3135"/>
      <c r="T30" s="3135"/>
      <c r="U30" s="3135"/>
      <c r="V30" s="3135"/>
      <c r="W30" s="3135"/>
      <c r="X30" s="3135"/>
      <c r="Y30" s="3135"/>
      <c r="Z30" s="3135"/>
      <c r="AA30" s="3135"/>
      <c r="AB30" s="3135"/>
      <c r="AC30" s="3135"/>
      <c r="AD30" s="3135"/>
      <c r="AE30" s="3135"/>
      <c r="AF30" s="3135"/>
      <c r="AG30" s="3135"/>
      <c r="AH30" s="3135"/>
      <c r="AI30" s="3135"/>
      <c r="AJ30" s="3136"/>
      <c r="AK30" s="935"/>
      <c r="AL30" s="935"/>
      <c r="AM30" s="935"/>
      <c r="AN30" s="931"/>
      <c r="AO30" s="932">
        <f>IF(SUM(AO23:AO29)&gt;6,6,(SUM(AO23:AO29)))</f>
        <v>0</v>
      </c>
      <c r="AP30" s="932" t="s">
        <v>1579</v>
      </c>
    </row>
    <row r="31" spans="1:42" s="932" customFormat="1" ht="12.75" customHeight="1">
      <c r="A31" s="935"/>
      <c r="B31" s="935"/>
      <c r="C31" s="935"/>
      <c r="E31" s="3206"/>
      <c r="F31" s="3207"/>
      <c r="G31" s="3207"/>
      <c r="H31" s="3207"/>
      <c r="I31" s="3207"/>
      <c r="J31" s="3207"/>
      <c r="K31" s="3207"/>
      <c r="L31" s="3207"/>
      <c r="M31" s="3207"/>
      <c r="N31" s="3207"/>
      <c r="O31" s="3207"/>
      <c r="P31" s="3207"/>
      <c r="Q31" s="3207"/>
      <c r="R31" s="3207"/>
      <c r="S31" s="3207"/>
      <c r="T31" s="3207"/>
      <c r="U31" s="3207"/>
      <c r="V31" s="3207"/>
      <c r="W31" s="3207"/>
      <c r="X31" s="3207"/>
      <c r="Y31" s="3207"/>
      <c r="Z31" s="3207"/>
      <c r="AA31" s="3207"/>
      <c r="AB31" s="3207"/>
      <c r="AC31" s="3207"/>
      <c r="AD31" s="3207"/>
      <c r="AE31" s="3207"/>
      <c r="AF31" s="3207"/>
      <c r="AG31" s="3207"/>
      <c r="AH31" s="3207"/>
      <c r="AI31" s="3207"/>
      <c r="AJ31" s="320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0" t="s">
        <v>1586</v>
      </c>
      <c r="C34" s="3230"/>
      <c r="D34" s="3230"/>
      <c r="E34" s="3230"/>
      <c r="F34" s="3230"/>
      <c r="G34" s="3230"/>
      <c r="H34" s="3230"/>
      <c r="I34" s="3230"/>
      <c r="J34" s="3230"/>
      <c r="K34" s="3230"/>
      <c r="L34" s="3230"/>
      <c r="M34" s="3230"/>
      <c r="N34" s="3230"/>
      <c r="O34" s="3230"/>
      <c r="P34" s="3230"/>
      <c r="Q34" s="3230"/>
      <c r="R34" s="3230"/>
      <c r="S34" s="3230"/>
      <c r="T34" s="3230"/>
      <c r="U34" s="3230"/>
      <c r="V34" s="3230"/>
      <c r="W34" s="3230"/>
      <c r="X34" s="3230"/>
      <c r="Y34" s="3230"/>
      <c r="Z34" s="3230"/>
      <c r="AA34" s="3230"/>
      <c r="AB34" s="3230"/>
      <c r="AC34" s="3230"/>
      <c r="AD34" s="3230"/>
      <c r="AE34" s="3230"/>
      <c r="AF34" s="3230"/>
      <c r="AG34" s="3230"/>
      <c r="AH34" s="3230"/>
      <c r="AI34" s="3230"/>
      <c r="AJ34" s="3230"/>
      <c r="AK34" s="3230"/>
      <c r="AL34" s="935"/>
      <c r="AM34" s="935"/>
      <c r="AN34" s="931"/>
    </row>
    <row r="35" spans="1:41" s="932" customFormat="1" ht="12.75" customHeight="1">
      <c r="A35" s="935"/>
      <c r="B35" s="3230"/>
      <c r="C35" s="3230"/>
      <c r="D35" s="3230"/>
      <c r="E35" s="3230"/>
      <c r="F35" s="3230"/>
      <c r="G35" s="3230"/>
      <c r="H35" s="3230"/>
      <c r="I35" s="3230"/>
      <c r="J35" s="3230"/>
      <c r="K35" s="3230"/>
      <c r="L35" s="3230"/>
      <c r="M35" s="3230"/>
      <c r="N35" s="3230"/>
      <c r="O35" s="3230"/>
      <c r="P35" s="3230"/>
      <c r="Q35" s="3230"/>
      <c r="R35" s="3230"/>
      <c r="S35" s="3230"/>
      <c r="T35" s="3230"/>
      <c r="U35" s="3230"/>
      <c r="V35" s="3230"/>
      <c r="W35" s="3230"/>
      <c r="X35" s="3230"/>
      <c r="Y35" s="3230"/>
      <c r="Z35" s="3230"/>
      <c r="AA35" s="3230"/>
      <c r="AB35" s="3230"/>
      <c r="AC35" s="3230"/>
      <c r="AD35" s="3230"/>
      <c r="AE35" s="3230"/>
      <c r="AF35" s="3230"/>
      <c r="AG35" s="3230"/>
      <c r="AH35" s="3230"/>
      <c r="AI35" s="3230"/>
      <c r="AJ35" s="3230"/>
      <c r="AK35" s="323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5" t="s">
        <v>627</v>
      </c>
      <c r="C37" s="3205"/>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5" t="s">
        <v>627</v>
      </c>
      <c r="C39" s="3205"/>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5" t="s">
        <v>627</v>
      </c>
      <c r="C41" s="3205"/>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5" t="s">
        <v>627</v>
      </c>
      <c r="C43" s="3205"/>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5" t="s">
        <v>627</v>
      </c>
      <c r="C45" s="3205"/>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5" t="s">
        <v>627</v>
      </c>
      <c r="C47" s="3205"/>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5" t="s">
        <v>627</v>
      </c>
      <c r="C49" s="3205"/>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80">
        <f>AO32</f>
        <v>0</v>
      </c>
      <c r="AL51" s="3181"/>
      <c r="AM51" s="318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6" t="s">
        <v>1597</v>
      </c>
      <c r="AF54" s="3196"/>
      <c r="AG54" s="3196"/>
      <c r="AH54" s="3196"/>
      <c r="AI54" s="3196"/>
      <c r="AJ54" s="3196"/>
      <c r="AK54" s="3196"/>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5" t="s">
        <v>627</v>
      </c>
      <c r="C57" s="3205"/>
      <c r="D57" s="942" t="s">
        <v>1598</v>
      </c>
      <c r="E57" s="3224" t="s">
        <v>2254</v>
      </c>
      <c r="F57" s="3225"/>
      <c r="G57" s="3225"/>
      <c r="H57" s="3225"/>
      <c r="I57" s="3225"/>
      <c r="J57" s="3225"/>
      <c r="K57" s="3225"/>
      <c r="L57" s="3225"/>
      <c r="M57" s="3225"/>
      <c r="N57" s="3225"/>
      <c r="O57" s="3225"/>
      <c r="P57" s="3225"/>
      <c r="Q57" s="3225"/>
      <c r="R57" s="3225"/>
      <c r="S57" s="3225"/>
      <c r="T57" s="3225"/>
      <c r="U57" s="3225"/>
      <c r="V57" s="3225"/>
      <c r="W57" s="3225"/>
      <c r="X57" s="3225"/>
      <c r="Y57" s="3225"/>
      <c r="Z57" s="3225"/>
      <c r="AA57" s="3225"/>
      <c r="AB57" s="3225"/>
      <c r="AC57" s="3225"/>
      <c r="AD57" s="3225"/>
      <c r="AE57" s="3225"/>
      <c r="AF57" s="3225"/>
      <c r="AG57" s="3225"/>
      <c r="AH57" s="3225"/>
      <c r="AI57" s="3225"/>
      <c r="AJ57" s="3226"/>
      <c r="AK57" s="938"/>
      <c r="AL57" s="935"/>
      <c r="AM57" s="935"/>
      <c r="AN57" s="931"/>
      <c r="AO57" s="945">
        <f>IF($B57="yes",10,0)</f>
        <v>0</v>
      </c>
    </row>
    <row r="58" spans="1:50" s="932" customFormat="1" ht="12.75" customHeight="1">
      <c r="A58" s="933"/>
      <c r="B58" s="935"/>
      <c r="C58" s="935"/>
      <c r="D58" s="946"/>
      <c r="E58" s="3227"/>
      <c r="F58" s="3228"/>
      <c r="G58" s="3228"/>
      <c r="H58" s="3228"/>
      <c r="I58" s="3228"/>
      <c r="J58" s="3228"/>
      <c r="K58" s="3228"/>
      <c r="L58" s="3228"/>
      <c r="M58" s="3228"/>
      <c r="N58" s="3228"/>
      <c r="O58" s="3228"/>
      <c r="P58" s="3228"/>
      <c r="Q58" s="3228"/>
      <c r="R58" s="3228"/>
      <c r="S58" s="3228"/>
      <c r="T58" s="3228"/>
      <c r="U58" s="3228"/>
      <c r="V58" s="3228"/>
      <c r="W58" s="3228"/>
      <c r="X58" s="3228"/>
      <c r="Y58" s="3228"/>
      <c r="Z58" s="3228"/>
      <c r="AA58" s="3228"/>
      <c r="AB58" s="3228"/>
      <c r="AC58" s="3228"/>
      <c r="AD58" s="3228"/>
      <c r="AE58" s="3228"/>
      <c r="AF58" s="3228"/>
      <c r="AG58" s="3228"/>
      <c r="AH58" s="3228"/>
      <c r="AI58" s="3228"/>
      <c r="AJ58" s="3229"/>
      <c r="AK58" s="938"/>
      <c r="AL58" s="935"/>
      <c r="AM58" s="935"/>
      <c r="AN58" s="931"/>
      <c r="AO58" s="945">
        <f>IF($B62="yes",10,0)</f>
        <v>10</v>
      </c>
    </row>
    <row r="59" spans="1:50" s="932" customFormat="1" ht="12.75" customHeight="1">
      <c r="A59" s="933"/>
      <c r="B59" s="935"/>
      <c r="C59" s="935"/>
      <c r="D59" s="946"/>
      <c r="E59" s="3227"/>
      <c r="F59" s="3228"/>
      <c r="G59" s="3228"/>
      <c r="H59" s="3228"/>
      <c r="I59" s="3228"/>
      <c r="J59" s="3228"/>
      <c r="K59" s="3228"/>
      <c r="L59" s="3228"/>
      <c r="M59" s="3228"/>
      <c r="N59" s="3228"/>
      <c r="O59" s="3228"/>
      <c r="P59" s="3228"/>
      <c r="Q59" s="3228"/>
      <c r="R59" s="3228"/>
      <c r="S59" s="3228"/>
      <c r="T59" s="3228"/>
      <c r="U59" s="3228"/>
      <c r="V59" s="3228"/>
      <c r="W59" s="3228"/>
      <c r="X59" s="3228"/>
      <c r="Y59" s="3228"/>
      <c r="Z59" s="3228"/>
      <c r="AA59" s="3228"/>
      <c r="AB59" s="3228"/>
      <c r="AC59" s="3228"/>
      <c r="AD59" s="3228"/>
      <c r="AE59" s="3228"/>
      <c r="AF59" s="3228"/>
      <c r="AG59" s="3228"/>
      <c r="AH59" s="3228"/>
      <c r="AI59" s="3228"/>
      <c r="AJ59" s="3229"/>
      <c r="AK59" s="938"/>
      <c r="AL59" s="935"/>
      <c r="AM59" s="935"/>
      <c r="AN59" s="931"/>
      <c r="AO59" s="945">
        <f>IF($B69="yes",10,0)</f>
        <v>0</v>
      </c>
    </row>
    <row r="60" spans="1:50" s="932" customFormat="1" ht="12.75" customHeight="1">
      <c r="A60" s="933"/>
      <c r="B60" s="935"/>
      <c r="C60" s="935"/>
      <c r="D60" s="946"/>
      <c r="E60" s="3240"/>
      <c r="F60" s="3241"/>
      <c r="G60" s="3241"/>
      <c r="H60" s="3241"/>
      <c r="I60" s="3241"/>
      <c r="J60" s="3241"/>
      <c r="K60" s="3241"/>
      <c r="L60" s="3241"/>
      <c r="M60" s="3241"/>
      <c r="N60" s="3241"/>
      <c r="O60" s="3241"/>
      <c r="P60" s="3241"/>
      <c r="Q60" s="3241"/>
      <c r="R60" s="3241"/>
      <c r="S60" s="3241"/>
      <c r="T60" s="3241"/>
      <c r="U60" s="3241"/>
      <c r="V60" s="3241"/>
      <c r="W60" s="3241"/>
      <c r="X60" s="3241"/>
      <c r="Y60" s="3241"/>
      <c r="Z60" s="3241"/>
      <c r="AA60" s="3241"/>
      <c r="AB60" s="3241"/>
      <c r="AC60" s="3241"/>
      <c r="AD60" s="3241"/>
      <c r="AE60" s="3241"/>
      <c r="AF60" s="3241"/>
      <c r="AG60" s="3241"/>
      <c r="AH60" s="3241"/>
      <c r="AI60" s="3241"/>
      <c r="AJ60" s="3242"/>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5" t="s">
        <v>579</v>
      </c>
      <c r="C62" s="3205"/>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09" t="s">
        <v>627</v>
      </c>
      <c r="F63" s="3205"/>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3" t="s">
        <v>627</v>
      </c>
      <c r="F64" s="3204"/>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3" t="s">
        <v>627</v>
      </c>
      <c r="F65" s="3204"/>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09" t="s">
        <v>579</v>
      </c>
      <c r="F67" s="3205"/>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5" t="s">
        <v>627</v>
      </c>
      <c r="C69" s="3205"/>
      <c r="D69" s="942" t="s">
        <v>1603</v>
      </c>
      <c r="E69" s="3131" t="s">
        <v>2255</v>
      </c>
      <c r="F69" s="3132"/>
      <c r="G69" s="3132"/>
      <c r="H69" s="3132"/>
      <c r="I69" s="3132"/>
      <c r="J69" s="3132"/>
      <c r="K69" s="3132"/>
      <c r="L69" s="3132"/>
      <c r="M69" s="3132"/>
      <c r="N69" s="3132"/>
      <c r="O69" s="3132"/>
      <c r="P69" s="3132"/>
      <c r="Q69" s="3132"/>
      <c r="R69" s="3132"/>
      <c r="S69" s="3132"/>
      <c r="T69" s="3132"/>
      <c r="U69" s="3132"/>
      <c r="V69" s="3132"/>
      <c r="W69" s="3132"/>
      <c r="X69" s="3132"/>
      <c r="Y69" s="3132"/>
      <c r="Z69" s="3132"/>
      <c r="AA69" s="3132"/>
      <c r="AB69" s="3132"/>
      <c r="AC69" s="3132"/>
      <c r="AD69" s="3132"/>
      <c r="AE69" s="3132"/>
      <c r="AF69" s="3132"/>
      <c r="AG69" s="3132"/>
      <c r="AH69" s="3132"/>
      <c r="AI69" s="3132"/>
      <c r="AJ69" s="3133"/>
      <c r="AK69" s="938"/>
      <c r="AL69" s="935"/>
      <c r="AM69" s="935"/>
      <c r="AN69" s="931"/>
    </row>
    <row r="70" spans="1:40" s="932" customFormat="1" ht="12.75" customHeight="1">
      <c r="A70" s="933"/>
      <c r="B70" s="935"/>
      <c r="C70" s="935"/>
      <c r="D70" s="945"/>
      <c r="E70" s="3206"/>
      <c r="F70" s="3207"/>
      <c r="G70" s="3207"/>
      <c r="H70" s="3207"/>
      <c r="I70" s="3207"/>
      <c r="J70" s="3207"/>
      <c r="K70" s="3207"/>
      <c r="L70" s="3207"/>
      <c r="M70" s="3207"/>
      <c r="N70" s="3207"/>
      <c r="O70" s="3207"/>
      <c r="P70" s="3207"/>
      <c r="Q70" s="3207"/>
      <c r="R70" s="3207"/>
      <c r="S70" s="3207"/>
      <c r="T70" s="3207"/>
      <c r="U70" s="3207"/>
      <c r="V70" s="3207"/>
      <c r="W70" s="3207"/>
      <c r="X70" s="3207"/>
      <c r="Y70" s="3207"/>
      <c r="Z70" s="3207"/>
      <c r="AA70" s="3207"/>
      <c r="AB70" s="3207"/>
      <c r="AC70" s="3207"/>
      <c r="AD70" s="3207"/>
      <c r="AE70" s="3207"/>
      <c r="AF70" s="3207"/>
      <c r="AG70" s="3207"/>
      <c r="AH70" s="3207"/>
      <c r="AI70" s="3207"/>
      <c r="AJ70" s="320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80">
        <f>IF(AK51&gt;0,0,AO60)</f>
        <v>10</v>
      </c>
      <c r="AL72" s="3181"/>
      <c r="AM72" s="318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6" t="s">
        <v>1575</v>
      </c>
      <c r="AF75" s="3196"/>
      <c r="AG75" s="3196"/>
      <c r="AH75" s="3196"/>
      <c r="AI75" s="3196"/>
      <c r="AJ75" s="3196"/>
      <c r="AK75" s="3196"/>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5" t="s">
        <v>627</v>
      </c>
      <c r="C78" s="3205"/>
      <c r="D78" s="942" t="s">
        <v>1598</v>
      </c>
      <c r="E78" s="3212" t="s">
        <v>1608</v>
      </c>
      <c r="F78" s="3213"/>
      <c r="G78" s="3213"/>
      <c r="H78" s="3213"/>
      <c r="I78" s="3213"/>
      <c r="J78" s="3213"/>
      <c r="K78" s="3213"/>
      <c r="L78" s="3213"/>
      <c r="M78" s="3213"/>
      <c r="N78" s="3213"/>
      <c r="O78" s="3213"/>
      <c r="P78" s="3213"/>
      <c r="Q78" s="3213"/>
      <c r="R78" s="3213"/>
      <c r="S78" s="3213"/>
      <c r="T78" s="3213"/>
      <c r="U78" s="3213"/>
      <c r="V78" s="3213"/>
      <c r="W78" s="3213"/>
      <c r="X78" s="3213"/>
      <c r="Y78" s="3213"/>
      <c r="Z78" s="3213"/>
      <c r="AA78" s="3213"/>
      <c r="AB78" s="3213"/>
      <c r="AC78" s="3213"/>
      <c r="AD78" s="3213"/>
      <c r="AE78" s="3213"/>
      <c r="AF78" s="3213"/>
      <c r="AG78" s="3213"/>
      <c r="AH78" s="3213"/>
      <c r="AI78" s="3213"/>
      <c r="AJ78" s="3214"/>
      <c r="AK78" s="938"/>
      <c r="AL78" s="935"/>
      <c r="AM78" s="935"/>
      <c r="AN78" s="931"/>
    </row>
    <row r="79" spans="1:40" s="932" customFormat="1" ht="12.75" customHeight="1">
      <c r="A79" s="933"/>
      <c r="B79" s="934"/>
      <c r="C79" s="934"/>
      <c r="D79" s="934"/>
      <c r="E79" s="3215"/>
      <c r="F79" s="3216"/>
      <c r="G79" s="3216"/>
      <c r="H79" s="3216"/>
      <c r="I79" s="3216"/>
      <c r="J79" s="3216"/>
      <c r="K79" s="3216"/>
      <c r="L79" s="3216"/>
      <c r="M79" s="3216"/>
      <c r="N79" s="3216"/>
      <c r="O79" s="3216"/>
      <c r="P79" s="3216"/>
      <c r="Q79" s="3216"/>
      <c r="R79" s="3216"/>
      <c r="S79" s="3216"/>
      <c r="T79" s="3216"/>
      <c r="U79" s="3216"/>
      <c r="V79" s="3216"/>
      <c r="W79" s="3216"/>
      <c r="X79" s="3216"/>
      <c r="Y79" s="3216"/>
      <c r="Z79" s="3216"/>
      <c r="AA79" s="3216"/>
      <c r="AB79" s="3216"/>
      <c r="AC79" s="3216"/>
      <c r="AD79" s="3216"/>
      <c r="AE79" s="3216"/>
      <c r="AF79" s="3216"/>
      <c r="AG79" s="3216"/>
      <c r="AH79" s="3216"/>
      <c r="AI79" s="3216"/>
      <c r="AJ79" s="321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3">
        <f>Application!AH753</f>
        <v>0.57975460122699385</v>
      </c>
      <c r="F81" s="3194"/>
      <c r="G81" s="3194"/>
      <c r="H81" s="3194"/>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18">
        <f>0.6-ROUNDUP(E81,2)</f>
        <v>2.0000000000000018E-2</v>
      </c>
      <c r="F82" s="3219"/>
      <c r="G82" s="3219"/>
      <c r="H82" s="3219"/>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0">
        <f>IF(E82*200&gt;20,20,E82*200)</f>
        <v>4.0000000000000036</v>
      </c>
      <c r="F83" s="3211"/>
      <c r="G83" s="3211"/>
      <c r="H83" s="3211"/>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5" t="s">
        <v>579</v>
      </c>
      <c r="C86" s="3205"/>
      <c r="D86" s="942" t="s">
        <v>1600</v>
      </c>
      <c r="E86" s="3212" t="s">
        <v>2239</v>
      </c>
      <c r="F86" s="3213"/>
      <c r="G86" s="3213"/>
      <c r="H86" s="3213"/>
      <c r="I86" s="3213"/>
      <c r="J86" s="3213"/>
      <c r="K86" s="3213"/>
      <c r="L86" s="3213"/>
      <c r="M86" s="3213"/>
      <c r="N86" s="3213"/>
      <c r="O86" s="3213"/>
      <c r="P86" s="3213"/>
      <c r="Q86" s="3213"/>
      <c r="R86" s="3213"/>
      <c r="S86" s="3213"/>
      <c r="T86" s="3213"/>
      <c r="U86" s="3213"/>
      <c r="V86" s="3213"/>
      <c r="W86" s="3213"/>
      <c r="X86" s="3213"/>
      <c r="Y86" s="3213"/>
      <c r="Z86" s="3213"/>
      <c r="AA86" s="3213"/>
      <c r="AB86" s="3213"/>
      <c r="AC86" s="3213"/>
      <c r="AD86" s="3213"/>
      <c r="AE86" s="3213"/>
      <c r="AF86" s="3213"/>
      <c r="AG86" s="3213"/>
      <c r="AH86" s="3213"/>
      <c r="AI86" s="3213"/>
      <c r="AJ86" s="3214"/>
      <c r="AK86" s="938"/>
      <c r="AL86" s="935"/>
      <c r="AM86" s="935"/>
      <c r="AN86" s="931"/>
    </row>
    <row r="87" spans="1:47" s="932" customFormat="1" ht="12.75" customHeight="1">
      <c r="A87" s="933"/>
      <c r="B87" s="934"/>
      <c r="C87" s="934"/>
      <c r="D87" s="934"/>
      <c r="E87" s="3215"/>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c r="AC87" s="3216"/>
      <c r="AD87" s="3216"/>
      <c r="AE87" s="3216"/>
      <c r="AF87" s="3216"/>
      <c r="AG87" s="3216"/>
      <c r="AH87" s="3216"/>
      <c r="AI87" s="3216"/>
      <c r="AJ87" s="3217"/>
      <c r="AK87" s="938"/>
      <c r="AL87" s="935"/>
      <c r="AM87" s="935"/>
      <c r="AN87" s="931"/>
    </row>
    <row r="88" spans="1:47" s="932" customFormat="1" ht="12.75" customHeight="1">
      <c r="A88" s="933"/>
      <c r="B88" s="934"/>
      <c r="C88" s="934"/>
      <c r="D88" s="934"/>
      <c r="E88" s="3215"/>
      <c r="F88" s="3216"/>
      <c r="G88" s="3216"/>
      <c r="H88" s="3216"/>
      <c r="I88" s="3216"/>
      <c r="J88" s="3216"/>
      <c r="K88" s="3216"/>
      <c r="L88" s="3216"/>
      <c r="M88" s="3216"/>
      <c r="N88" s="3216"/>
      <c r="O88" s="3216"/>
      <c r="P88" s="3216"/>
      <c r="Q88" s="3216"/>
      <c r="R88" s="3216"/>
      <c r="S88" s="3216"/>
      <c r="T88" s="3216"/>
      <c r="U88" s="3216"/>
      <c r="V88" s="3216"/>
      <c r="W88" s="3216"/>
      <c r="X88" s="3216"/>
      <c r="Y88" s="3216"/>
      <c r="Z88" s="3216"/>
      <c r="AA88" s="3216"/>
      <c r="AB88" s="3216"/>
      <c r="AC88" s="3216"/>
      <c r="AD88" s="3216"/>
      <c r="AE88" s="3216"/>
      <c r="AF88" s="3216"/>
      <c r="AG88" s="3216"/>
      <c r="AH88" s="3216"/>
      <c r="AI88" s="3216"/>
      <c r="AJ88" s="3217"/>
      <c r="AK88" s="938"/>
      <c r="AL88" s="935"/>
      <c r="AM88" s="935"/>
      <c r="AN88" s="931"/>
    </row>
    <row r="89" spans="1:47" s="932" customFormat="1" ht="12.75" customHeight="1">
      <c r="A89" s="933"/>
      <c r="B89" s="934"/>
      <c r="C89" s="934"/>
      <c r="D89" s="934"/>
      <c r="E89" s="3215"/>
      <c r="F89" s="3216"/>
      <c r="G89" s="3216"/>
      <c r="H89" s="3216"/>
      <c r="I89" s="3216"/>
      <c r="J89" s="3216"/>
      <c r="K89" s="3216"/>
      <c r="L89" s="3216"/>
      <c r="M89" s="3216"/>
      <c r="N89" s="3216"/>
      <c r="O89" s="3216"/>
      <c r="P89" s="3216"/>
      <c r="Q89" s="3216"/>
      <c r="R89" s="3216"/>
      <c r="S89" s="3216"/>
      <c r="T89" s="3216"/>
      <c r="U89" s="3216"/>
      <c r="V89" s="3216"/>
      <c r="W89" s="3216"/>
      <c r="X89" s="3216"/>
      <c r="Y89" s="3216"/>
      <c r="Z89" s="3216"/>
      <c r="AA89" s="3216"/>
      <c r="AB89" s="3216"/>
      <c r="AC89" s="3216"/>
      <c r="AD89" s="3216"/>
      <c r="AE89" s="3216"/>
      <c r="AF89" s="3216"/>
      <c r="AG89" s="3216"/>
      <c r="AH89" s="3216"/>
      <c r="AI89" s="3216"/>
      <c r="AJ89" s="321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3">
        <f>Application!AH753</f>
        <v>0.57975460122699385</v>
      </c>
      <c r="F91" s="3194"/>
      <c r="G91" s="3194"/>
      <c r="H91" s="3194"/>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3">
        <f ca="1">SUMIF(Application!AH728:AL752,0.2,Application!G728:J752)/Application!G753+SUMIF(Application!AH728:AL752,0.25,Application!G728:J752)/Application!G753+SUMIF(Application!AH728:AL752,0.3,Application!G728:J752)/Application!G753</f>
        <v>0.10429447852760736</v>
      </c>
      <c r="F92" s="3194"/>
      <c r="G92" s="3194"/>
      <c r="H92" s="3194"/>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3">
        <f ca="1">SUMIF(Application!AH728:AL752,0.35,Application!G728:J752)/Application!G753+SUMIF(Application!AH728:AL752,0.4,Application!G728:J752)/Application!G753+SUMIF(Application!AH728:AL752,0.45,Application!G728:J752)/Application!G753+SUMIF(Application!AH728:AL752,0.5,Application!G728:J752)/Application!G753</f>
        <v>0.26380368098159507</v>
      </c>
      <c r="F93" s="3194"/>
      <c r="G93" s="3194"/>
      <c r="H93" s="3194"/>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197">
        <f ca="1">IF(AND(E91&lt;=0.6,E92&gt;=0.1,OR(E93&gt;=0.1,E92=1)),20,0)</f>
        <v>20</v>
      </c>
      <c r="F94" s="3198"/>
      <c r="G94" s="3198"/>
      <c r="H94" s="3198"/>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80">
        <f ca="1">MAX(AP83,AP94)</f>
        <v>20</v>
      </c>
      <c r="AL97" s="3181"/>
      <c r="AM97" s="318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6" t="s">
        <v>1597</v>
      </c>
      <c r="AF100" s="3196"/>
      <c r="AG100" s="3196"/>
      <c r="AH100" s="3196"/>
      <c r="AI100" s="3196"/>
      <c r="AJ100" s="3196"/>
      <c r="AK100" s="3196"/>
      <c r="AL100" s="935"/>
      <c r="AM100" s="935"/>
      <c r="AN100" s="931"/>
      <c r="AO100" s="932" t="str">
        <f>Application!B728</f>
        <v>1 Bedroom</v>
      </c>
      <c r="AQ100" s="932">
        <f>Application!O728</f>
        <v>600</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1026</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1239</v>
      </c>
    </row>
    <row r="103" spans="1:49" s="932" customFormat="1" ht="12.75" customHeight="1">
      <c r="A103" s="935"/>
      <c r="B103" s="3205" t="s">
        <v>579</v>
      </c>
      <c r="C103" s="3205"/>
      <c r="D103" s="942" t="s">
        <v>1598</v>
      </c>
      <c r="E103" s="3212" t="s">
        <v>2451</v>
      </c>
      <c r="F103" s="3213"/>
      <c r="G103" s="3213"/>
      <c r="H103" s="3213"/>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13"/>
      <c r="AD103" s="3213"/>
      <c r="AE103" s="3213"/>
      <c r="AF103" s="3213"/>
      <c r="AG103" s="3213"/>
      <c r="AH103" s="3213"/>
      <c r="AI103" s="3213"/>
      <c r="AJ103" s="3214"/>
      <c r="AK103" s="935"/>
      <c r="AL103" s="935"/>
      <c r="AM103" s="935"/>
      <c r="AN103" s="931"/>
      <c r="AO103" s="932" t="str">
        <f>Application!B731</f>
        <v>1 Bedroom</v>
      </c>
      <c r="AQ103" s="932">
        <f>Application!O731</f>
        <v>1452</v>
      </c>
      <c r="AU103" s="932" t="s">
        <v>2428</v>
      </c>
      <c r="AV103" s="1783" t="s">
        <v>2429</v>
      </c>
      <c r="AW103" s="932" t="s">
        <v>2430</v>
      </c>
    </row>
    <row r="104" spans="1:49" s="932" customFormat="1" ht="12.75" customHeight="1">
      <c r="A104" s="935"/>
      <c r="B104" s="934"/>
      <c r="C104" s="934"/>
      <c r="D104" s="934"/>
      <c r="E104" s="3215"/>
      <c r="F104" s="3216"/>
      <c r="G104" s="3216"/>
      <c r="H104" s="3216"/>
      <c r="I104" s="3216"/>
      <c r="J104" s="3216"/>
      <c r="K104" s="3216"/>
      <c r="L104" s="3216"/>
      <c r="M104" s="3216"/>
      <c r="N104" s="3216"/>
      <c r="O104" s="3216"/>
      <c r="P104" s="3216"/>
      <c r="Q104" s="3216"/>
      <c r="R104" s="3216"/>
      <c r="S104" s="3216"/>
      <c r="T104" s="3216"/>
      <c r="U104" s="3216"/>
      <c r="V104" s="3216"/>
      <c r="W104" s="3216"/>
      <c r="X104" s="3216"/>
      <c r="Y104" s="3216"/>
      <c r="Z104" s="3216"/>
      <c r="AA104" s="3216"/>
      <c r="AB104" s="3216"/>
      <c r="AC104" s="3216"/>
      <c r="AD104" s="3216"/>
      <c r="AE104" s="3216"/>
      <c r="AF104" s="3216"/>
      <c r="AG104" s="3216"/>
      <c r="AH104" s="3216"/>
      <c r="AI104" s="3216"/>
      <c r="AJ104" s="3217"/>
      <c r="AK104" s="935"/>
      <c r="AL104" s="935"/>
      <c r="AM104" s="935"/>
      <c r="AN104" s="931"/>
      <c r="AO104" s="932" t="str">
        <f>Application!B732</f>
        <v>2 Bedrooms</v>
      </c>
      <c r="AQ104" s="932">
        <f>Application!O732</f>
        <v>712</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15"/>
      <c r="F105" s="3216"/>
      <c r="G105" s="3216"/>
      <c r="H105" s="3216"/>
      <c r="I105" s="3216"/>
      <c r="J105" s="3216"/>
      <c r="K105" s="3216"/>
      <c r="L105" s="3216"/>
      <c r="M105" s="3216"/>
      <c r="N105" s="3216"/>
      <c r="O105" s="3216"/>
      <c r="P105" s="3216"/>
      <c r="Q105" s="3216"/>
      <c r="R105" s="3216"/>
      <c r="S105" s="3216"/>
      <c r="T105" s="3216"/>
      <c r="U105" s="3216"/>
      <c r="V105" s="3216"/>
      <c r="W105" s="3216"/>
      <c r="X105" s="3216"/>
      <c r="Y105" s="3216"/>
      <c r="Z105" s="3216"/>
      <c r="AA105" s="3216"/>
      <c r="AB105" s="3216"/>
      <c r="AC105" s="3216"/>
      <c r="AD105" s="3216"/>
      <c r="AE105" s="3216"/>
      <c r="AF105" s="3216"/>
      <c r="AG105" s="3216"/>
      <c r="AH105" s="3216"/>
      <c r="AI105" s="3216"/>
      <c r="AJ105" s="3217"/>
      <c r="AK105" s="935"/>
      <c r="AL105" s="935"/>
      <c r="AM105" s="935"/>
      <c r="AN105" s="931"/>
      <c r="AO105" s="932" t="str">
        <f>Application!B733</f>
        <v>2 Bedrooms</v>
      </c>
      <c r="AQ105" s="932">
        <f>Application!O733</f>
        <v>1223</v>
      </c>
      <c r="AU105" s="1786" t="str">
        <f>J112</f>
        <v>1-bedroom</v>
      </c>
      <c r="AV105" s="932">
        <f t="array" ref="AV105">SUM(IF(Application!B728:F752="1 Bedroom",Application!G728:J752))</f>
        <v>64</v>
      </c>
      <c r="AW105" s="1821">
        <f>AV105/AV110</f>
        <v>0.39263803680981596</v>
      </c>
    </row>
    <row r="106" spans="1:49" s="932" customFormat="1" ht="12.75" customHeight="1">
      <c r="A106" s="935"/>
      <c r="B106" s="934"/>
      <c r="C106" s="934"/>
      <c r="D106" s="934"/>
      <c r="E106" s="3215"/>
      <c r="F106" s="3216"/>
      <c r="G106" s="3216"/>
      <c r="H106" s="3216"/>
      <c r="I106" s="3216"/>
      <c r="J106" s="3216"/>
      <c r="K106" s="3216"/>
      <c r="L106" s="3216"/>
      <c r="M106" s="3216"/>
      <c r="N106" s="3216"/>
      <c r="O106" s="3216"/>
      <c r="P106" s="3216"/>
      <c r="Q106" s="3216"/>
      <c r="R106" s="3216"/>
      <c r="S106" s="3216"/>
      <c r="T106" s="3216"/>
      <c r="U106" s="3216"/>
      <c r="V106" s="3216"/>
      <c r="W106" s="3216"/>
      <c r="X106" s="3216"/>
      <c r="Y106" s="3216"/>
      <c r="Z106" s="3216"/>
      <c r="AA106" s="3216"/>
      <c r="AB106" s="3216"/>
      <c r="AC106" s="3216"/>
      <c r="AD106" s="3216"/>
      <c r="AE106" s="3216"/>
      <c r="AF106" s="3216"/>
      <c r="AG106" s="3216"/>
      <c r="AH106" s="3216"/>
      <c r="AI106" s="3216"/>
      <c r="AJ106" s="3217"/>
      <c r="AK106" s="935"/>
      <c r="AL106" s="935"/>
      <c r="AM106" s="935"/>
      <c r="AN106" s="931"/>
      <c r="AO106" s="932" t="str">
        <f>Application!B734</f>
        <v>2 Bedrooms</v>
      </c>
      <c r="AQ106" s="932">
        <f>Application!O734</f>
        <v>1479</v>
      </c>
      <c r="AU106" s="1786" t="str">
        <f>O112</f>
        <v>2-bedroom</v>
      </c>
      <c r="AV106" s="932">
        <f t="array" ref="AV106">SUM(IF(Application!B728:F752="2 Bedrooms",Application!G728:J752))</f>
        <v>57</v>
      </c>
      <c r="AW106" s="1821">
        <f>AV106/AV110</f>
        <v>0.34969325153374231</v>
      </c>
    </row>
    <row r="107" spans="1:49" s="932" customFormat="1" ht="12.75" customHeight="1">
      <c r="A107" s="935"/>
      <c r="B107" s="934"/>
      <c r="C107" s="934"/>
      <c r="D107" s="934"/>
      <c r="E107" s="3215"/>
      <c r="F107" s="3216"/>
      <c r="G107" s="3216"/>
      <c r="H107" s="3216"/>
      <c r="I107" s="3216"/>
      <c r="J107" s="3216"/>
      <c r="K107" s="3216"/>
      <c r="L107" s="3216"/>
      <c r="M107" s="3216"/>
      <c r="N107" s="3216"/>
      <c r="O107" s="3216"/>
      <c r="P107" s="3216"/>
      <c r="Q107" s="3216"/>
      <c r="R107" s="3216"/>
      <c r="S107" s="3216"/>
      <c r="T107" s="3216"/>
      <c r="U107" s="3216"/>
      <c r="V107" s="3216"/>
      <c r="W107" s="3216"/>
      <c r="X107" s="3216"/>
      <c r="Y107" s="3216"/>
      <c r="Z107" s="3216"/>
      <c r="AA107" s="3216"/>
      <c r="AB107" s="3216"/>
      <c r="AC107" s="3216"/>
      <c r="AD107" s="3216"/>
      <c r="AE107" s="3216"/>
      <c r="AF107" s="3216"/>
      <c r="AG107" s="3216"/>
      <c r="AH107" s="3216"/>
      <c r="AI107" s="3216"/>
      <c r="AJ107" s="3217"/>
      <c r="AK107" s="935"/>
      <c r="AL107" s="935"/>
      <c r="AM107" s="935"/>
      <c r="AN107" s="931"/>
      <c r="AO107" s="932" t="str">
        <f>Application!B735</f>
        <v>2 Bedrooms</v>
      </c>
      <c r="AQ107" s="932">
        <f>Application!O735</f>
        <v>1734</v>
      </c>
      <c r="AU107" s="1786" t="str">
        <f>T112</f>
        <v>3-bedroom</v>
      </c>
      <c r="AV107" s="932">
        <f t="array" ref="AV107">SUM(IF(Application!B728:F752="3 Bedrooms",Application!G728:J752))</f>
        <v>42</v>
      </c>
      <c r="AW107" s="1821">
        <f>AV107/AV110</f>
        <v>0.25766871165644173</v>
      </c>
    </row>
    <row r="108" spans="1:49" s="932" customFormat="1" ht="12.75" customHeight="1">
      <c r="A108" s="935"/>
      <c r="B108" s="934"/>
      <c r="C108" s="934"/>
      <c r="D108" s="934"/>
      <c r="E108" s="3215"/>
      <c r="F108" s="3216"/>
      <c r="G108" s="3216"/>
      <c r="H108" s="3216"/>
      <c r="I108" s="3216"/>
      <c r="J108" s="3216"/>
      <c r="K108" s="3216"/>
      <c r="L108" s="3216"/>
      <c r="M108" s="3216"/>
      <c r="N108" s="3216"/>
      <c r="O108" s="3216"/>
      <c r="P108" s="3216"/>
      <c r="Q108" s="3216"/>
      <c r="R108" s="3216"/>
      <c r="S108" s="3216"/>
      <c r="T108" s="3216"/>
      <c r="U108" s="3216"/>
      <c r="V108" s="3216"/>
      <c r="W108" s="3216"/>
      <c r="X108" s="3216"/>
      <c r="Y108" s="3216"/>
      <c r="Z108" s="3216"/>
      <c r="AA108" s="3216"/>
      <c r="AB108" s="3216"/>
      <c r="AC108" s="3216"/>
      <c r="AD108" s="3216"/>
      <c r="AE108" s="3216"/>
      <c r="AF108" s="3216"/>
      <c r="AG108" s="3216"/>
      <c r="AH108" s="3216"/>
      <c r="AI108" s="3216"/>
      <c r="AJ108" s="3217"/>
      <c r="AK108" s="935"/>
      <c r="AL108" s="935"/>
      <c r="AM108" s="935"/>
      <c r="AN108" s="931"/>
      <c r="AO108" s="932" t="str">
        <f>Application!B736</f>
        <v>3 Bedrooms</v>
      </c>
      <c r="AQ108" s="932">
        <f>Application!O736</f>
        <v>815</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5"/>
      <c r="F109" s="3216"/>
      <c r="G109" s="3216"/>
      <c r="H109" s="3216"/>
      <c r="I109" s="3216"/>
      <c r="J109" s="3216"/>
      <c r="K109" s="3216"/>
      <c r="L109" s="3216"/>
      <c r="M109" s="3216"/>
      <c r="N109" s="3216"/>
      <c r="O109" s="3216"/>
      <c r="P109" s="3216"/>
      <c r="Q109" s="3216"/>
      <c r="R109" s="3216"/>
      <c r="S109" s="3216"/>
      <c r="T109" s="3216"/>
      <c r="U109" s="3216"/>
      <c r="V109" s="3216"/>
      <c r="W109" s="3216"/>
      <c r="X109" s="3216"/>
      <c r="Y109" s="3216"/>
      <c r="Z109" s="3216"/>
      <c r="AA109" s="3216"/>
      <c r="AB109" s="3216"/>
      <c r="AC109" s="3216"/>
      <c r="AD109" s="3216"/>
      <c r="AE109" s="3216"/>
      <c r="AF109" s="3216"/>
      <c r="AG109" s="3216"/>
      <c r="AH109" s="3216"/>
      <c r="AI109" s="3216"/>
      <c r="AJ109" s="3217"/>
      <c r="AK109" s="935"/>
      <c r="AL109" s="935"/>
      <c r="AM109" s="935"/>
      <c r="AN109" s="931"/>
      <c r="AO109" s="932" t="str">
        <f>Application!B737</f>
        <v>3 Bedrooms</v>
      </c>
      <c r="AQ109" s="932">
        <f>Application!O737</f>
        <v>1405</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5"/>
      <c r="F110" s="3216"/>
      <c r="G110" s="3216"/>
      <c r="H110" s="3216"/>
      <c r="I110" s="3216"/>
      <c r="J110" s="3216"/>
      <c r="K110" s="3216"/>
      <c r="L110" s="3216"/>
      <c r="M110" s="3216"/>
      <c r="N110" s="3216"/>
      <c r="O110" s="3216"/>
      <c r="P110" s="3216"/>
      <c r="Q110" s="3216"/>
      <c r="R110" s="3216"/>
      <c r="S110" s="3216"/>
      <c r="T110" s="3216"/>
      <c r="U110" s="3216"/>
      <c r="V110" s="3216"/>
      <c r="W110" s="3216"/>
      <c r="X110" s="3216"/>
      <c r="Y110" s="3216"/>
      <c r="Z110" s="3216"/>
      <c r="AA110" s="3216"/>
      <c r="AB110" s="3216"/>
      <c r="AC110" s="3216"/>
      <c r="AD110" s="3216"/>
      <c r="AE110" s="3216"/>
      <c r="AF110" s="3216"/>
      <c r="AG110" s="3216"/>
      <c r="AH110" s="3216"/>
      <c r="AI110" s="3216"/>
      <c r="AJ110" s="3217"/>
      <c r="AK110" s="935"/>
      <c r="AL110" s="935"/>
      <c r="AM110" s="935"/>
      <c r="AN110" s="931"/>
      <c r="AO110" s="932" t="str">
        <f>Application!B738</f>
        <v>3 Bedrooms</v>
      </c>
      <c r="AQ110" s="932">
        <f>Application!O738</f>
        <v>1700</v>
      </c>
      <c r="AV110" s="932">
        <f>SUM(AV104:AV109)</f>
        <v>163</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1995</v>
      </c>
    </row>
    <row r="112" spans="1:49" s="932" customFormat="1" ht="12.75" customHeight="1">
      <c r="A112" s="935"/>
      <c r="B112" s="934"/>
      <c r="C112" s="935"/>
      <c r="D112" s="935"/>
      <c r="E112" s="3193" t="s">
        <v>1899</v>
      </c>
      <c r="F112" s="3194"/>
      <c r="G112" s="3194"/>
      <c r="H112" s="3194"/>
      <c r="I112" s="1475"/>
      <c r="J112" s="3194" t="s">
        <v>1993</v>
      </c>
      <c r="K112" s="3194"/>
      <c r="L112" s="3194"/>
      <c r="M112" s="3194"/>
      <c r="N112" s="1475"/>
      <c r="O112" s="3194" t="s">
        <v>1994</v>
      </c>
      <c r="P112" s="3194"/>
      <c r="Q112" s="3194"/>
      <c r="R112" s="3194"/>
      <c r="S112" s="1475"/>
      <c r="T112" s="3194" t="s">
        <v>1617</v>
      </c>
      <c r="U112" s="3194"/>
      <c r="V112" s="3194"/>
      <c r="W112" s="3194"/>
      <c r="X112" s="1475"/>
      <c r="Y112" s="3194" t="s">
        <v>1995</v>
      </c>
      <c r="Z112" s="3194"/>
      <c r="AA112" s="3194"/>
      <c r="AB112" s="3194"/>
      <c r="AC112" s="1475"/>
      <c r="AD112" s="3194" t="s">
        <v>1996</v>
      </c>
      <c r="AE112" s="3194"/>
      <c r="AF112" s="3194"/>
      <c r="AG112" s="319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199"/>
      <c r="F115" s="3200"/>
      <c r="G115" s="3200"/>
      <c r="H115" s="3200"/>
      <c r="I115" s="1477"/>
      <c r="J115" s="3200">
        <v>1712</v>
      </c>
      <c r="K115" s="3200"/>
      <c r="L115" s="3200"/>
      <c r="M115" s="3200"/>
      <c r="N115" s="1477"/>
      <c r="O115" s="3200">
        <v>2185</v>
      </c>
      <c r="P115" s="3200"/>
      <c r="Q115" s="3200"/>
      <c r="R115" s="3200"/>
      <c r="S115" s="1477"/>
      <c r="T115" s="3200">
        <v>2925</v>
      </c>
      <c r="U115" s="3200"/>
      <c r="V115" s="3200"/>
      <c r="W115" s="3200"/>
      <c r="X115" s="1477"/>
      <c r="Y115" s="3200"/>
      <c r="Z115" s="3200"/>
      <c r="AA115" s="3200"/>
      <c r="AB115" s="3200"/>
      <c r="AC115" s="1477"/>
      <c r="AD115" s="3200"/>
      <c r="AE115" s="3200"/>
      <c r="AF115" s="3200"/>
      <c r="AG115" s="320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1">
        <f>Application!DX663</f>
        <v>0</v>
      </c>
      <c r="F118" s="3202"/>
      <c r="G118" s="3202"/>
      <c r="H118" s="3202"/>
      <c r="I118" s="1477"/>
      <c r="J118" s="3202">
        <f>Application!EC663</f>
        <v>1212.375</v>
      </c>
      <c r="K118" s="3202"/>
      <c r="L118" s="3202"/>
      <c r="M118" s="3202"/>
      <c r="N118" s="1477"/>
      <c r="O118" s="3202">
        <f>Application!EH663</f>
        <v>1411.4035087719299</v>
      </c>
      <c r="P118" s="3202"/>
      <c r="Q118" s="3202"/>
      <c r="R118" s="3202"/>
      <c r="S118" s="1481"/>
      <c r="T118" s="3202">
        <f>Application!EM663</f>
        <v>1629.7619047619048</v>
      </c>
      <c r="U118" s="3202"/>
      <c r="V118" s="3202"/>
      <c r="W118" s="3202"/>
      <c r="X118" s="1481"/>
      <c r="Y118" s="3202">
        <f>Application!ER663</f>
        <v>0</v>
      </c>
      <c r="Z118" s="3202"/>
      <c r="AA118" s="3202"/>
      <c r="AB118" s="3202"/>
      <c r="AC118" s="1481"/>
      <c r="AD118" s="3202">
        <f>Application!EW663</f>
        <v>0</v>
      </c>
      <c r="AE118" s="3202"/>
      <c r="AF118" s="3202"/>
      <c r="AG118" s="320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1" t="e">
        <f>(E115-E118)/E115</f>
        <v>#DIV/0!</v>
      </c>
      <c r="F121" s="2982"/>
      <c r="G121" s="2982"/>
      <c r="H121" s="2983"/>
      <c r="I121" s="973"/>
      <c r="J121" s="2981">
        <f>(J115-J118)/J115</f>
        <v>0.29183703271028039</v>
      </c>
      <c r="K121" s="2982"/>
      <c r="L121" s="2982"/>
      <c r="M121" s="2983"/>
      <c r="N121" s="973"/>
      <c r="O121" s="2981">
        <f>(O115-O118)/O115</f>
        <v>0.3540487374041511</v>
      </c>
      <c r="P121" s="2982"/>
      <c r="Q121" s="2982"/>
      <c r="R121" s="2983"/>
      <c r="S121" s="973"/>
      <c r="T121" s="2981">
        <f>(T115-T118)/T115</f>
        <v>0.44281644281644278</v>
      </c>
      <c r="U121" s="2982"/>
      <c r="V121" s="2982"/>
      <c r="W121" s="2983"/>
      <c r="X121" s="973"/>
      <c r="Y121" s="2981" t="e">
        <f>(Y115-Y118)/Y115</f>
        <v>#DIV/0!</v>
      </c>
      <c r="Z121" s="2982"/>
      <c r="AA121" s="2982"/>
      <c r="AB121" s="2983"/>
      <c r="AC121" s="973"/>
      <c r="AD121" s="2981" t="e">
        <f>(AD115-AD118)/AD115</f>
        <v>#DIV/0!</v>
      </c>
      <c r="AE121" s="2982"/>
      <c r="AF121" s="2982"/>
      <c r="AG121" s="298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3" t="e">
        <f>IF(((E121-0.1)*AW104)&gt;0,((E121-0.1)*AW104),0)</f>
        <v>#DIV/0!</v>
      </c>
      <c r="F124" s="3244"/>
      <c r="G124" s="3244"/>
      <c r="H124" s="3245"/>
      <c r="I124" s="973"/>
      <c r="J124" s="3243">
        <f>IF(((J121-0.1)*AW105)&gt;0,((J121-0.1)*AW105),0)</f>
        <v>7.532251591078494E-2</v>
      </c>
      <c r="K124" s="3244"/>
      <c r="L124" s="3244"/>
      <c r="M124" s="3245"/>
      <c r="N124" s="973"/>
      <c r="O124" s="3243">
        <f>IF(((O121-0.1)*AW106)&gt;0,((O121-0.1)*AW106),0)</f>
        <v>8.8839129030899466E-2</v>
      </c>
      <c r="P124" s="3244"/>
      <c r="Q124" s="3244"/>
      <c r="R124" s="3245"/>
      <c r="S124" s="973"/>
      <c r="T124" s="3243">
        <f>IF(((T121-0.1)*AW107)&gt;0,((T121-0.1)*AW107),0)</f>
        <v>8.8333071155157025E-2</v>
      </c>
      <c r="U124" s="3244"/>
      <c r="V124" s="3244"/>
      <c r="W124" s="3245"/>
      <c r="X124" s="973"/>
      <c r="Y124" s="3243" t="e">
        <f>IF(((Y121-0.1)*AW108)&gt;0,((Y121-0.1)*AW108),0)</f>
        <v>#DIV/0!</v>
      </c>
      <c r="Z124" s="3244"/>
      <c r="AA124" s="3244"/>
      <c r="AB124" s="3245"/>
      <c r="AC124" s="973"/>
      <c r="AD124" s="3243" t="e">
        <f>IF(((AD121-0.1)*AW109)&gt;0,((AD121-0.1)*AW109),0)</f>
        <v>#DIV/0!</v>
      </c>
      <c r="AE124" s="3244"/>
      <c r="AF124" s="3244"/>
      <c r="AG124" s="324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1">
        <f>ROUNDDOWN(SUMIF(E124:AG124,"&gt;0"),2)</f>
        <v>0.25</v>
      </c>
      <c r="F126" s="2982"/>
      <c r="G126" s="2982"/>
      <c r="H126" s="2983"/>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0">
        <f>IF((E126*100)&gt;10,10,E126*100)</f>
        <v>10</v>
      </c>
      <c r="F127" s="3181"/>
      <c r="G127" s="3181"/>
      <c r="H127" s="3182"/>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80">
        <f>E127</f>
        <v>10</v>
      </c>
      <c r="AL131" s="3181"/>
      <c r="AM131" s="318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196" t="s">
        <v>1597</v>
      </c>
      <c r="AF134" s="3196"/>
      <c r="AG134" s="3196"/>
      <c r="AH134" s="3196"/>
      <c r="AI134" s="3196"/>
      <c r="AJ134" s="3196"/>
      <c r="AK134" s="3196"/>
      <c r="AL134" s="987"/>
      <c r="AM134" s="988"/>
      <c r="AN134" s="989"/>
      <c r="AO134" s="932"/>
    </row>
    <row r="135" spans="1:52" s="934" customFormat="1" ht="13.2"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1" t="s">
        <v>1621</v>
      </c>
      <c r="AG136" s="3121"/>
      <c r="AH136" s="3121"/>
      <c r="AI136" s="3121"/>
      <c r="AJ136" s="3121"/>
      <c r="AK136" s="3121"/>
      <c r="AL136" s="3121"/>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5" t="s">
        <v>2466</v>
      </c>
      <c r="C138" s="3185"/>
      <c r="D138" s="3185"/>
      <c r="E138" s="3185"/>
      <c r="F138" s="3185"/>
      <c r="G138" s="3185"/>
      <c r="H138" s="3185"/>
      <c r="I138" s="3185"/>
      <c r="J138" s="3185"/>
      <c r="K138" s="3185"/>
      <c r="L138" s="3185"/>
      <c r="M138" s="3185"/>
      <c r="N138" s="3185"/>
      <c r="O138" s="3185"/>
      <c r="P138" s="3185"/>
      <c r="Q138" s="3185"/>
      <c r="R138" s="3185"/>
      <c r="S138" s="3185"/>
      <c r="T138" s="3185"/>
      <c r="U138" s="3185"/>
      <c r="V138" s="3185"/>
      <c r="W138" s="3185"/>
      <c r="X138" s="3185"/>
      <c r="Y138" s="3185"/>
      <c r="Z138" s="3185"/>
      <c r="AA138" s="3185"/>
      <c r="AB138" s="3185"/>
      <c r="AC138" s="318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186" t="s">
        <v>1624</v>
      </c>
      <c r="C141" s="3186"/>
      <c r="D141" s="3186"/>
      <c r="E141" s="3186"/>
      <c r="F141" s="3186"/>
      <c r="G141" s="3186"/>
      <c r="H141" s="3186"/>
      <c r="I141" s="3186"/>
      <c r="J141" s="3186"/>
      <c r="K141" s="3186"/>
      <c r="L141" s="3186"/>
      <c r="M141" s="3186"/>
      <c r="N141" s="3186"/>
      <c r="O141" s="3186"/>
      <c r="P141" s="3186"/>
      <c r="Q141" s="3186"/>
      <c r="R141" s="3186"/>
      <c r="S141" s="3186"/>
      <c r="T141" s="3186"/>
      <c r="U141" s="3186"/>
      <c r="V141" s="3186"/>
      <c r="W141" s="3186"/>
      <c r="X141" s="3186"/>
      <c r="Y141" s="3186"/>
      <c r="Z141" s="3186"/>
      <c r="AA141" s="3186"/>
      <c r="AB141" s="3186"/>
      <c r="AC141" s="3186"/>
      <c r="AD141" s="3186"/>
      <c r="AE141" s="3186"/>
      <c r="AF141" s="3186"/>
      <c r="AG141" s="3186"/>
      <c r="AH141" s="3186"/>
      <c r="AI141" s="3186"/>
      <c r="AM141" s="988"/>
      <c r="AN141" s="928"/>
      <c r="AO141" s="996" t="s">
        <v>1624</v>
      </c>
      <c r="AP141" s="997">
        <v>7</v>
      </c>
    </row>
    <row r="142" spans="1:52" s="929" customFormat="1" ht="13.2"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26" t="s">
        <v>627</v>
      </c>
      <c r="AC143" s="312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186" t="s">
        <v>1626</v>
      </c>
      <c r="C146" s="3186"/>
      <c r="D146" s="3186"/>
      <c r="E146" s="3186"/>
      <c r="F146" s="3186"/>
      <c r="G146" s="3186"/>
      <c r="H146" s="3186"/>
      <c r="I146" s="3186"/>
      <c r="J146" s="3186"/>
      <c r="K146" s="3186"/>
      <c r="L146" s="3186"/>
      <c r="M146" s="3186"/>
      <c r="N146" s="3186"/>
      <c r="O146" s="3186"/>
      <c r="P146" s="3186"/>
      <c r="Q146" s="3186"/>
      <c r="R146" s="3186"/>
      <c r="S146" s="3186"/>
      <c r="T146" s="3186"/>
      <c r="U146" s="3186"/>
      <c r="V146" s="3186"/>
      <c r="W146" s="3186"/>
      <c r="X146" s="3186"/>
      <c r="Y146" s="3186"/>
      <c r="Z146" s="3186"/>
      <c r="AA146" s="3186"/>
      <c r="AB146" s="3186"/>
      <c r="AC146" s="3186"/>
      <c r="AD146" s="3186"/>
      <c r="AE146" s="3186"/>
      <c r="AF146" s="3186"/>
      <c r="AG146" s="3186"/>
      <c r="AH146" s="3186"/>
      <c r="AI146" s="3186"/>
      <c r="AJ146" s="3186"/>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195">
        <f>IF($AB$143="N/A",VLOOKUP($B$141,$AO$139:$AP$142,2,FALSE),VLOOKUP($B$146,$AO$144:$AP$147,2,FALSE))</f>
        <v>7</v>
      </c>
      <c r="AK149" s="319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1" t="s">
        <v>1635</v>
      </c>
      <c r="AG151" s="3121"/>
      <c r="AH151" s="3121"/>
      <c r="AI151" s="3121"/>
      <c r="AJ151" s="3121"/>
      <c r="AK151" s="3121"/>
      <c r="AL151" s="3121"/>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6" t="s">
        <v>1633</v>
      </c>
      <c r="D153" s="3186"/>
      <c r="E153" s="3186"/>
      <c r="F153" s="3186"/>
      <c r="G153" s="3186"/>
      <c r="H153" s="3186"/>
      <c r="I153" s="3186"/>
      <c r="J153" s="3186"/>
      <c r="K153" s="3186"/>
      <c r="L153" s="3186"/>
      <c r="M153" s="3186"/>
      <c r="N153" s="3186"/>
      <c r="O153" s="3186"/>
      <c r="P153" s="3186"/>
      <c r="Q153" s="3186"/>
      <c r="R153" s="3186"/>
      <c r="S153" s="3186"/>
      <c r="T153" s="3186"/>
      <c r="U153" s="3186"/>
      <c r="V153" s="3186"/>
      <c r="W153" s="3186"/>
      <c r="X153" s="3186"/>
      <c r="Y153" s="3186"/>
      <c r="Z153" s="3186"/>
      <c r="AA153" s="3186"/>
      <c r="AB153" s="3186"/>
      <c r="AC153" s="3186"/>
      <c r="AD153" s="3186"/>
      <c r="AE153" s="3186"/>
      <c r="AF153" s="3186"/>
      <c r="AG153" s="3186"/>
      <c r="AH153" s="3186"/>
      <c r="AI153" s="3186"/>
      <c r="AJ153" s="932"/>
      <c r="AK153" s="932"/>
      <c r="AL153" s="932"/>
      <c r="AM153" s="1015"/>
      <c r="AN153" s="1002"/>
      <c r="AO153" s="1006" t="s">
        <v>318</v>
      </c>
      <c r="AP153" s="1000"/>
    </row>
    <row r="154" spans="1:42" s="945" customFormat="1" ht="13.2"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6" t="s">
        <v>627</v>
      </c>
      <c r="AD155" s="3126"/>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186" t="s">
        <v>1626</v>
      </c>
      <c r="D157" s="3186"/>
      <c r="E157" s="3186"/>
      <c r="F157" s="3186"/>
      <c r="G157" s="3186"/>
      <c r="H157" s="3186"/>
      <c r="I157" s="3186"/>
      <c r="J157" s="3186"/>
      <c r="K157" s="3186"/>
      <c r="L157" s="3186"/>
      <c r="M157" s="3186"/>
      <c r="N157" s="3186"/>
      <c r="O157" s="3186"/>
      <c r="P157" s="3186"/>
      <c r="Q157" s="3186"/>
      <c r="R157" s="3186"/>
      <c r="S157" s="3186"/>
      <c r="T157" s="3186"/>
      <c r="U157" s="3186"/>
      <c r="V157" s="3186"/>
      <c r="W157" s="3186"/>
      <c r="X157" s="3186"/>
      <c r="Y157" s="3186"/>
      <c r="Z157" s="3186"/>
      <c r="AA157" s="3186"/>
      <c r="AB157" s="3186"/>
      <c r="AC157" s="3186"/>
      <c r="AD157" s="318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185" t="s">
        <v>2525</v>
      </c>
      <c r="D161" s="3185"/>
      <c r="E161" s="3185"/>
      <c r="F161" s="3185"/>
      <c r="G161" s="3185"/>
      <c r="H161" s="3185"/>
      <c r="I161" s="3185"/>
      <c r="J161" s="3185"/>
      <c r="K161" s="3185"/>
      <c r="L161" s="3185"/>
      <c r="M161" s="3185"/>
      <c r="N161" s="3185"/>
      <c r="O161" s="3185"/>
      <c r="P161" s="3185"/>
      <c r="Q161" s="3185"/>
      <c r="R161" s="3185"/>
      <c r="S161" s="3185"/>
      <c r="T161" s="3185"/>
      <c r="U161" s="3185"/>
      <c r="V161" s="3185"/>
      <c r="W161" s="3185"/>
      <c r="X161" s="3185"/>
      <c r="Y161" s="3185"/>
      <c r="Z161" s="3185"/>
      <c r="AA161" s="3185"/>
      <c r="AB161" s="3185"/>
      <c r="AC161" s="3185"/>
      <c r="AD161" s="3185"/>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28">
        <f>IF($AC$155="N/A",VLOOKUP($C$153,$AO$153:$AP$156,2,FALSE),VLOOKUP($C$157,$AO$160:$AP$162,2,FALSE))</f>
        <v>3</v>
      </c>
      <c r="AK163" s="302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80">
        <f>$AJ$149+$AJ$163</f>
        <v>10</v>
      </c>
      <c r="AL166" s="3181"/>
      <c r="AM166" s="318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5" t="s">
        <v>1597</v>
      </c>
      <c r="AF169" s="3085"/>
      <c r="AG169" s="3085"/>
      <c r="AH169" s="3085"/>
      <c r="AI169" s="3085"/>
      <c r="AJ169" s="3085"/>
      <c r="AK169" s="3085"/>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183" t="s">
        <v>1652</v>
      </c>
      <c r="C171" s="3183"/>
      <c r="D171" s="3183"/>
      <c r="E171" s="3183"/>
      <c r="F171" s="3183"/>
      <c r="G171" s="3183"/>
      <c r="H171" s="3183"/>
      <c r="I171" s="3183"/>
      <c r="J171" s="3183"/>
      <c r="K171" s="3183"/>
      <c r="L171" s="3183"/>
      <c r="M171" s="3183"/>
      <c r="N171" s="3183"/>
      <c r="O171" s="3183"/>
      <c r="P171" s="3183"/>
      <c r="Q171" s="3183"/>
      <c r="R171" s="3183"/>
      <c r="S171" s="3183"/>
      <c r="T171" s="3183"/>
      <c r="U171" s="3183"/>
      <c r="V171" s="3183"/>
      <c r="W171" s="3183"/>
      <c r="X171" s="3183"/>
      <c r="Y171" s="3183"/>
      <c r="Z171" s="3183"/>
      <c r="AA171" s="3183"/>
      <c r="AB171" s="3183"/>
      <c r="AC171" s="3183"/>
      <c r="AD171" s="1025"/>
      <c r="AE171" s="1025"/>
      <c r="AF171" s="3121" t="s">
        <v>1646</v>
      </c>
      <c r="AG171" s="3121"/>
      <c r="AH171" s="3121"/>
      <c r="AI171" s="3121"/>
      <c r="AJ171" s="3121"/>
      <c r="AK171" s="3121"/>
      <c r="AL171" s="3121"/>
      <c r="AN171" s="1002"/>
      <c r="AP171" s="945" t="s">
        <v>1160</v>
      </c>
      <c r="AQ171" s="945">
        <v>10</v>
      </c>
    </row>
    <row r="172" spans="1:81" s="945" customFormat="1" ht="12.75" customHeight="1">
      <c r="A172" s="929"/>
      <c r="B172" s="3184" t="s">
        <v>2240</v>
      </c>
      <c r="C172" s="3184"/>
      <c r="D172" s="3184"/>
      <c r="E172" s="3184"/>
      <c r="F172" s="3184"/>
      <c r="G172" s="3184"/>
      <c r="H172" s="3184"/>
      <c r="I172" s="3184"/>
      <c r="J172" s="3184"/>
      <c r="K172" s="3184"/>
      <c r="L172" s="3184"/>
      <c r="M172" s="3184"/>
      <c r="N172" s="3184"/>
      <c r="O172" s="3184"/>
      <c r="P172" s="3184"/>
      <c r="Q172" s="3184"/>
      <c r="R172" s="3184"/>
      <c r="S172" s="3184"/>
      <c r="T172" s="3185" t="s">
        <v>627</v>
      </c>
      <c r="U172" s="3185"/>
      <c r="V172" s="3185"/>
      <c r="W172" s="3185"/>
      <c r="X172" s="3185"/>
      <c r="Y172" s="3185"/>
      <c r="Z172" s="3185"/>
      <c r="AA172" s="3185"/>
      <c r="AB172" s="3185"/>
      <c r="AC172" s="3185"/>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09">
        <f>IF(AK72&gt;0,VLOOKUP($B$171,AP168:AQ175,2,FALSE),0)</f>
        <v>10</v>
      </c>
      <c r="AL174" s="3031"/>
      <c r="AM174" s="3010"/>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5" t="s">
        <v>1655</v>
      </c>
      <c r="AF177" s="3085"/>
      <c r="AG177" s="3085"/>
      <c r="AH177" s="3085"/>
      <c r="AI177" s="3085"/>
      <c r="AJ177" s="3085"/>
      <c r="AK177" s="308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2" t="s">
        <v>2512</v>
      </c>
      <c r="C182" s="3012"/>
      <c r="D182" s="3012"/>
      <c r="E182" s="3012"/>
      <c r="F182" s="3012"/>
      <c r="G182" s="3012"/>
      <c r="H182" s="3012"/>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1399"/>
      <c r="AD182" s="3167">
        <v>4428000</v>
      </c>
      <c r="AE182" s="3167"/>
      <c r="AF182" s="3167"/>
      <c r="AG182" s="3167"/>
      <c r="AH182" s="3167"/>
      <c r="AI182" s="3167"/>
      <c r="AJ182" s="3167"/>
      <c r="AK182" s="1026"/>
    </row>
    <row r="183" spans="1:37">
      <c r="A183" s="1018"/>
      <c r="B183" s="3012" t="s">
        <v>2526</v>
      </c>
      <c r="C183" s="3012"/>
      <c r="D183" s="3012"/>
      <c r="E183" s="3012"/>
      <c r="F183" s="3012"/>
      <c r="G183" s="3012"/>
      <c r="H183" s="3012"/>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1399"/>
      <c r="AD183" s="3167">
        <v>1000000</v>
      </c>
      <c r="AE183" s="3167"/>
      <c r="AF183" s="3167"/>
      <c r="AG183" s="3167"/>
      <c r="AH183" s="3167"/>
      <c r="AI183" s="3167"/>
      <c r="AJ183" s="3167"/>
      <c r="AK183" s="1026"/>
    </row>
    <row r="184" spans="1:37">
      <c r="A184" s="1018"/>
      <c r="B184" s="3012"/>
      <c r="C184" s="3012"/>
      <c r="D184" s="3012"/>
      <c r="E184" s="3012"/>
      <c r="F184" s="3012"/>
      <c r="G184" s="3012"/>
      <c r="H184" s="3012"/>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1399"/>
      <c r="AD184" s="3167"/>
      <c r="AE184" s="3167"/>
      <c r="AF184" s="3167"/>
      <c r="AG184" s="3167"/>
      <c r="AH184" s="3167"/>
      <c r="AI184" s="3167"/>
      <c r="AJ184" s="3167"/>
      <c r="AK184" s="1026"/>
    </row>
    <row r="185" spans="1:37">
      <c r="A185" s="1018"/>
      <c r="B185" s="3012"/>
      <c r="C185" s="3012"/>
      <c r="D185" s="3012"/>
      <c r="E185" s="3012"/>
      <c r="F185" s="3012"/>
      <c r="G185" s="3012"/>
      <c r="H185" s="3012"/>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1399"/>
      <c r="AD185" s="3167"/>
      <c r="AE185" s="3167"/>
      <c r="AF185" s="3167"/>
      <c r="AG185" s="3167"/>
      <c r="AH185" s="3167"/>
      <c r="AI185" s="3167"/>
      <c r="AJ185" s="3167"/>
      <c r="AK185" s="1026"/>
    </row>
    <row r="186" spans="1:37">
      <c r="A186" s="1018"/>
      <c r="B186" s="3012"/>
      <c r="C186" s="3012"/>
      <c r="D186" s="3012"/>
      <c r="E186" s="3012"/>
      <c r="F186" s="3012"/>
      <c r="G186" s="3012"/>
      <c r="H186" s="3012"/>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1399"/>
      <c r="AD186" s="3167"/>
      <c r="AE186" s="3167"/>
      <c r="AF186" s="3167"/>
      <c r="AG186" s="3167"/>
      <c r="AH186" s="3167"/>
      <c r="AI186" s="3167"/>
      <c r="AJ186" s="3167"/>
      <c r="AK186" s="1026"/>
    </row>
    <row r="187" spans="1:37">
      <c r="A187" s="1018"/>
      <c r="B187" s="3012"/>
      <c r="C187" s="3012"/>
      <c r="D187" s="3012"/>
      <c r="E187" s="3012"/>
      <c r="F187" s="3012"/>
      <c r="G187" s="3012"/>
      <c r="H187" s="3012"/>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1399"/>
      <c r="AD187" s="3167"/>
      <c r="AE187" s="3167"/>
      <c r="AF187" s="3167"/>
      <c r="AG187" s="3167"/>
      <c r="AH187" s="3167"/>
      <c r="AI187" s="3167"/>
      <c r="AJ187" s="3167"/>
      <c r="AK187" s="1026"/>
    </row>
    <row r="188" spans="1:37">
      <c r="A188" s="1018"/>
      <c r="B188" s="3012"/>
      <c r="C188" s="3012"/>
      <c r="D188" s="3012"/>
      <c r="E188" s="3012"/>
      <c r="F188" s="3012"/>
      <c r="G188" s="3012"/>
      <c r="H188" s="3012"/>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1399"/>
      <c r="AD188" s="3167"/>
      <c r="AE188" s="3167"/>
      <c r="AF188" s="3167"/>
      <c r="AG188" s="3167"/>
      <c r="AH188" s="3167"/>
      <c r="AI188" s="3167"/>
      <c r="AJ188" s="3167"/>
      <c r="AK188" s="1026"/>
    </row>
    <row r="189" spans="1:37">
      <c r="A189" s="1018"/>
      <c r="B189" s="3012"/>
      <c r="C189" s="3012"/>
      <c r="D189" s="3012"/>
      <c r="E189" s="3012"/>
      <c r="F189" s="3012"/>
      <c r="G189" s="3012"/>
      <c r="H189" s="3012"/>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1399"/>
      <c r="AD189" s="3167"/>
      <c r="AE189" s="3167"/>
      <c r="AF189" s="3167"/>
      <c r="AG189" s="3167"/>
      <c r="AH189" s="3167"/>
      <c r="AI189" s="3167"/>
      <c r="AJ189" s="3167"/>
      <c r="AK189" s="1026"/>
    </row>
    <row r="190" spans="1:37">
      <c r="A190" s="1018"/>
      <c r="B190" s="3012"/>
      <c r="C190" s="3012"/>
      <c r="D190" s="3012"/>
      <c r="E190" s="3012"/>
      <c r="F190" s="3012"/>
      <c r="G190" s="3012"/>
      <c r="H190" s="3012"/>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1399"/>
      <c r="AD190" s="3167"/>
      <c r="AE190" s="3167"/>
      <c r="AF190" s="3167"/>
      <c r="AG190" s="3167"/>
      <c r="AH190" s="3167"/>
      <c r="AI190" s="3167"/>
      <c r="AJ190" s="3167"/>
      <c r="AK190" s="1026"/>
    </row>
    <row r="191" spans="1:37">
      <c r="A191" s="1018"/>
      <c r="B191" s="3012"/>
      <c r="C191" s="3012"/>
      <c r="D191" s="3012"/>
      <c r="E191" s="3012"/>
      <c r="F191" s="3012"/>
      <c r="G191" s="3012"/>
      <c r="H191" s="3012"/>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1399"/>
      <c r="AD191" s="3167"/>
      <c r="AE191" s="3167"/>
      <c r="AF191" s="3167"/>
      <c r="AG191" s="3167"/>
      <c r="AH191" s="3167"/>
      <c r="AI191" s="3167"/>
      <c r="AJ191" s="3167"/>
      <c r="AK191" s="1026"/>
    </row>
    <row r="192" spans="1:37">
      <c r="A192" s="1018"/>
      <c r="B192" s="3016" t="s">
        <v>1943</v>
      </c>
      <c r="C192" s="3016"/>
      <c r="D192" s="3016"/>
      <c r="E192" s="3016"/>
      <c r="F192" s="3016"/>
      <c r="G192" s="3016"/>
      <c r="H192" s="3016"/>
      <c r="I192" s="3016"/>
      <c r="J192" s="3016"/>
      <c r="K192" s="3016"/>
      <c r="L192" s="3016"/>
      <c r="M192" s="3016"/>
      <c r="N192" s="3016"/>
      <c r="O192" s="3016"/>
      <c r="P192" s="3016"/>
      <c r="Q192" s="3016"/>
      <c r="R192" s="3016"/>
      <c r="S192" s="3016"/>
      <c r="T192" s="3016"/>
      <c r="U192" s="3016"/>
      <c r="V192" s="3016"/>
      <c r="W192" s="3016"/>
      <c r="X192" s="3016"/>
      <c r="Y192" s="3016"/>
      <c r="Z192" s="3016"/>
      <c r="AA192" s="3016"/>
      <c r="AB192" s="3016"/>
      <c r="AC192" s="929"/>
      <c r="AD192" s="3165">
        <f>AB243</f>
        <v>0</v>
      </c>
      <c r="AE192" s="3165"/>
      <c r="AF192" s="3165"/>
      <c r="AG192" s="3165"/>
      <c r="AH192" s="3165"/>
      <c r="AI192" s="3165"/>
      <c r="AJ192" s="3165"/>
      <c r="AK192" s="1026"/>
    </row>
    <row r="193" spans="1:37">
      <c r="A193" s="1018"/>
      <c r="B193" s="3014" t="s">
        <v>1906</v>
      </c>
      <c r="C193" s="3014"/>
      <c r="D193" s="3014"/>
      <c r="E193" s="3014"/>
      <c r="F193" s="3014"/>
      <c r="G193" s="3014"/>
      <c r="H193" s="3014"/>
      <c r="I193" s="3014"/>
      <c r="J193" s="3014"/>
      <c r="K193" s="3014"/>
      <c r="L193" s="3014"/>
      <c r="M193" s="3014"/>
      <c r="N193" s="3014"/>
      <c r="O193" s="3014"/>
      <c r="P193" s="3014"/>
      <c r="Q193" s="3014"/>
      <c r="R193" s="3014"/>
      <c r="S193" s="3014"/>
      <c r="T193" s="3014"/>
      <c r="U193" s="3014"/>
      <c r="V193" s="3014"/>
      <c r="W193" s="3014"/>
      <c r="X193" s="3014"/>
      <c r="Y193" s="3014"/>
      <c r="Z193" s="3014"/>
      <c r="AA193" s="3014"/>
      <c r="AB193" s="3014"/>
      <c r="AC193" s="1399"/>
      <c r="AD193" s="3166">
        <f>'Sources and Uses Budget'!B15</f>
        <v>0</v>
      </c>
      <c r="AE193" s="3166"/>
      <c r="AF193" s="3166"/>
      <c r="AG193" s="3166"/>
      <c r="AH193" s="3166"/>
      <c r="AI193" s="3166"/>
      <c r="AJ193" s="316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1">
        <f>SUM(AD182:AJ192)-AD193</f>
        <v>5428000</v>
      </c>
      <c r="AE194" s="3171"/>
      <c r="AF194" s="3171"/>
      <c r="AG194" s="3171"/>
      <c r="AH194" s="3171"/>
      <c r="AI194" s="3171"/>
      <c r="AJ194" s="317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1" t="s">
        <v>1923</v>
      </c>
      <c r="J205" s="3191"/>
      <c r="K205" s="3191"/>
      <c r="L205" s="993"/>
      <c r="M205" s="993"/>
      <c r="N205" s="993"/>
      <c r="O205" s="993"/>
      <c r="P205" s="993"/>
      <c r="Q205" s="993"/>
      <c r="R205" s="993"/>
      <c r="S205" s="993"/>
      <c r="T205" s="2986" t="s">
        <v>1917</v>
      </c>
      <c r="U205" s="2986"/>
      <c r="V205" s="2986"/>
      <c r="W205" s="2986"/>
      <c r="X205" s="2986"/>
      <c r="Y205" s="2986"/>
      <c r="Z205" s="1403"/>
      <c r="AA205" s="1404"/>
      <c r="AB205" s="3187" t="s">
        <v>1918</v>
      </c>
      <c r="AC205" s="3187"/>
      <c r="AD205" s="3187"/>
      <c r="AE205" s="3187"/>
      <c r="AF205" s="3187"/>
      <c r="AG205" s="3187"/>
      <c r="AH205" s="1373"/>
      <c r="AI205" s="1373"/>
      <c r="AJ205" s="1373"/>
      <c r="AK205" s="1026"/>
    </row>
    <row r="206" spans="1:37">
      <c r="A206" s="1018"/>
      <c r="B206" s="3189" t="s">
        <v>1896</v>
      </c>
      <c r="C206" s="3189"/>
      <c r="D206" s="3189"/>
      <c r="E206" s="3189"/>
      <c r="F206" s="3189"/>
      <c r="G206" s="3189"/>
      <c r="I206" s="3190" t="s">
        <v>1924</v>
      </c>
      <c r="J206" s="3190"/>
      <c r="K206" s="3190"/>
      <c r="L206" s="1817"/>
      <c r="N206" s="3015" t="s">
        <v>1919</v>
      </c>
      <c r="O206" s="3015"/>
      <c r="P206" s="3015"/>
      <c r="Q206" s="3015"/>
      <c r="R206" s="3015"/>
      <c r="T206" s="3015" t="s">
        <v>1920</v>
      </c>
      <c r="U206" s="3015"/>
      <c r="V206" s="3015"/>
      <c r="W206" s="3015"/>
      <c r="X206" s="3015"/>
      <c r="Y206" s="3015"/>
      <c r="Z206" s="1405"/>
      <c r="AA206" s="1404"/>
      <c r="AB206" s="3018" t="s">
        <v>1921</v>
      </c>
      <c r="AC206" s="3018"/>
      <c r="AD206" s="3018"/>
      <c r="AE206" s="3018"/>
      <c r="AF206" s="3018"/>
      <c r="AG206" s="3018"/>
      <c r="AH206" s="1373"/>
      <c r="AI206" s="1373"/>
      <c r="AJ206" s="1373"/>
      <c r="AK206" s="1026"/>
    </row>
    <row r="207" spans="1:37">
      <c r="A207" s="1018"/>
      <c r="B207" s="3017" t="s">
        <v>1387</v>
      </c>
      <c r="C207" s="3017"/>
      <c r="D207" s="3017"/>
      <c r="E207" s="3017"/>
      <c r="F207" s="3017"/>
      <c r="G207" s="3017"/>
      <c r="H207" s="1407"/>
      <c r="I207" s="2991"/>
      <c r="J207" s="2991"/>
      <c r="K207" s="2991"/>
      <c r="L207" s="1817"/>
      <c r="N207" s="2988"/>
      <c r="O207" s="2988"/>
      <c r="P207" s="2988"/>
      <c r="Q207" s="2988"/>
      <c r="R207" s="2988"/>
      <c r="T207" s="2987"/>
      <c r="U207" s="2987"/>
      <c r="V207" s="2987"/>
      <c r="W207" s="2987"/>
      <c r="X207" s="2987"/>
      <c r="Y207" s="2987"/>
      <c r="Z207" s="1406"/>
      <c r="AA207" s="1406"/>
      <c r="AB207" s="2985">
        <f t="shared" ref="AB207:AB216" si="0">MAX(($T207-$N207)*$I207*12,0)</f>
        <v>0</v>
      </c>
      <c r="AC207" s="2985"/>
      <c r="AD207" s="2985"/>
      <c r="AE207" s="2985"/>
      <c r="AF207" s="2985"/>
      <c r="AG207" s="2985"/>
      <c r="AH207" s="1373"/>
      <c r="AI207" s="1373"/>
      <c r="AJ207" s="1373"/>
      <c r="AK207" s="1026"/>
    </row>
    <row r="208" spans="1:37">
      <c r="A208" s="1018"/>
      <c r="B208" s="3017" t="s">
        <v>1387</v>
      </c>
      <c r="C208" s="3017"/>
      <c r="D208" s="3017"/>
      <c r="E208" s="3017"/>
      <c r="F208" s="3017"/>
      <c r="G208" s="3017"/>
      <c r="I208" s="2991"/>
      <c r="J208" s="2991"/>
      <c r="K208" s="2991"/>
      <c r="L208" s="1817"/>
      <c r="N208" s="2988"/>
      <c r="O208" s="2988"/>
      <c r="P208" s="2988"/>
      <c r="Q208" s="2988"/>
      <c r="R208" s="2988"/>
      <c r="T208" s="2987"/>
      <c r="U208" s="2987"/>
      <c r="V208" s="2987"/>
      <c r="W208" s="2987"/>
      <c r="X208" s="2987"/>
      <c r="Y208" s="2987"/>
      <c r="Z208" s="1406"/>
      <c r="AA208" s="1406"/>
      <c r="AB208" s="2985">
        <f t="shared" si="0"/>
        <v>0</v>
      </c>
      <c r="AC208" s="2985"/>
      <c r="AD208" s="2985"/>
      <c r="AE208" s="2985"/>
      <c r="AF208" s="2985"/>
      <c r="AG208" s="2985"/>
      <c r="AH208" s="1373"/>
      <c r="AI208" s="1373"/>
      <c r="AJ208" s="1373"/>
      <c r="AK208" s="1026"/>
    </row>
    <row r="209" spans="1:37">
      <c r="A209" s="1018"/>
      <c r="B209" s="3017" t="s">
        <v>1387</v>
      </c>
      <c r="C209" s="3017"/>
      <c r="D209" s="3017"/>
      <c r="E209" s="3017"/>
      <c r="F209" s="3017"/>
      <c r="G209" s="3017"/>
      <c r="I209" s="2991"/>
      <c r="J209" s="2991"/>
      <c r="K209" s="2991"/>
      <c r="L209" s="1817"/>
      <c r="N209" s="2988"/>
      <c r="O209" s="2988"/>
      <c r="P209" s="2988"/>
      <c r="Q209" s="2988"/>
      <c r="R209" s="2988"/>
      <c r="T209" s="2987"/>
      <c r="U209" s="2987"/>
      <c r="V209" s="2987"/>
      <c r="W209" s="2987"/>
      <c r="X209" s="2987"/>
      <c r="Y209" s="2987"/>
      <c r="Z209" s="1406"/>
      <c r="AA209" s="1406"/>
      <c r="AB209" s="2985">
        <f t="shared" si="0"/>
        <v>0</v>
      </c>
      <c r="AC209" s="2985"/>
      <c r="AD209" s="2985"/>
      <c r="AE209" s="2985"/>
      <c r="AF209" s="2985"/>
      <c r="AG209" s="2985"/>
      <c r="AH209" s="1373"/>
      <c r="AI209" s="1373"/>
      <c r="AJ209" s="1373"/>
      <c r="AK209" s="1026"/>
    </row>
    <row r="210" spans="1:37">
      <c r="A210" s="1018"/>
      <c r="B210" s="3017" t="s">
        <v>1387</v>
      </c>
      <c r="C210" s="3017"/>
      <c r="D210" s="3017"/>
      <c r="E210" s="3017"/>
      <c r="F210" s="3017"/>
      <c r="G210" s="3017"/>
      <c r="I210" s="2991"/>
      <c r="J210" s="2991"/>
      <c r="K210" s="2991"/>
      <c r="L210" s="1817"/>
      <c r="N210" s="2988"/>
      <c r="O210" s="2988"/>
      <c r="P210" s="2988"/>
      <c r="Q210" s="2988"/>
      <c r="R210" s="2988"/>
      <c r="T210" s="2987"/>
      <c r="U210" s="2987"/>
      <c r="V210" s="2987"/>
      <c r="W210" s="2987"/>
      <c r="X210" s="2987"/>
      <c r="Y210" s="2987"/>
      <c r="Z210" s="1406"/>
      <c r="AA210" s="1406"/>
      <c r="AB210" s="2985">
        <f t="shared" si="0"/>
        <v>0</v>
      </c>
      <c r="AC210" s="2985"/>
      <c r="AD210" s="2985"/>
      <c r="AE210" s="2985"/>
      <c r="AF210" s="2985"/>
      <c r="AG210" s="2985"/>
      <c r="AH210" s="1373"/>
      <c r="AI210" s="1373"/>
      <c r="AJ210" s="1373"/>
      <c r="AK210" s="1026"/>
    </row>
    <row r="211" spans="1:37">
      <c r="A211" s="1018"/>
      <c r="B211" s="3017" t="s">
        <v>1387</v>
      </c>
      <c r="C211" s="3017"/>
      <c r="D211" s="3017"/>
      <c r="E211" s="3017"/>
      <c r="F211" s="3017"/>
      <c r="G211" s="3017"/>
      <c r="I211" s="2991"/>
      <c r="J211" s="2991"/>
      <c r="K211" s="2991"/>
      <c r="L211" s="1829"/>
      <c r="N211" s="2988"/>
      <c r="O211" s="2988"/>
      <c r="P211" s="2988"/>
      <c r="Q211" s="2988"/>
      <c r="R211" s="2988"/>
      <c r="T211" s="2987"/>
      <c r="U211" s="2987"/>
      <c r="V211" s="2987"/>
      <c r="W211" s="2987"/>
      <c r="X211" s="2987"/>
      <c r="Y211" s="2987"/>
      <c r="Z211" s="1406"/>
      <c r="AA211" s="1406"/>
      <c r="AB211" s="2985">
        <f t="shared" si="0"/>
        <v>0</v>
      </c>
      <c r="AC211" s="2985"/>
      <c r="AD211" s="2985"/>
      <c r="AE211" s="2985"/>
      <c r="AF211" s="2985"/>
      <c r="AG211" s="2985"/>
      <c r="AH211" s="1373"/>
      <c r="AI211" s="1373"/>
      <c r="AJ211" s="1373"/>
      <c r="AK211" s="1026"/>
    </row>
    <row r="212" spans="1:37">
      <c r="A212" s="1018"/>
      <c r="B212" s="3017" t="s">
        <v>1387</v>
      </c>
      <c r="C212" s="3017"/>
      <c r="D212" s="3017"/>
      <c r="E212" s="3017"/>
      <c r="F212" s="3017"/>
      <c r="G212" s="3017"/>
      <c r="I212" s="2991"/>
      <c r="J212" s="2991"/>
      <c r="K212" s="2991"/>
      <c r="L212" s="1829"/>
      <c r="N212" s="2988"/>
      <c r="O212" s="2988"/>
      <c r="P212" s="2988"/>
      <c r="Q212" s="2988"/>
      <c r="R212" s="2988"/>
      <c r="T212" s="2987"/>
      <c r="U212" s="2987"/>
      <c r="V212" s="2987"/>
      <c r="W212" s="2987"/>
      <c r="X212" s="2987"/>
      <c r="Y212" s="2987"/>
      <c r="Z212" s="1406"/>
      <c r="AA212" s="1406"/>
      <c r="AB212" s="2985">
        <f t="shared" si="0"/>
        <v>0</v>
      </c>
      <c r="AC212" s="2985"/>
      <c r="AD212" s="2985"/>
      <c r="AE212" s="2985"/>
      <c r="AF212" s="2985"/>
      <c r="AG212" s="2985"/>
      <c r="AH212" s="1373"/>
      <c r="AI212" s="1373"/>
      <c r="AJ212" s="1373"/>
      <c r="AK212" s="1026"/>
    </row>
    <row r="213" spans="1:37">
      <c r="A213" s="1018"/>
      <c r="B213" s="3017" t="s">
        <v>1387</v>
      </c>
      <c r="C213" s="3017"/>
      <c r="D213" s="3017"/>
      <c r="E213" s="3017"/>
      <c r="F213" s="3017"/>
      <c r="G213" s="3017"/>
      <c r="I213" s="2991"/>
      <c r="J213" s="2991"/>
      <c r="K213" s="2991"/>
      <c r="L213" s="1829"/>
      <c r="N213" s="2988"/>
      <c r="O213" s="2988"/>
      <c r="P213" s="2988"/>
      <c r="Q213" s="2988"/>
      <c r="R213" s="2988"/>
      <c r="T213" s="2987"/>
      <c r="U213" s="2987"/>
      <c r="V213" s="2987"/>
      <c r="W213" s="2987"/>
      <c r="X213" s="2987"/>
      <c r="Y213" s="2987"/>
      <c r="Z213" s="1406"/>
      <c r="AA213" s="1406"/>
      <c r="AB213" s="2985">
        <f t="shared" si="0"/>
        <v>0</v>
      </c>
      <c r="AC213" s="2985"/>
      <c r="AD213" s="2985"/>
      <c r="AE213" s="2985"/>
      <c r="AF213" s="2985"/>
      <c r="AG213" s="2985"/>
      <c r="AH213" s="1373"/>
      <c r="AI213" s="1373"/>
      <c r="AJ213" s="1373"/>
      <c r="AK213" s="1026"/>
    </row>
    <row r="214" spans="1:37">
      <c r="A214" s="1018"/>
      <c r="B214" s="3017" t="s">
        <v>1387</v>
      </c>
      <c r="C214" s="3017"/>
      <c r="D214" s="3017"/>
      <c r="E214" s="3017"/>
      <c r="F214" s="3017"/>
      <c r="G214" s="3017"/>
      <c r="I214" s="2991"/>
      <c r="J214" s="2991"/>
      <c r="K214" s="2991"/>
      <c r="L214" s="1829"/>
      <c r="N214" s="2988"/>
      <c r="O214" s="2988"/>
      <c r="P214" s="2988"/>
      <c r="Q214" s="2988"/>
      <c r="R214" s="2988"/>
      <c r="T214" s="2987"/>
      <c r="U214" s="2987"/>
      <c r="V214" s="2987"/>
      <c r="W214" s="2987"/>
      <c r="X214" s="2987"/>
      <c r="Y214" s="2987"/>
      <c r="Z214" s="1406"/>
      <c r="AA214" s="1406"/>
      <c r="AB214" s="2985">
        <f t="shared" si="0"/>
        <v>0</v>
      </c>
      <c r="AC214" s="2985"/>
      <c r="AD214" s="2985"/>
      <c r="AE214" s="2985"/>
      <c r="AF214" s="2985"/>
      <c r="AG214" s="2985"/>
      <c r="AH214" s="1373"/>
      <c r="AI214" s="1373"/>
      <c r="AJ214" s="1373"/>
      <c r="AK214" s="1026"/>
    </row>
    <row r="215" spans="1:37">
      <c r="A215" s="1018"/>
      <c r="B215" s="3017" t="s">
        <v>1387</v>
      </c>
      <c r="C215" s="3017"/>
      <c r="D215" s="3017"/>
      <c r="E215" s="3017"/>
      <c r="F215" s="3017"/>
      <c r="G215" s="3017"/>
      <c r="I215" s="2991"/>
      <c r="J215" s="2991"/>
      <c r="K215" s="2991"/>
      <c r="L215" s="1829"/>
      <c r="N215" s="2988"/>
      <c r="O215" s="2988"/>
      <c r="P215" s="2988"/>
      <c r="Q215" s="2988"/>
      <c r="R215" s="2988"/>
      <c r="T215" s="2987"/>
      <c r="U215" s="2987"/>
      <c r="V215" s="2987"/>
      <c r="W215" s="2987"/>
      <c r="X215" s="2987"/>
      <c r="Y215" s="2987"/>
      <c r="Z215" s="1406"/>
      <c r="AA215" s="1406"/>
      <c r="AB215" s="2985">
        <f t="shared" si="0"/>
        <v>0</v>
      </c>
      <c r="AC215" s="2985"/>
      <c r="AD215" s="2985"/>
      <c r="AE215" s="2985"/>
      <c r="AF215" s="2985"/>
      <c r="AG215" s="2985"/>
      <c r="AH215" s="1373"/>
      <c r="AI215" s="1373"/>
      <c r="AJ215" s="1373"/>
      <c r="AK215" s="1026"/>
    </row>
    <row r="216" spans="1:37">
      <c r="A216" s="1018"/>
      <c r="B216" s="3017" t="s">
        <v>1387</v>
      </c>
      <c r="C216" s="3017"/>
      <c r="D216" s="3017"/>
      <c r="E216" s="3017"/>
      <c r="F216" s="3017"/>
      <c r="G216" s="3017"/>
      <c r="I216" s="3192"/>
      <c r="J216" s="3192"/>
      <c r="K216" s="3192"/>
      <c r="L216" s="1829"/>
      <c r="N216" s="2988"/>
      <c r="O216" s="2988"/>
      <c r="P216" s="2988"/>
      <c r="Q216" s="2988"/>
      <c r="R216" s="2988"/>
      <c r="T216" s="2987"/>
      <c r="U216" s="2987"/>
      <c r="V216" s="2987"/>
      <c r="W216" s="2987"/>
      <c r="X216" s="2987"/>
      <c r="Y216" s="2987"/>
      <c r="Z216" s="1406"/>
      <c r="AA216" s="1406"/>
      <c r="AB216" s="2993">
        <f t="shared" si="0"/>
        <v>0</v>
      </c>
      <c r="AC216" s="2993"/>
      <c r="AD216" s="2993"/>
      <c r="AE216" s="2993"/>
      <c r="AF216" s="2993"/>
      <c r="AG216" s="299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85">
        <f>SUM(AB207:AB216)</f>
        <v>0</v>
      </c>
      <c r="AC217" s="2985"/>
      <c r="AD217" s="2985"/>
      <c r="AE217" s="2985"/>
      <c r="AF217" s="2985"/>
      <c r="AG217" s="298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79"/>
      <c r="AC223" s="3179"/>
      <c r="AD223" s="3179"/>
      <c r="AE223" s="3179"/>
      <c r="AF223" s="3179"/>
      <c r="AG223" s="3179"/>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79"/>
      <c r="AC226" s="3179"/>
      <c r="AD226" s="3179"/>
      <c r="AE226" s="3179"/>
      <c r="AF226" s="3179"/>
      <c r="AG226" s="3179"/>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4"/>
      <c r="AC227" s="2984"/>
      <c r="AD227" s="2984"/>
      <c r="AE227" s="2984"/>
      <c r="AF227" s="2984"/>
      <c r="AG227" s="2984"/>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4">
        <f>IFERROR(AB226/AB227,0)</f>
        <v>0</v>
      </c>
      <c r="AC228" s="2994"/>
      <c r="AD228" s="2994"/>
      <c r="AE228" s="2994"/>
      <c r="AF228" s="2994"/>
      <c r="AG228" s="299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3">
        <f>MAX(AB223,AB228)</f>
        <v>0</v>
      </c>
      <c r="AC230" s="3013"/>
      <c r="AD230" s="3013"/>
      <c r="AE230" s="3013"/>
      <c r="AF230" s="3013"/>
      <c r="AG230" s="301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2">
        <f>AB217+AB230</f>
        <v>0</v>
      </c>
      <c r="AC233" s="2992"/>
      <c r="AD233" s="2992"/>
      <c r="AE233" s="2992"/>
      <c r="AF233" s="2992"/>
      <c r="AG233" s="299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5">
        <v>0.05</v>
      </c>
      <c r="AC234" s="3175"/>
      <c r="AD234" s="3175"/>
      <c r="AE234" s="3175"/>
      <c r="AF234" s="3175"/>
      <c r="AG234" s="3175"/>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6">
        <f>AB233-(AB233*AB234)</f>
        <v>0</v>
      </c>
      <c r="AC235" s="3176"/>
      <c r="AD235" s="3176"/>
      <c r="AE235" s="3176"/>
      <c r="AF235" s="3176"/>
      <c r="AG235" s="3176"/>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2">
        <f>AB235/AB241</f>
        <v>0</v>
      </c>
      <c r="AC237" s="2992"/>
      <c r="AD237" s="2992"/>
      <c r="AE237" s="2992"/>
      <c r="AF237" s="2992"/>
      <c r="AG237" s="299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8">
        <v>15</v>
      </c>
      <c r="AC239" s="3188"/>
      <c r="AD239" s="3188"/>
      <c r="AE239" s="3188"/>
      <c r="AF239" s="3188"/>
      <c r="AG239" s="3188"/>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7">
        <v>0.04</v>
      </c>
      <c r="AC240" s="3177"/>
      <c r="AD240" s="3177"/>
      <c r="AE240" s="3177"/>
      <c r="AF240" s="3177"/>
      <c r="AG240" s="317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8">
        <v>1.1499999999999999</v>
      </c>
      <c r="AC241" s="3178"/>
      <c r="AD241" s="3178"/>
      <c r="AE241" s="3178"/>
      <c r="AF241" s="3178"/>
      <c r="AG241" s="317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8">
        <f>PV(AB240/12,AB239*12,-AB237/12, ,0)</f>
        <v>0</v>
      </c>
      <c r="AC243" s="3169"/>
      <c r="AD243" s="3169"/>
      <c r="AE243" s="3169"/>
      <c r="AF243" s="3169"/>
      <c r="AG243" s="317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2">
        <f>IFERROR(('Sources and Uses Budget'!D105/'Sources and Uses Budget'!B105),0)</f>
        <v>0</v>
      </c>
      <c r="AC249" s="3173"/>
      <c r="AD249" s="3173"/>
      <c r="AE249" s="3173"/>
      <c r="AF249" s="3173"/>
      <c r="AG249" s="317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8">
        <f>AD194*(1-AB249)</f>
        <v>5428000</v>
      </c>
      <c r="AH251" s="3078"/>
      <c r="AI251" s="3078"/>
      <c r="AJ251" s="3078"/>
      <c r="AK251" s="3078"/>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8">
        <f>'Sources and Uses Budget'!C105</f>
        <v>65206059</v>
      </c>
      <c r="AH252" s="3078"/>
      <c r="AI252" s="3078"/>
      <c r="AJ252" s="3078"/>
      <c r="AK252" s="307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2">
        <f>ROUNDDOWN(IF(AND(C274="Yes",AK72=10),((AG251*2)/AG252),AG251/AG252),2)</f>
        <v>0.08</v>
      </c>
      <c r="AH253" s="3162"/>
      <c r="AI253" s="3162"/>
      <c r="AJ253" s="3162"/>
      <c r="AK253" s="3162"/>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63">
        <f>IF(AG253=0,0,IF((AG253*100)&gt;8,8,(AG253*100)))</f>
        <v>8</v>
      </c>
      <c r="AL256" s="3163"/>
      <c r="AM256" s="3164"/>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95" customHeight="1">
      <c r="A261" s="1062"/>
      <c r="B261" s="1067"/>
      <c r="C261" s="3005" t="s">
        <v>579</v>
      </c>
      <c r="D261" s="3005"/>
      <c r="E261" s="942"/>
      <c r="F261" s="3155" t="s">
        <v>1999</v>
      </c>
      <c r="G261" s="3156"/>
      <c r="H261" s="3156"/>
      <c r="I261" s="3156"/>
      <c r="J261" s="3156"/>
      <c r="K261" s="3156"/>
      <c r="L261" s="3156"/>
      <c r="M261" s="3156"/>
      <c r="N261" s="3156"/>
      <c r="O261" s="3156"/>
      <c r="P261" s="3156"/>
      <c r="Q261" s="3156"/>
      <c r="R261" s="3156"/>
      <c r="S261" s="3156"/>
      <c r="T261" s="3156"/>
      <c r="U261" s="3156"/>
      <c r="V261" s="3156"/>
      <c r="W261" s="3156"/>
      <c r="X261" s="3156"/>
      <c r="Y261" s="3156"/>
      <c r="Z261" s="3156"/>
      <c r="AA261" s="3156"/>
      <c r="AB261" s="3156"/>
      <c r="AC261" s="3156"/>
      <c r="AD261" s="3157"/>
      <c r="AE261" s="945"/>
      <c r="AF261" s="1068"/>
      <c r="AG261" s="3161" t="s">
        <v>1661</v>
      </c>
      <c r="AH261" s="3161"/>
      <c r="AI261" s="3161"/>
      <c r="AJ261" s="3161"/>
      <c r="AK261" s="1028"/>
      <c r="AL261" s="1028"/>
      <c r="AM261" s="1028"/>
      <c r="AN261" s="1063"/>
      <c r="AO261" s="945">
        <f>IF($C$261="yes",5,0)</f>
        <v>5</v>
      </c>
      <c r="AS261" s="21"/>
      <c r="AT261" s="21"/>
    </row>
    <row r="262" spans="1:81" ht="13.95" customHeight="1">
      <c r="A262" s="1062"/>
      <c r="B262" s="1067"/>
      <c r="C262" s="1069"/>
      <c r="D262" s="945"/>
      <c r="E262" s="942"/>
      <c r="F262" s="3158"/>
      <c r="G262" s="3159"/>
      <c r="H262" s="3159"/>
      <c r="I262" s="3159"/>
      <c r="J262" s="3159"/>
      <c r="K262" s="3159"/>
      <c r="L262" s="3159"/>
      <c r="M262" s="3159"/>
      <c r="N262" s="3159"/>
      <c r="O262" s="3159"/>
      <c r="P262" s="3159"/>
      <c r="Q262" s="3159"/>
      <c r="R262" s="3159"/>
      <c r="S262" s="3159"/>
      <c r="T262" s="3159"/>
      <c r="U262" s="3159"/>
      <c r="V262" s="3159"/>
      <c r="W262" s="3159"/>
      <c r="X262" s="3159"/>
      <c r="Y262" s="3159"/>
      <c r="Z262" s="3159"/>
      <c r="AA262" s="3159"/>
      <c r="AB262" s="3159"/>
      <c r="AC262" s="3159"/>
      <c r="AD262" s="316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95" customHeight="1">
      <c r="A264" s="1062"/>
      <c r="B264" s="1067"/>
      <c r="C264" s="3005" t="s">
        <v>579</v>
      </c>
      <c r="D264" s="3005"/>
      <c r="E264" s="942"/>
      <c r="F264" s="3155" t="s">
        <v>2206</v>
      </c>
      <c r="G264" s="3156"/>
      <c r="H264" s="3156"/>
      <c r="I264" s="3156"/>
      <c r="J264" s="3156"/>
      <c r="K264" s="3156"/>
      <c r="L264" s="3156"/>
      <c r="M264" s="3156"/>
      <c r="N264" s="3156"/>
      <c r="O264" s="3156"/>
      <c r="P264" s="3156"/>
      <c r="Q264" s="3156"/>
      <c r="R264" s="3156"/>
      <c r="S264" s="3156"/>
      <c r="T264" s="3156"/>
      <c r="U264" s="3156"/>
      <c r="V264" s="3156"/>
      <c r="W264" s="3156"/>
      <c r="X264" s="3156"/>
      <c r="Y264" s="3156"/>
      <c r="Z264" s="3156"/>
      <c r="AA264" s="3156"/>
      <c r="AB264" s="3156"/>
      <c r="AC264" s="3156"/>
      <c r="AD264" s="3157"/>
      <c r="AE264" s="945"/>
      <c r="AF264" s="1068"/>
      <c r="AG264" s="3161" t="s">
        <v>1661</v>
      </c>
      <c r="AH264" s="3161"/>
      <c r="AI264" s="3161"/>
      <c r="AJ264" s="3161"/>
      <c r="AK264" s="1028"/>
      <c r="AL264" s="1028"/>
      <c r="AM264" s="1028"/>
      <c r="AN264" s="1063"/>
      <c r="AS264" s="21"/>
      <c r="AT264" s="21"/>
    </row>
    <row r="265" spans="1:81" ht="13.95" customHeight="1">
      <c r="A265" s="1062"/>
      <c r="C265" s="1071"/>
      <c r="D265" s="1071"/>
      <c r="E265" s="1071"/>
      <c r="F265" s="3158"/>
      <c r="G265" s="3159"/>
      <c r="H265" s="3159"/>
      <c r="I265" s="3159"/>
      <c r="J265" s="3159"/>
      <c r="K265" s="3159"/>
      <c r="L265" s="3159"/>
      <c r="M265" s="3159"/>
      <c r="N265" s="3159"/>
      <c r="O265" s="3159"/>
      <c r="P265" s="3159"/>
      <c r="Q265" s="3159"/>
      <c r="R265" s="3159"/>
      <c r="S265" s="3159"/>
      <c r="T265" s="3159"/>
      <c r="U265" s="3159"/>
      <c r="V265" s="3159"/>
      <c r="W265" s="3159"/>
      <c r="X265" s="3159"/>
      <c r="Y265" s="3159"/>
      <c r="Z265" s="3159"/>
      <c r="AA265" s="3159"/>
      <c r="AB265" s="3159"/>
      <c r="AC265" s="3159"/>
      <c r="AD265" s="316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09">
        <f>$AO$263</f>
        <v>10</v>
      </c>
      <c r="AL267" s="3031"/>
      <c r="AM267" s="3010"/>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0" t="s">
        <v>1665</v>
      </c>
      <c r="B274" s="3130"/>
      <c r="C274" s="3005" t="s">
        <v>627</v>
      </c>
      <c r="D274" s="3005"/>
      <c r="E274" s="942"/>
      <c r="F274" s="3152" t="s">
        <v>1666</v>
      </c>
      <c r="G274" s="3153"/>
      <c r="H274" s="3153"/>
      <c r="I274" s="3153"/>
      <c r="J274" s="3153"/>
      <c r="K274" s="3153"/>
      <c r="L274" s="3153"/>
      <c r="M274" s="3153"/>
      <c r="N274" s="3153"/>
      <c r="O274" s="3153"/>
      <c r="P274" s="3153"/>
      <c r="Q274" s="3153"/>
      <c r="R274" s="3153"/>
      <c r="S274" s="3153"/>
      <c r="T274" s="3153"/>
      <c r="U274" s="3153"/>
      <c r="V274" s="3153"/>
      <c r="W274" s="3153"/>
      <c r="X274" s="3153"/>
      <c r="Y274" s="3153"/>
      <c r="Z274" s="3153"/>
      <c r="AA274" s="3153"/>
      <c r="AB274" s="3153"/>
      <c r="AC274" s="3153"/>
      <c r="AD274" s="3154"/>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7"/>
      <c r="G275" s="3011"/>
      <c r="H275" s="3011"/>
      <c r="I275" s="3011"/>
      <c r="J275" s="3011"/>
      <c r="K275" s="3011"/>
      <c r="L275" s="3011"/>
      <c r="M275" s="3011"/>
      <c r="N275" s="3011"/>
      <c r="O275" s="3011"/>
      <c r="P275" s="3011"/>
      <c r="Q275" s="3011"/>
      <c r="R275" s="3011"/>
      <c r="S275" s="3011"/>
      <c r="T275" s="3011"/>
      <c r="U275" s="3011"/>
      <c r="V275" s="3011"/>
      <c r="W275" s="3011"/>
      <c r="X275" s="3011"/>
      <c r="Y275" s="3011"/>
      <c r="Z275" s="3011"/>
      <c r="AA275" s="3011"/>
      <c r="AB275" s="3011"/>
      <c r="AC275" s="3011"/>
      <c r="AD275" s="314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47"/>
      <c r="G276" s="3011"/>
      <c r="H276" s="3011"/>
      <c r="I276" s="3011"/>
      <c r="J276" s="3011"/>
      <c r="K276" s="3011"/>
      <c r="L276" s="3011"/>
      <c r="M276" s="3011"/>
      <c r="N276" s="3011"/>
      <c r="O276" s="3011"/>
      <c r="P276" s="3011"/>
      <c r="Q276" s="3011"/>
      <c r="R276" s="3011"/>
      <c r="S276" s="3011"/>
      <c r="T276" s="3011"/>
      <c r="U276" s="3011"/>
      <c r="V276" s="3011"/>
      <c r="W276" s="3011"/>
      <c r="X276" s="3011"/>
      <c r="Y276" s="3011"/>
      <c r="Z276" s="3011"/>
      <c r="AA276" s="3011"/>
      <c r="AB276" s="3011"/>
      <c r="AC276" s="3011"/>
      <c r="AD276" s="314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47" t="s">
        <v>1668</v>
      </c>
      <c r="G277" s="3011"/>
      <c r="H277" s="3011"/>
      <c r="I277" s="3011"/>
      <c r="J277" s="3011"/>
      <c r="K277" s="3011"/>
      <c r="L277" s="3011"/>
      <c r="M277" s="3011"/>
      <c r="N277" s="3011"/>
      <c r="O277" s="3011"/>
      <c r="P277" s="3011"/>
      <c r="Q277" s="3011"/>
      <c r="R277" s="3011"/>
      <c r="S277" s="3011"/>
      <c r="T277" s="3011"/>
      <c r="U277" s="3011"/>
      <c r="V277" s="3011"/>
      <c r="W277" s="3011"/>
      <c r="X277" s="3011"/>
      <c r="Y277" s="3011"/>
      <c r="Z277" s="3011"/>
      <c r="AA277" s="3011"/>
      <c r="AB277" s="3011"/>
      <c r="AC277" s="3011"/>
      <c r="AD277" s="314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7"/>
      <c r="G278" s="3011"/>
      <c r="H278" s="3011"/>
      <c r="I278" s="3011"/>
      <c r="J278" s="3011"/>
      <c r="K278" s="3011"/>
      <c r="L278" s="3011"/>
      <c r="M278" s="3011"/>
      <c r="N278" s="3011"/>
      <c r="O278" s="3011"/>
      <c r="P278" s="3011"/>
      <c r="Q278" s="3011"/>
      <c r="R278" s="3011"/>
      <c r="S278" s="3011"/>
      <c r="T278" s="3011"/>
      <c r="U278" s="3011"/>
      <c r="V278" s="3011"/>
      <c r="W278" s="3011"/>
      <c r="X278" s="3011"/>
      <c r="Y278" s="3011"/>
      <c r="Z278" s="3011"/>
      <c r="AA278" s="3011"/>
      <c r="AB278" s="3011"/>
      <c r="AC278" s="3011"/>
      <c r="AD278" s="314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47" t="s">
        <v>1669</v>
      </c>
      <c r="G279" s="3011"/>
      <c r="H279" s="3011"/>
      <c r="I279" s="3011"/>
      <c r="J279" s="3011"/>
      <c r="K279" s="3011"/>
      <c r="L279" s="3011"/>
      <c r="M279" s="3011"/>
      <c r="N279" s="3011"/>
      <c r="O279" s="3011"/>
      <c r="P279" s="3011"/>
      <c r="Q279" s="3011"/>
      <c r="R279" s="3011"/>
      <c r="S279" s="3011"/>
      <c r="T279" s="3011"/>
      <c r="U279" s="3011"/>
      <c r="V279" s="3011"/>
      <c r="W279" s="3011"/>
      <c r="X279" s="3011"/>
      <c r="Y279" s="3011"/>
      <c r="Z279" s="3011"/>
      <c r="AA279" s="3011"/>
      <c r="AB279" s="3011"/>
      <c r="AC279" s="3011"/>
      <c r="AD279" s="3148"/>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47"/>
      <c r="G280" s="3011"/>
      <c r="H280" s="3011"/>
      <c r="I280" s="3011"/>
      <c r="J280" s="3011"/>
      <c r="K280" s="3011"/>
      <c r="L280" s="3011"/>
      <c r="M280" s="3011"/>
      <c r="N280" s="3011"/>
      <c r="O280" s="3011"/>
      <c r="P280" s="3011"/>
      <c r="Q280" s="3011"/>
      <c r="R280" s="3011"/>
      <c r="S280" s="3011"/>
      <c r="T280" s="3011"/>
      <c r="U280" s="3011"/>
      <c r="V280" s="3011"/>
      <c r="W280" s="3011"/>
      <c r="X280" s="3011"/>
      <c r="Y280" s="3011"/>
      <c r="Z280" s="3011"/>
      <c r="AA280" s="3011"/>
      <c r="AB280" s="3011"/>
      <c r="AC280" s="3011"/>
      <c r="AD280" s="314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47" t="s">
        <v>1670</v>
      </c>
      <c r="G281" s="3011"/>
      <c r="H281" s="3011"/>
      <c r="I281" s="3011"/>
      <c r="J281" s="3011"/>
      <c r="K281" s="3011"/>
      <c r="L281" s="3011"/>
      <c r="M281" s="3011"/>
      <c r="N281" s="3011"/>
      <c r="O281" s="3011"/>
      <c r="P281" s="3011"/>
      <c r="Q281" s="3011"/>
      <c r="R281" s="3011"/>
      <c r="S281" s="3011"/>
      <c r="T281" s="3011"/>
      <c r="U281" s="3011"/>
      <c r="V281" s="3011"/>
      <c r="W281" s="3011"/>
      <c r="X281" s="3011"/>
      <c r="Y281" s="3011"/>
      <c r="Z281" s="3011"/>
      <c r="AA281" s="3011"/>
      <c r="AB281" s="3011"/>
      <c r="AC281" s="3011"/>
      <c r="AD281" s="314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49"/>
      <c r="G282" s="3150"/>
      <c r="H282" s="3150"/>
      <c r="I282" s="3150"/>
      <c r="J282" s="3150"/>
      <c r="K282" s="3150"/>
      <c r="L282" s="3150"/>
      <c r="M282" s="3150"/>
      <c r="N282" s="3150"/>
      <c r="O282" s="3150"/>
      <c r="P282" s="3150"/>
      <c r="Q282" s="3150"/>
      <c r="R282" s="3150"/>
      <c r="S282" s="3150"/>
      <c r="T282" s="3150"/>
      <c r="U282" s="3150"/>
      <c r="V282" s="3150"/>
      <c r="W282" s="3150"/>
      <c r="X282" s="3150"/>
      <c r="Y282" s="3150"/>
      <c r="Z282" s="3150"/>
      <c r="AA282" s="3150"/>
      <c r="AB282" s="3150"/>
      <c r="AC282" s="3150"/>
      <c r="AD282" s="315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0" t="s">
        <v>1671</v>
      </c>
      <c r="B284" s="3130"/>
      <c r="C284" s="3005" t="s">
        <v>627</v>
      </c>
      <c r="D284" s="3005"/>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47" t="s">
        <v>1674</v>
      </c>
      <c r="G285" s="3011"/>
      <c r="H285" s="3011"/>
      <c r="I285" s="3011"/>
      <c r="J285" s="3011"/>
      <c r="K285" s="3011"/>
      <c r="L285" s="3011"/>
      <c r="M285" s="3011"/>
      <c r="N285" s="3011"/>
      <c r="O285" s="3011"/>
      <c r="P285" s="3011"/>
      <c r="Q285" s="3011"/>
      <c r="R285" s="3011"/>
      <c r="S285" s="3011"/>
      <c r="T285" s="3011"/>
      <c r="U285" s="3011"/>
      <c r="V285" s="3011"/>
      <c r="W285" s="3011"/>
      <c r="X285" s="3011"/>
      <c r="Y285" s="3011"/>
      <c r="Z285" s="3011"/>
      <c r="AA285" s="3011"/>
      <c r="AB285" s="3011"/>
      <c r="AC285" s="3011"/>
      <c r="AD285" s="3148"/>
      <c r="AE285" s="946"/>
      <c r="AF285" s="946"/>
      <c r="AG285" s="946"/>
      <c r="AH285" s="946"/>
      <c r="AI285" s="946"/>
      <c r="AJ285" s="945"/>
      <c r="AK285" s="1028"/>
      <c r="AL285" s="1028"/>
      <c r="AM285" s="1028"/>
      <c r="AR285" s="1088"/>
    </row>
    <row r="286" spans="1:53" ht="15" customHeight="1">
      <c r="A286" s="1062"/>
      <c r="B286" s="946"/>
      <c r="C286" s="945"/>
      <c r="D286" s="946"/>
      <c r="E286" s="945"/>
      <c r="F286" s="3147"/>
      <c r="G286" s="3011"/>
      <c r="H286" s="3011"/>
      <c r="I286" s="3011"/>
      <c r="J286" s="3011"/>
      <c r="K286" s="3011"/>
      <c r="L286" s="3011"/>
      <c r="M286" s="3011"/>
      <c r="N286" s="3011"/>
      <c r="O286" s="3011"/>
      <c r="P286" s="3011"/>
      <c r="Q286" s="3011"/>
      <c r="R286" s="3011"/>
      <c r="S286" s="3011"/>
      <c r="T286" s="3011"/>
      <c r="U286" s="3011"/>
      <c r="V286" s="3011"/>
      <c r="W286" s="3011"/>
      <c r="X286" s="3011"/>
      <c r="Y286" s="3011"/>
      <c r="Z286" s="3011"/>
      <c r="AA286" s="3011"/>
      <c r="AB286" s="3011"/>
      <c r="AC286" s="3011"/>
      <c r="AD286" s="3148"/>
      <c r="AE286" s="946"/>
      <c r="AF286" s="946"/>
      <c r="AG286" s="946"/>
      <c r="AH286" s="946"/>
      <c r="AI286" s="946"/>
      <c r="AJ286" s="945"/>
      <c r="AK286" s="1028"/>
      <c r="AL286" s="1028"/>
      <c r="AM286" s="1028"/>
      <c r="AR286" s="1088"/>
    </row>
    <row r="287" spans="1:53">
      <c r="A287" s="1062"/>
      <c r="B287" s="946"/>
      <c r="C287" s="945"/>
      <c r="D287" s="946"/>
      <c r="E287" s="945"/>
      <c r="F287" s="3147" t="s">
        <v>1669</v>
      </c>
      <c r="G287" s="3011"/>
      <c r="H287" s="3011"/>
      <c r="I287" s="3011"/>
      <c r="J287" s="3011"/>
      <c r="K287" s="3011"/>
      <c r="L287" s="3011"/>
      <c r="M287" s="3011"/>
      <c r="N287" s="3011"/>
      <c r="O287" s="3011"/>
      <c r="P287" s="3011"/>
      <c r="Q287" s="3011"/>
      <c r="R287" s="3011"/>
      <c r="S287" s="3011"/>
      <c r="T287" s="3011"/>
      <c r="U287" s="3011"/>
      <c r="V287" s="3011"/>
      <c r="W287" s="3011"/>
      <c r="X287" s="3011"/>
      <c r="Y287" s="3011"/>
      <c r="Z287" s="3011"/>
      <c r="AA287" s="3011"/>
      <c r="AB287" s="3011"/>
      <c r="AC287" s="3011"/>
      <c r="AD287" s="314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47"/>
      <c r="G288" s="3011"/>
      <c r="H288" s="3011"/>
      <c r="I288" s="3011"/>
      <c r="J288" s="3011"/>
      <c r="K288" s="3011"/>
      <c r="L288" s="3011"/>
      <c r="M288" s="3011"/>
      <c r="N288" s="3011"/>
      <c r="O288" s="3011"/>
      <c r="P288" s="3011"/>
      <c r="Q288" s="3011"/>
      <c r="R288" s="3011"/>
      <c r="S288" s="3011"/>
      <c r="T288" s="3011"/>
      <c r="U288" s="3011"/>
      <c r="V288" s="3011"/>
      <c r="W288" s="3011"/>
      <c r="X288" s="3011"/>
      <c r="Y288" s="3011"/>
      <c r="Z288" s="3011"/>
      <c r="AA288" s="3011"/>
      <c r="AB288" s="3011"/>
      <c r="AC288" s="3011"/>
      <c r="AD288" s="3148"/>
      <c r="AE288" s="946"/>
      <c r="AF288" s="946"/>
      <c r="AG288" s="946"/>
      <c r="AH288" s="946"/>
      <c r="AI288" s="946"/>
      <c r="AJ288" s="945"/>
      <c r="AK288" s="1028"/>
      <c r="AL288" s="1028"/>
      <c r="AM288" s="1028"/>
      <c r="AP288" s="1081"/>
      <c r="AQ288" s="970"/>
      <c r="AR288" s="1088"/>
    </row>
    <row r="289" spans="1:60">
      <c r="A289" s="1062"/>
      <c r="B289" s="946"/>
      <c r="C289" s="945"/>
      <c r="D289" s="946"/>
      <c r="E289" s="945"/>
      <c r="F289" s="3147" t="s">
        <v>1675</v>
      </c>
      <c r="G289" s="3011"/>
      <c r="H289" s="3011"/>
      <c r="I289" s="3011"/>
      <c r="J289" s="3011"/>
      <c r="K289" s="3011"/>
      <c r="L289" s="3011"/>
      <c r="M289" s="3011"/>
      <c r="N289" s="3011"/>
      <c r="O289" s="3011"/>
      <c r="P289" s="3011"/>
      <c r="Q289" s="3011"/>
      <c r="R289" s="3011"/>
      <c r="S289" s="3011"/>
      <c r="T289" s="3011"/>
      <c r="U289" s="3011"/>
      <c r="V289" s="3011"/>
      <c r="W289" s="3011"/>
      <c r="X289" s="3011"/>
      <c r="Y289" s="3011"/>
      <c r="Z289" s="3011"/>
      <c r="AA289" s="3011"/>
      <c r="AB289" s="3011"/>
      <c r="AC289" s="3011"/>
      <c r="AD289" s="3148"/>
      <c r="AE289" s="946"/>
      <c r="AF289" s="946"/>
      <c r="AG289" s="946"/>
      <c r="AH289" s="946"/>
      <c r="AI289" s="946"/>
      <c r="AJ289" s="945"/>
      <c r="AK289" s="1028"/>
      <c r="AL289" s="1028"/>
      <c r="AM289" s="1028"/>
      <c r="AP289" s="1081"/>
      <c r="AQ289" s="970"/>
      <c r="AR289" s="1088"/>
    </row>
    <row r="290" spans="1:60">
      <c r="A290" s="1062"/>
      <c r="B290" s="946"/>
      <c r="C290" s="945"/>
      <c r="D290" s="946"/>
      <c r="E290" s="945"/>
      <c r="F290" s="3149"/>
      <c r="G290" s="3150"/>
      <c r="H290" s="3150"/>
      <c r="I290" s="3150"/>
      <c r="J290" s="3150"/>
      <c r="K290" s="3150"/>
      <c r="L290" s="3150"/>
      <c r="M290" s="3150"/>
      <c r="N290" s="3150"/>
      <c r="O290" s="3150"/>
      <c r="P290" s="3150"/>
      <c r="Q290" s="3150"/>
      <c r="R290" s="3150"/>
      <c r="S290" s="3150"/>
      <c r="T290" s="3150"/>
      <c r="U290" s="3150"/>
      <c r="V290" s="3150"/>
      <c r="W290" s="3150"/>
      <c r="X290" s="3150"/>
      <c r="Y290" s="3150"/>
      <c r="Z290" s="3150"/>
      <c r="AA290" s="3150"/>
      <c r="AB290" s="3150"/>
      <c r="AC290" s="3150"/>
      <c r="AD290" s="315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0" t="s">
        <v>1676</v>
      </c>
      <c r="B292" s="3130"/>
      <c r="C292" s="3005" t="s">
        <v>627</v>
      </c>
      <c r="D292" s="3005"/>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47" t="s">
        <v>1677</v>
      </c>
      <c r="G293" s="3011"/>
      <c r="H293" s="3011"/>
      <c r="I293" s="3011"/>
      <c r="J293" s="3011"/>
      <c r="K293" s="3011"/>
      <c r="L293" s="3011"/>
      <c r="M293" s="3011"/>
      <c r="N293" s="3011"/>
      <c r="O293" s="3011"/>
      <c r="P293" s="3011"/>
      <c r="Q293" s="3011"/>
      <c r="R293" s="3011"/>
      <c r="S293" s="3011"/>
      <c r="T293" s="3011"/>
      <c r="U293" s="3011"/>
      <c r="V293" s="3011"/>
      <c r="W293" s="3011"/>
      <c r="X293" s="3011"/>
      <c r="Y293" s="3011"/>
      <c r="Z293" s="3011"/>
      <c r="AA293" s="3011"/>
      <c r="AB293" s="3011"/>
      <c r="AC293" s="3011"/>
      <c r="AD293" s="3148"/>
      <c r="AE293" s="946"/>
      <c r="AF293" s="946"/>
      <c r="AG293" s="1014"/>
      <c r="AH293" s="946"/>
      <c r="AI293" s="946"/>
      <c r="AJ293" s="945"/>
      <c r="AK293" s="1028"/>
      <c r="AL293" s="1028"/>
      <c r="AM293" s="1028"/>
      <c r="AN293" s="110"/>
      <c r="AO293" s="51"/>
      <c r="AP293" s="952" t="s">
        <v>1387</v>
      </c>
      <c r="AR293" s="21"/>
    </row>
    <row r="294" spans="1:60" s="21" customFormat="1">
      <c r="F294" s="3147"/>
      <c r="G294" s="3011"/>
      <c r="H294" s="3011"/>
      <c r="I294" s="3011"/>
      <c r="J294" s="3011"/>
      <c r="K294" s="3011"/>
      <c r="L294" s="3011"/>
      <c r="M294" s="3011"/>
      <c r="N294" s="3011"/>
      <c r="O294" s="3011"/>
      <c r="P294" s="3011"/>
      <c r="Q294" s="3011"/>
      <c r="R294" s="3011"/>
      <c r="S294" s="3011"/>
      <c r="T294" s="3011"/>
      <c r="U294" s="3011"/>
      <c r="V294" s="3011"/>
      <c r="W294" s="3011"/>
      <c r="X294" s="3011"/>
      <c r="Y294" s="3011"/>
      <c r="Z294" s="3011"/>
      <c r="AA294" s="3011"/>
      <c r="AB294" s="3011"/>
      <c r="AC294" s="3011"/>
      <c r="AD294" s="3148"/>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37" t="s">
        <v>1387</v>
      </c>
      <c r="G298" s="3138"/>
      <c r="H298" s="3138"/>
      <c r="I298" s="3138"/>
      <c r="J298" s="3138"/>
      <c r="K298" s="3138"/>
      <c r="L298" s="3138"/>
      <c r="M298" s="3138"/>
      <c r="N298" s="3138"/>
      <c r="O298" s="3138"/>
      <c r="P298" s="3138"/>
      <c r="Q298" s="3138"/>
      <c r="R298" s="3138"/>
      <c r="S298" s="3138"/>
      <c r="T298" s="3138"/>
      <c r="U298" s="3138"/>
      <c r="V298" s="3138"/>
      <c r="W298" s="3138"/>
      <c r="X298" s="3138"/>
      <c r="Y298" s="3138"/>
      <c r="Z298" s="3138"/>
      <c r="AA298" s="3138"/>
      <c r="AB298" s="3138"/>
      <c r="AC298" s="3138"/>
      <c r="AD298" s="313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7"/>
      <c r="G299" s="3138"/>
      <c r="H299" s="3138"/>
      <c r="I299" s="3138"/>
      <c r="J299" s="3138"/>
      <c r="K299" s="3138"/>
      <c r="L299" s="3138"/>
      <c r="M299" s="3138"/>
      <c r="N299" s="3138"/>
      <c r="O299" s="3138"/>
      <c r="P299" s="3138"/>
      <c r="Q299" s="3138"/>
      <c r="R299" s="3138"/>
      <c r="S299" s="3138"/>
      <c r="T299" s="3138"/>
      <c r="U299" s="3138"/>
      <c r="V299" s="3138"/>
      <c r="W299" s="3138"/>
      <c r="X299" s="3138"/>
      <c r="Y299" s="3138"/>
      <c r="Z299" s="3138"/>
      <c r="AA299" s="3138"/>
      <c r="AB299" s="3138"/>
      <c r="AC299" s="3138"/>
      <c r="AD299" s="313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7"/>
      <c r="G300" s="3138"/>
      <c r="H300" s="3138"/>
      <c r="I300" s="3138"/>
      <c r="J300" s="3138"/>
      <c r="K300" s="3138"/>
      <c r="L300" s="3138"/>
      <c r="M300" s="3138"/>
      <c r="N300" s="3138"/>
      <c r="O300" s="3138"/>
      <c r="P300" s="3138"/>
      <c r="Q300" s="3138"/>
      <c r="R300" s="3138"/>
      <c r="S300" s="3138"/>
      <c r="T300" s="3138"/>
      <c r="U300" s="3138"/>
      <c r="V300" s="3138"/>
      <c r="W300" s="3138"/>
      <c r="X300" s="3138"/>
      <c r="Y300" s="3138"/>
      <c r="Z300" s="3138"/>
      <c r="AA300" s="3138"/>
      <c r="AB300" s="3138"/>
      <c r="AC300" s="3138"/>
      <c r="AD300" s="313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7"/>
      <c r="G301" s="3138"/>
      <c r="H301" s="3138"/>
      <c r="I301" s="3138"/>
      <c r="J301" s="3138"/>
      <c r="K301" s="3138"/>
      <c r="L301" s="3138"/>
      <c r="M301" s="3138"/>
      <c r="N301" s="3138"/>
      <c r="O301" s="3138"/>
      <c r="P301" s="3138"/>
      <c r="Q301" s="3138"/>
      <c r="R301" s="3138"/>
      <c r="S301" s="3138"/>
      <c r="T301" s="3138"/>
      <c r="U301" s="3138"/>
      <c r="V301" s="3138"/>
      <c r="W301" s="3138"/>
      <c r="X301" s="3138"/>
      <c r="Y301" s="3138"/>
      <c r="Z301" s="3138"/>
      <c r="AA301" s="3138"/>
      <c r="AB301" s="3138"/>
      <c r="AC301" s="3138"/>
      <c r="AD301" s="313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0"/>
      <c r="G302" s="3141"/>
      <c r="H302" s="3141"/>
      <c r="I302" s="3141"/>
      <c r="J302" s="3141"/>
      <c r="K302" s="3141"/>
      <c r="L302" s="3141"/>
      <c r="M302" s="3141"/>
      <c r="N302" s="3141"/>
      <c r="O302" s="3141"/>
      <c r="P302" s="3141"/>
      <c r="Q302" s="3141"/>
      <c r="R302" s="3141"/>
      <c r="S302" s="3141"/>
      <c r="T302" s="3141"/>
      <c r="U302" s="3141"/>
      <c r="V302" s="3141"/>
      <c r="W302" s="3141"/>
      <c r="X302" s="3141"/>
      <c r="Y302" s="3141"/>
      <c r="Z302" s="3141"/>
      <c r="AA302" s="3141"/>
      <c r="AB302" s="3141"/>
      <c r="AC302" s="3141"/>
      <c r="AD302" s="314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43" t="s">
        <v>1387</v>
      </c>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43"/>
      <c r="AD306" s="3144"/>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43"/>
      <c r="AD307" s="3144"/>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43"/>
      <c r="AD308" s="3144"/>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45"/>
      <c r="AD309" s="3146"/>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3" t="s">
        <v>1387</v>
      </c>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43"/>
      <c r="AD311" s="314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43"/>
      <c r="AD312" s="3144"/>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45"/>
      <c r="AD313" s="3146"/>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30" t="s">
        <v>1680</v>
      </c>
      <c r="B315" s="3130"/>
      <c r="C315" s="3005" t="s">
        <v>579</v>
      </c>
      <c r="D315" s="3005"/>
      <c r="E315" s="942"/>
      <c r="F315" s="3131" t="s">
        <v>1681</v>
      </c>
      <c r="G315" s="3132"/>
      <c r="H315" s="3132"/>
      <c r="I315" s="3132"/>
      <c r="J315" s="3132"/>
      <c r="K315" s="3132"/>
      <c r="L315" s="3132"/>
      <c r="M315" s="3132"/>
      <c r="N315" s="3132"/>
      <c r="O315" s="3132"/>
      <c r="P315" s="3132"/>
      <c r="Q315" s="3132"/>
      <c r="R315" s="3132"/>
      <c r="S315" s="3132"/>
      <c r="T315" s="3132"/>
      <c r="U315" s="3132"/>
      <c r="V315" s="3132"/>
      <c r="W315" s="3132"/>
      <c r="X315" s="3132"/>
      <c r="Y315" s="3132"/>
      <c r="Z315" s="3132"/>
      <c r="AA315" s="3132"/>
      <c r="AB315" s="3132"/>
      <c r="AC315" s="3132"/>
      <c r="AD315" s="3133"/>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34"/>
      <c r="G316" s="3135"/>
      <c r="H316" s="3135"/>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35"/>
      <c r="AD316" s="3136"/>
      <c r="AE316" s="946"/>
      <c r="AF316" s="946"/>
      <c r="AG316" s="946"/>
      <c r="AH316" s="946"/>
      <c r="AI316" s="946"/>
      <c r="AJ316" s="945"/>
      <c r="AK316" s="1028"/>
      <c r="AL316" s="1028"/>
      <c r="AM316" s="1028"/>
      <c r="AN316" s="110"/>
      <c r="AO316" s="51"/>
    </row>
    <row r="317" spans="1:60" ht="15" customHeight="1">
      <c r="A317" s="1062"/>
      <c r="B317" s="946"/>
      <c r="C317" s="946"/>
      <c r="D317" s="946"/>
      <c r="E317" s="946"/>
      <c r="F317" s="3134"/>
      <c r="G317" s="3135"/>
      <c r="H317" s="3135"/>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35"/>
      <c r="AD317" s="313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09">
        <f>AP279</f>
        <v>9</v>
      </c>
      <c r="AL320" s="3031"/>
      <c r="AM320" s="301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5" t="s">
        <v>1597</v>
      </c>
      <c r="AF323" s="3085"/>
      <c r="AG323" s="3085"/>
      <c r="AH323" s="3085"/>
      <c r="AI323" s="3085"/>
      <c r="AJ323" s="3085"/>
      <c r="AK323" s="308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1" t="s">
        <v>2207</v>
      </c>
      <c r="C325" s="3011"/>
      <c r="D325" s="3011"/>
      <c r="E325" s="3011"/>
      <c r="F325" s="3011"/>
      <c r="G325" s="3011"/>
      <c r="H325" s="3011"/>
      <c r="I325" s="3011"/>
      <c r="J325" s="3011"/>
      <c r="K325" s="3011"/>
      <c r="L325" s="3011"/>
      <c r="M325" s="3011"/>
      <c r="N325" s="3011"/>
      <c r="O325" s="3011"/>
      <c r="P325" s="3011"/>
      <c r="Q325" s="3011"/>
      <c r="R325" s="3011"/>
      <c r="S325" s="3011"/>
      <c r="T325" s="3011"/>
      <c r="U325" s="3011"/>
      <c r="V325" s="3011"/>
      <c r="W325" s="3011"/>
      <c r="X325" s="3011"/>
      <c r="Y325" s="3011"/>
      <c r="Z325" s="3011"/>
      <c r="AA325" s="3011"/>
      <c r="AB325" s="3011"/>
      <c r="AC325" s="3011"/>
      <c r="AD325" s="3011"/>
      <c r="AE325" s="3011"/>
      <c r="AF325" s="3011"/>
      <c r="AG325" s="3011"/>
      <c r="AH325" s="3011"/>
      <c r="AI325" s="3011"/>
      <c r="AJ325" s="3011"/>
      <c r="AK325" s="1080"/>
      <c r="AL325" s="969"/>
      <c r="AM325" s="1029"/>
      <c r="AN325" s="1002"/>
    </row>
    <row r="326" spans="1:42" s="945" customFormat="1" ht="12.75" customHeight="1">
      <c r="A326" s="1029"/>
      <c r="B326" s="3011"/>
      <c r="C326" s="3011"/>
      <c r="D326" s="3011"/>
      <c r="E326" s="3011"/>
      <c r="F326" s="3011"/>
      <c r="G326" s="3011"/>
      <c r="H326" s="3011"/>
      <c r="I326" s="3011"/>
      <c r="J326" s="3011"/>
      <c r="K326" s="3011"/>
      <c r="L326" s="3011"/>
      <c r="M326" s="3011"/>
      <c r="N326" s="3011"/>
      <c r="O326" s="3011"/>
      <c r="P326" s="3011"/>
      <c r="Q326" s="3011"/>
      <c r="R326" s="3011"/>
      <c r="S326" s="3011"/>
      <c r="T326" s="3011"/>
      <c r="U326" s="3011"/>
      <c r="V326" s="3011"/>
      <c r="W326" s="3011"/>
      <c r="X326" s="3011"/>
      <c r="Y326" s="3011"/>
      <c r="Z326" s="3011"/>
      <c r="AA326" s="3011"/>
      <c r="AB326" s="3011"/>
      <c r="AC326" s="3011"/>
      <c r="AD326" s="3011"/>
      <c r="AE326" s="3011"/>
      <c r="AF326" s="3011"/>
      <c r="AG326" s="3011"/>
      <c r="AH326" s="3011"/>
      <c r="AI326" s="3011"/>
      <c r="AJ326" s="3011"/>
      <c r="AK326" s="1080"/>
      <c r="AL326" s="969"/>
      <c r="AM326" s="1029"/>
      <c r="AN326" s="1002"/>
    </row>
    <row r="327" spans="1:42" s="945" customFormat="1" ht="12.75" customHeight="1">
      <c r="A327" s="1029"/>
      <c r="B327" s="3011"/>
      <c r="C327" s="3011"/>
      <c r="D327" s="3011"/>
      <c r="E327" s="3011"/>
      <c r="F327" s="3011"/>
      <c r="G327" s="3011"/>
      <c r="H327" s="3011"/>
      <c r="I327" s="3011"/>
      <c r="J327" s="3011"/>
      <c r="K327" s="3011"/>
      <c r="L327" s="3011"/>
      <c r="M327" s="3011"/>
      <c r="N327" s="3011"/>
      <c r="O327" s="3011"/>
      <c r="P327" s="3011"/>
      <c r="Q327" s="3011"/>
      <c r="R327" s="3011"/>
      <c r="S327" s="3011"/>
      <c r="T327" s="3011"/>
      <c r="U327" s="3011"/>
      <c r="V327" s="3011"/>
      <c r="W327" s="3011"/>
      <c r="X327" s="3011"/>
      <c r="Y327" s="3011"/>
      <c r="Z327" s="3011"/>
      <c r="AA327" s="3011"/>
      <c r="AB327" s="3011"/>
      <c r="AC327" s="3011"/>
      <c r="AD327" s="3011"/>
      <c r="AE327" s="3011"/>
      <c r="AF327" s="3011"/>
      <c r="AG327" s="3011"/>
      <c r="AH327" s="3011"/>
      <c r="AI327" s="3011"/>
      <c r="AJ327" s="3011"/>
      <c r="AK327" s="1080"/>
      <c r="AL327" s="969"/>
      <c r="AM327" s="1029"/>
      <c r="AN327" s="1002"/>
    </row>
    <row r="328" spans="1:42" s="945" customFormat="1" ht="12.75" customHeight="1">
      <c r="A328" s="1029"/>
      <c r="B328" s="3011"/>
      <c r="C328" s="3011"/>
      <c r="D328" s="3011"/>
      <c r="E328" s="3011"/>
      <c r="F328" s="3011"/>
      <c r="G328" s="3011"/>
      <c r="H328" s="3011"/>
      <c r="I328" s="3011"/>
      <c r="J328" s="3011"/>
      <c r="K328" s="3011"/>
      <c r="L328" s="3011"/>
      <c r="M328" s="3011"/>
      <c r="N328" s="3011"/>
      <c r="O328" s="3011"/>
      <c r="P328" s="3011"/>
      <c r="Q328" s="3011"/>
      <c r="R328" s="3011"/>
      <c r="S328" s="3011"/>
      <c r="T328" s="3011"/>
      <c r="U328" s="3011"/>
      <c r="V328" s="3011"/>
      <c r="W328" s="3011"/>
      <c r="X328" s="3011"/>
      <c r="Y328" s="3011"/>
      <c r="Z328" s="3011"/>
      <c r="AA328" s="3011"/>
      <c r="AB328" s="3011"/>
      <c r="AC328" s="3011"/>
      <c r="AD328" s="3011"/>
      <c r="AE328" s="3011"/>
      <c r="AF328" s="3011"/>
      <c r="AG328" s="3011"/>
      <c r="AH328" s="3011"/>
      <c r="AI328" s="3011"/>
      <c r="AJ328" s="3011"/>
      <c r="AK328" s="1080"/>
      <c r="AL328" s="969"/>
      <c r="AM328" s="1029"/>
      <c r="AN328" s="1002"/>
    </row>
    <row r="329" spans="1:42" s="945" customFormat="1" ht="12.75" customHeight="1">
      <c r="A329" s="1029"/>
      <c r="B329" s="3011"/>
      <c r="C329" s="3011"/>
      <c r="D329" s="3011"/>
      <c r="E329" s="3011"/>
      <c r="F329" s="3011"/>
      <c r="G329" s="3011"/>
      <c r="H329" s="3011"/>
      <c r="I329" s="3011"/>
      <c r="J329" s="3011"/>
      <c r="K329" s="3011"/>
      <c r="L329" s="3011"/>
      <c r="M329" s="3011"/>
      <c r="N329" s="3011"/>
      <c r="O329" s="3011"/>
      <c r="P329" s="3011"/>
      <c r="Q329" s="3011"/>
      <c r="R329" s="3011"/>
      <c r="S329" s="3011"/>
      <c r="T329" s="3011"/>
      <c r="U329" s="3011"/>
      <c r="V329" s="3011"/>
      <c r="W329" s="3011"/>
      <c r="X329" s="3011"/>
      <c r="Y329" s="3011"/>
      <c r="Z329" s="3011"/>
      <c r="AA329" s="3011"/>
      <c r="AB329" s="3011"/>
      <c r="AC329" s="3011"/>
      <c r="AD329" s="3011"/>
      <c r="AE329" s="3011"/>
      <c r="AF329" s="3011"/>
      <c r="AG329" s="3011"/>
      <c r="AH329" s="3011"/>
      <c r="AI329" s="3011"/>
      <c r="AJ329" s="3011"/>
      <c r="AK329" s="1080"/>
      <c r="AL329" s="969"/>
      <c r="AM329" s="1029"/>
      <c r="AN329" s="1002"/>
    </row>
    <row r="330" spans="1:42" s="945" customFormat="1" ht="12.75" customHeight="1">
      <c r="A330" s="1029"/>
      <c r="B330" s="3011"/>
      <c r="C330" s="3011"/>
      <c r="D330" s="3011"/>
      <c r="E330" s="3011"/>
      <c r="F330" s="3011"/>
      <c r="G330" s="3011"/>
      <c r="H330" s="3011"/>
      <c r="I330" s="3011"/>
      <c r="J330" s="3011"/>
      <c r="K330" s="3011"/>
      <c r="L330" s="3011"/>
      <c r="M330" s="3011"/>
      <c r="N330" s="3011"/>
      <c r="O330" s="3011"/>
      <c r="P330" s="3011"/>
      <c r="Q330" s="3011"/>
      <c r="R330" s="3011"/>
      <c r="S330" s="3011"/>
      <c r="T330" s="3011"/>
      <c r="U330" s="3011"/>
      <c r="V330" s="3011"/>
      <c r="W330" s="3011"/>
      <c r="X330" s="3011"/>
      <c r="Y330" s="3011"/>
      <c r="Z330" s="3011"/>
      <c r="AA330" s="3011"/>
      <c r="AB330" s="3011"/>
      <c r="AC330" s="3011"/>
      <c r="AD330" s="3011"/>
      <c r="AE330" s="3011"/>
      <c r="AF330" s="3011"/>
      <c r="AG330" s="3011"/>
      <c r="AH330" s="3011"/>
      <c r="AI330" s="3011"/>
      <c r="AJ330" s="3011"/>
      <c r="AK330" s="1080"/>
      <c r="AL330" s="969"/>
      <c r="AM330" s="1029"/>
      <c r="AN330" s="1002"/>
    </row>
    <row r="331" spans="1:42" s="945" customFormat="1" ht="12.75" customHeight="1">
      <c r="A331" s="1029"/>
      <c r="B331" s="3011"/>
      <c r="C331" s="3011"/>
      <c r="D331" s="3011"/>
      <c r="E331" s="3011"/>
      <c r="F331" s="3011"/>
      <c r="G331" s="3011"/>
      <c r="H331" s="3011"/>
      <c r="I331" s="3011"/>
      <c r="J331" s="3011"/>
      <c r="K331" s="3011"/>
      <c r="L331" s="3011"/>
      <c r="M331" s="3011"/>
      <c r="N331" s="3011"/>
      <c r="O331" s="3011"/>
      <c r="P331" s="3011"/>
      <c r="Q331" s="3011"/>
      <c r="R331" s="3011"/>
      <c r="S331" s="3011"/>
      <c r="T331" s="3011"/>
      <c r="U331" s="3011"/>
      <c r="V331" s="3011"/>
      <c r="W331" s="3011"/>
      <c r="X331" s="3011"/>
      <c r="Y331" s="3011"/>
      <c r="Z331" s="3011"/>
      <c r="AA331" s="3011"/>
      <c r="AB331" s="3011"/>
      <c r="AC331" s="3011"/>
      <c r="AD331" s="3011"/>
      <c r="AE331" s="3011"/>
      <c r="AF331" s="3011"/>
      <c r="AG331" s="3011"/>
      <c r="AH331" s="3011"/>
      <c r="AI331" s="3011"/>
      <c r="AJ331" s="3011"/>
      <c r="AK331" s="1080"/>
      <c r="AL331" s="969"/>
      <c r="AM331" s="1029"/>
      <c r="AN331" s="1002"/>
    </row>
    <row r="332" spans="1:42" ht="12.75" customHeight="1">
      <c r="A332" s="1029"/>
      <c r="B332" s="3011"/>
      <c r="C332" s="3011"/>
      <c r="D332" s="3011"/>
      <c r="E332" s="3011"/>
      <c r="F332" s="3011"/>
      <c r="G332" s="3011"/>
      <c r="H332" s="3011"/>
      <c r="I332" s="3011"/>
      <c r="J332" s="3011"/>
      <c r="K332" s="3011"/>
      <c r="L332" s="3011"/>
      <c r="M332" s="3011"/>
      <c r="N332" s="3011"/>
      <c r="O332" s="3011"/>
      <c r="P332" s="3011"/>
      <c r="Q332" s="3011"/>
      <c r="R332" s="3011"/>
      <c r="S332" s="3011"/>
      <c r="T332" s="3011"/>
      <c r="U332" s="3011"/>
      <c r="V332" s="3011"/>
      <c r="W332" s="3011"/>
      <c r="X332" s="3011"/>
      <c r="Y332" s="3011"/>
      <c r="Z332" s="3011"/>
      <c r="AA332" s="3011"/>
      <c r="AB332" s="3011"/>
      <c r="AC332" s="3011"/>
      <c r="AD332" s="3011"/>
      <c r="AE332" s="3011"/>
      <c r="AF332" s="3011"/>
      <c r="AG332" s="3011"/>
      <c r="AH332" s="3011"/>
      <c r="AI332" s="3011"/>
      <c r="AJ332" s="3011"/>
      <c r="AK332" s="1080"/>
      <c r="AL332" s="969"/>
      <c r="AM332" s="1029"/>
    </row>
    <row r="333" spans="1:42" s="945" customFormat="1" ht="12.75" customHeight="1">
      <c r="A333" s="1062"/>
      <c r="B333" s="3011"/>
      <c r="C333" s="3011"/>
      <c r="D333" s="3011"/>
      <c r="E333" s="3011"/>
      <c r="F333" s="3011"/>
      <c r="G333" s="3011"/>
      <c r="H333" s="3011"/>
      <c r="I333" s="3011"/>
      <c r="J333" s="3011"/>
      <c r="K333" s="3011"/>
      <c r="L333" s="3011"/>
      <c r="M333" s="3011"/>
      <c r="N333" s="3011"/>
      <c r="O333" s="3011"/>
      <c r="P333" s="3011"/>
      <c r="Q333" s="3011"/>
      <c r="R333" s="3011"/>
      <c r="S333" s="3011"/>
      <c r="T333" s="3011"/>
      <c r="U333" s="3011"/>
      <c r="V333" s="3011"/>
      <c r="W333" s="3011"/>
      <c r="X333" s="3011"/>
      <c r="Y333" s="3011"/>
      <c r="Z333" s="3011"/>
      <c r="AA333" s="3011"/>
      <c r="AB333" s="3011"/>
      <c r="AC333" s="3011"/>
      <c r="AD333" s="3011"/>
      <c r="AE333" s="3011"/>
      <c r="AF333" s="3011"/>
      <c r="AG333" s="3011"/>
      <c r="AH333" s="3011"/>
      <c r="AI333" s="3011"/>
      <c r="AJ333" s="301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1" t="s">
        <v>1621</v>
      </c>
      <c r="AG339" s="3121"/>
      <c r="AH339" s="3121"/>
      <c r="AI339" s="3121"/>
      <c r="AJ339" s="3121"/>
      <c r="AK339" s="3121"/>
      <c r="AL339" s="3121"/>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1" t="s">
        <v>1687</v>
      </c>
      <c r="AG346" s="3121"/>
      <c r="AH346" s="3121"/>
      <c r="AI346" s="3121"/>
      <c r="AJ346" s="3121"/>
      <c r="AK346" s="3121"/>
      <c r="AL346" s="3121"/>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1" t="s">
        <v>1661</v>
      </c>
      <c r="AG352" s="3121"/>
      <c r="AH352" s="3121"/>
      <c r="AI352" s="3121"/>
      <c r="AJ352" s="3121"/>
      <c r="AK352" s="3121"/>
      <c r="AL352" s="3121"/>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1" t="s">
        <v>1690</v>
      </c>
      <c r="AG358" s="3121"/>
      <c r="AH358" s="3121"/>
      <c r="AI358" s="3121"/>
      <c r="AJ358" s="3121"/>
      <c r="AK358" s="3121"/>
      <c r="AL358" s="3121"/>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29" t="s">
        <v>1387</v>
      </c>
      <c r="P362" s="3129"/>
      <c r="Q362" s="3129"/>
      <c r="R362" s="3129"/>
      <c r="S362" s="3129"/>
      <c r="T362" s="3129"/>
      <c r="U362" s="3129"/>
      <c r="V362" s="3129"/>
      <c r="W362" s="3129"/>
      <c r="X362" s="3129"/>
      <c r="Y362" s="3129"/>
      <c r="Z362" s="3129"/>
      <c r="AA362" s="3129"/>
      <c r="AB362" s="312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1" t="s">
        <v>1635</v>
      </c>
      <c r="AG364" s="3121"/>
      <c r="AH364" s="3121"/>
      <c r="AI364" s="3121"/>
      <c r="AJ364" s="3121"/>
      <c r="AK364" s="3121"/>
      <c r="AL364" s="3121"/>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008" t="s">
        <v>1688</v>
      </c>
      <c r="I367" s="300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28" t="s">
        <v>627</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26" t="s">
        <v>627</v>
      </c>
      <c r="C377" s="3126"/>
      <c r="D377" s="1648"/>
      <c r="E377" s="3011" t="s">
        <v>1694</v>
      </c>
      <c r="F377" s="3011"/>
      <c r="G377" s="3011"/>
      <c r="H377" s="3011"/>
      <c r="I377" s="3011"/>
      <c r="J377" s="3011"/>
      <c r="K377" s="3011"/>
      <c r="L377" s="3011"/>
      <c r="M377" s="3011"/>
      <c r="N377" s="3011"/>
      <c r="O377" s="3011"/>
      <c r="P377" s="3011"/>
      <c r="Q377" s="3011"/>
      <c r="R377" s="3011"/>
      <c r="S377" s="3011"/>
      <c r="T377" s="3011"/>
      <c r="U377" s="3011"/>
      <c r="V377" s="3011"/>
      <c r="W377" s="3011"/>
      <c r="X377" s="3011"/>
      <c r="Y377" s="3011"/>
      <c r="Z377" s="3011"/>
      <c r="AA377" s="3011"/>
      <c r="AB377" s="3011"/>
      <c r="AC377" s="3011"/>
      <c r="AD377" s="3011"/>
      <c r="AE377" s="3011"/>
      <c r="AF377" s="3011"/>
      <c r="AG377" s="3011"/>
      <c r="AH377" s="1648"/>
      <c r="AI377" s="1648"/>
      <c r="AJ377" s="1648"/>
      <c r="AK377" s="1648"/>
      <c r="AL377" s="1648"/>
      <c r="AN377" s="1002"/>
    </row>
    <row r="378" spans="1:46" s="945" customFormat="1" ht="12.75" customHeight="1">
      <c r="A378" s="1062"/>
      <c r="B378" s="1025"/>
      <c r="C378" s="1643"/>
      <c r="D378" s="1648"/>
      <c r="E378" s="3011"/>
      <c r="F378" s="3011"/>
      <c r="G378" s="3011"/>
      <c r="H378" s="3011"/>
      <c r="I378" s="3011"/>
      <c r="J378" s="3011"/>
      <c r="K378" s="3011"/>
      <c r="L378" s="3011"/>
      <c r="M378" s="3011"/>
      <c r="N378" s="3011"/>
      <c r="O378" s="3011"/>
      <c r="P378" s="3011"/>
      <c r="Q378" s="3011"/>
      <c r="R378" s="3011"/>
      <c r="S378" s="3011"/>
      <c r="T378" s="3011"/>
      <c r="U378" s="3011"/>
      <c r="V378" s="3011"/>
      <c r="W378" s="3011"/>
      <c r="X378" s="3011"/>
      <c r="Y378" s="3011"/>
      <c r="Z378" s="3011"/>
      <c r="AA378" s="3011"/>
      <c r="AB378" s="3011"/>
      <c r="AC378" s="3011"/>
      <c r="AD378" s="3011"/>
      <c r="AE378" s="3011"/>
      <c r="AF378" s="3011"/>
      <c r="AG378" s="3011"/>
      <c r="AH378" s="1648"/>
      <c r="AI378" s="1648"/>
      <c r="AJ378" s="1648"/>
      <c r="AK378" s="1648"/>
      <c r="AL378" s="1648"/>
      <c r="AN378" s="1002"/>
    </row>
    <row r="379" spans="1:46" s="945" customFormat="1" ht="12.75" customHeight="1">
      <c r="A379" s="1062"/>
      <c r="B379" s="1025"/>
      <c r="C379" s="1643"/>
      <c r="D379" s="1648"/>
      <c r="E379" s="3011"/>
      <c r="F379" s="3011"/>
      <c r="G379" s="3011"/>
      <c r="H379" s="3011"/>
      <c r="I379" s="3011"/>
      <c r="J379" s="3011"/>
      <c r="K379" s="3011"/>
      <c r="L379" s="3011"/>
      <c r="M379" s="3011"/>
      <c r="N379" s="3011"/>
      <c r="O379" s="3011"/>
      <c r="P379" s="3011"/>
      <c r="Q379" s="3011"/>
      <c r="R379" s="3011"/>
      <c r="S379" s="3011"/>
      <c r="T379" s="3011"/>
      <c r="U379" s="3011"/>
      <c r="V379" s="3011"/>
      <c r="W379" s="3011"/>
      <c r="X379" s="3011"/>
      <c r="Y379" s="3011"/>
      <c r="Z379" s="3011"/>
      <c r="AA379" s="3011"/>
      <c r="AB379" s="3011"/>
      <c r="AC379" s="3011"/>
      <c r="AD379" s="3011"/>
      <c r="AE379" s="3011"/>
      <c r="AF379" s="3011"/>
      <c r="AG379" s="3011"/>
      <c r="AH379" s="1648"/>
      <c r="AI379" s="1648"/>
      <c r="AJ379" s="1648"/>
      <c r="AK379" s="1648"/>
      <c r="AL379" s="1648"/>
      <c r="AN379" s="1002"/>
    </row>
    <row r="380" spans="1:46" s="945" customFormat="1" ht="12.75" customHeight="1">
      <c r="A380" s="1062"/>
      <c r="B380" s="1025"/>
      <c r="C380" s="1643"/>
      <c r="D380" s="1650"/>
      <c r="E380" s="3011"/>
      <c r="F380" s="3011"/>
      <c r="G380" s="3011"/>
      <c r="H380" s="3011"/>
      <c r="I380" s="3011"/>
      <c r="J380" s="3011"/>
      <c r="K380" s="3011"/>
      <c r="L380" s="3011"/>
      <c r="M380" s="3011"/>
      <c r="N380" s="3011"/>
      <c r="O380" s="3011"/>
      <c r="P380" s="3011"/>
      <c r="Q380" s="3011"/>
      <c r="R380" s="3011"/>
      <c r="S380" s="3011"/>
      <c r="T380" s="3011"/>
      <c r="U380" s="3011"/>
      <c r="V380" s="3011"/>
      <c r="W380" s="3011"/>
      <c r="X380" s="3011"/>
      <c r="Y380" s="3011"/>
      <c r="Z380" s="3011"/>
      <c r="AA380" s="3011"/>
      <c r="AB380" s="3011"/>
      <c r="AC380" s="3011"/>
      <c r="AD380" s="3011"/>
      <c r="AE380" s="3011"/>
      <c r="AF380" s="3011"/>
      <c r="AG380" s="301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09">
        <f>VLOOKUP($H$367,$AO$347:$AP$352,2,FALSE)+VLOOKUP($I$375,$AO$374:$AP$376,2,FALSE)</f>
        <v>4</v>
      </c>
      <c r="AK382" s="301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7" t="s">
        <v>2208</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4"/>
      <c r="AF386" s="3121" t="s">
        <v>1635</v>
      </c>
      <c r="AG386" s="3121"/>
      <c r="AH386" s="3121"/>
      <c r="AI386" s="3121"/>
      <c r="AJ386" s="3121"/>
      <c r="AK386" s="3121"/>
      <c r="AL386" s="3121"/>
      <c r="AM386" s="1028"/>
      <c r="AN386" s="1127"/>
    </row>
    <row r="387" spans="1:42" s="945" customFormat="1" ht="12.75" customHeight="1">
      <c r="A387" s="1128"/>
      <c r="B387" s="1025"/>
      <c r="C387" s="1643"/>
      <c r="D387" s="1108"/>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26" t="s">
        <v>627</v>
      </c>
      <c r="Y395" s="312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1" t="s">
        <v>1699</v>
      </c>
      <c r="AG397" s="3121"/>
      <c r="AH397" s="3121"/>
      <c r="AI397" s="3121"/>
      <c r="AJ397" s="3121"/>
      <c r="AK397" s="3121"/>
      <c r="AL397" s="3121"/>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08" t="s">
        <v>726</v>
      </c>
      <c r="I399" s="300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09">
        <f>VLOOKUP($H$399,$AO$366:$AP$368,2,FALSE)</f>
        <v>3</v>
      </c>
      <c r="AK401" s="3010"/>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1" t="s">
        <v>1635</v>
      </c>
      <c r="AG405" s="3121"/>
      <c r="AH405" s="3121"/>
      <c r="AI405" s="3121"/>
      <c r="AJ405" s="3121"/>
      <c r="AK405" s="3121"/>
      <c r="AL405" s="3121"/>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1" t="s">
        <v>1699</v>
      </c>
      <c r="AG408" s="3121"/>
      <c r="AH408" s="3121"/>
      <c r="AI408" s="3121"/>
      <c r="AJ408" s="3121"/>
      <c r="AK408" s="3121"/>
      <c r="AL408" s="3121"/>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08" t="s">
        <v>627</v>
      </c>
      <c r="I411" s="300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09">
        <f>VLOOKUP(H411,AT366:AU368,2,FALSE)</f>
        <v>0</v>
      </c>
      <c r="AK413" s="301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1" t="s">
        <v>1711</v>
      </c>
      <c r="F418" s="3011"/>
      <c r="G418" s="3011"/>
      <c r="H418" s="3011"/>
      <c r="I418" s="3011"/>
      <c r="J418" s="3011"/>
      <c r="K418" s="3011"/>
      <c r="L418" s="3011"/>
      <c r="M418" s="3011"/>
      <c r="N418" s="3011"/>
      <c r="O418" s="3011"/>
      <c r="P418" s="3011"/>
      <c r="Q418" s="3011"/>
      <c r="R418" s="3011"/>
      <c r="S418" s="3011"/>
      <c r="T418" s="3011"/>
      <c r="U418" s="3011"/>
      <c r="V418" s="3011"/>
      <c r="W418" s="3011"/>
      <c r="X418" s="3011"/>
      <c r="Y418" s="3011"/>
      <c r="Z418" s="3011"/>
      <c r="AA418" s="3011"/>
      <c r="AB418" s="3011"/>
      <c r="AC418" s="3011"/>
      <c r="AD418" s="929"/>
      <c r="AE418" s="929"/>
      <c r="AF418" s="3121" t="s">
        <v>1661</v>
      </c>
      <c r="AG418" s="3121"/>
      <c r="AH418" s="3121"/>
      <c r="AI418" s="3121"/>
      <c r="AJ418" s="3121"/>
      <c r="AK418" s="3121"/>
      <c r="AL418" s="3121"/>
      <c r="AN418" s="1002"/>
    </row>
    <row r="419" spans="1:42" s="945" customFormat="1" ht="12.75" customHeight="1">
      <c r="B419" s="929"/>
      <c r="C419" s="988"/>
      <c r="D419" s="929"/>
      <c r="E419" s="3011"/>
      <c r="F419" s="3011"/>
      <c r="G419" s="3011"/>
      <c r="H419" s="3011"/>
      <c r="I419" s="3011"/>
      <c r="J419" s="3011"/>
      <c r="K419" s="3011"/>
      <c r="L419" s="3011"/>
      <c r="M419" s="3011"/>
      <c r="N419" s="3011"/>
      <c r="O419" s="3011"/>
      <c r="P419" s="3011"/>
      <c r="Q419" s="3011"/>
      <c r="R419" s="3011"/>
      <c r="S419" s="3011"/>
      <c r="T419" s="3011"/>
      <c r="U419" s="3011"/>
      <c r="V419" s="3011"/>
      <c r="W419" s="3011"/>
      <c r="X419" s="3011"/>
      <c r="Y419" s="3011"/>
      <c r="Z419" s="3011"/>
      <c r="AA419" s="3011"/>
      <c r="AB419" s="3011"/>
      <c r="AC419" s="3011"/>
      <c r="AD419" s="929"/>
      <c r="AE419" s="929"/>
      <c r="AF419" s="929"/>
      <c r="AG419" s="929"/>
      <c r="AH419" s="929"/>
      <c r="AI419" s="929"/>
      <c r="AJ419" s="929"/>
      <c r="AK419" s="929"/>
      <c r="AL419" s="929"/>
      <c r="AN419" s="1002"/>
    </row>
    <row r="420" spans="1:42" s="945" customFormat="1" ht="12.75" customHeight="1">
      <c r="B420" s="929"/>
      <c r="C420" s="988"/>
      <c r="D420" s="1108"/>
      <c r="E420" s="3011"/>
      <c r="F420" s="3011"/>
      <c r="G420" s="3011"/>
      <c r="H420" s="3011"/>
      <c r="I420" s="3011"/>
      <c r="J420" s="3011"/>
      <c r="K420" s="3011"/>
      <c r="L420" s="3011"/>
      <c r="M420" s="3011"/>
      <c r="N420" s="3011"/>
      <c r="O420" s="3011"/>
      <c r="P420" s="3011"/>
      <c r="Q420" s="3011"/>
      <c r="R420" s="3011"/>
      <c r="S420" s="3011"/>
      <c r="T420" s="3011"/>
      <c r="U420" s="3011"/>
      <c r="V420" s="3011"/>
      <c r="W420" s="3011"/>
      <c r="X420" s="3011"/>
      <c r="Y420" s="3011"/>
      <c r="Z420" s="3011"/>
      <c r="AA420" s="3011"/>
      <c r="AB420" s="3011"/>
      <c r="AC420" s="301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1" t="s">
        <v>1712</v>
      </c>
      <c r="F422" s="3011"/>
      <c r="G422" s="3011"/>
      <c r="H422" s="3011"/>
      <c r="I422" s="3011"/>
      <c r="J422" s="3011"/>
      <c r="K422" s="3011"/>
      <c r="L422" s="3011"/>
      <c r="M422" s="3011"/>
      <c r="N422" s="3011"/>
      <c r="O422" s="3011"/>
      <c r="P422" s="3011"/>
      <c r="Q422" s="3011"/>
      <c r="R422" s="3011"/>
      <c r="S422" s="3011"/>
      <c r="T422" s="3011"/>
      <c r="U422" s="3011"/>
      <c r="V422" s="3011"/>
      <c r="W422" s="3011"/>
      <c r="X422" s="3011"/>
      <c r="Y422" s="3011"/>
      <c r="Z422" s="3011"/>
      <c r="AA422" s="3011"/>
      <c r="AB422" s="3011"/>
      <c r="AC422" s="3011"/>
      <c r="AD422" s="929"/>
      <c r="AE422" s="929"/>
      <c r="AF422" s="3121" t="s">
        <v>1690</v>
      </c>
      <c r="AG422" s="3121"/>
      <c r="AH422" s="3121"/>
      <c r="AI422" s="3121"/>
      <c r="AJ422" s="3121"/>
      <c r="AK422" s="3121"/>
      <c r="AL422" s="3121"/>
      <c r="AN422" s="1002"/>
    </row>
    <row r="423" spans="1:42" s="945" customFormat="1" ht="12.75" customHeight="1">
      <c r="B423" s="929"/>
      <c r="C423" s="988"/>
      <c r="D423" s="929"/>
      <c r="E423" s="3011"/>
      <c r="F423" s="3011"/>
      <c r="G423" s="3011"/>
      <c r="H423" s="3011"/>
      <c r="I423" s="3011"/>
      <c r="J423" s="3011"/>
      <c r="K423" s="3011"/>
      <c r="L423" s="3011"/>
      <c r="M423" s="3011"/>
      <c r="N423" s="3011"/>
      <c r="O423" s="3011"/>
      <c r="P423" s="3011"/>
      <c r="Q423" s="3011"/>
      <c r="R423" s="3011"/>
      <c r="S423" s="3011"/>
      <c r="T423" s="3011"/>
      <c r="U423" s="3011"/>
      <c r="V423" s="3011"/>
      <c r="W423" s="3011"/>
      <c r="X423" s="3011"/>
      <c r="Y423" s="3011"/>
      <c r="Z423" s="3011"/>
      <c r="AA423" s="3011"/>
      <c r="AB423" s="3011"/>
      <c r="AC423" s="3011"/>
      <c r="AD423" s="929"/>
      <c r="AE423" s="929"/>
      <c r="AF423" s="929"/>
      <c r="AG423" s="929"/>
      <c r="AH423" s="929"/>
      <c r="AI423" s="929"/>
      <c r="AJ423" s="929"/>
      <c r="AK423" s="929"/>
      <c r="AL423" s="929"/>
      <c r="AN423" s="1002"/>
    </row>
    <row r="424" spans="1:42" s="945" customFormat="1" ht="15" customHeight="1">
      <c r="B424" s="929"/>
      <c r="C424" s="988"/>
      <c r="D424" s="1108"/>
      <c r="E424" s="3011"/>
      <c r="F424" s="3011"/>
      <c r="G424" s="3011"/>
      <c r="H424" s="3011"/>
      <c r="I424" s="3011"/>
      <c r="J424" s="3011"/>
      <c r="K424" s="3011"/>
      <c r="L424" s="3011"/>
      <c r="M424" s="3011"/>
      <c r="N424" s="3011"/>
      <c r="O424" s="3011"/>
      <c r="P424" s="3011"/>
      <c r="Q424" s="3011"/>
      <c r="R424" s="3011"/>
      <c r="S424" s="3011"/>
      <c r="T424" s="3011"/>
      <c r="U424" s="3011"/>
      <c r="V424" s="3011"/>
      <c r="W424" s="3011"/>
      <c r="X424" s="3011"/>
      <c r="Y424" s="3011"/>
      <c r="Z424" s="3011"/>
      <c r="AA424" s="3011"/>
      <c r="AB424" s="3011"/>
      <c r="AC424" s="301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1" t="s">
        <v>1713</v>
      </c>
      <c r="F426" s="3011"/>
      <c r="G426" s="3011"/>
      <c r="H426" s="3011"/>
      <c r="I426" s="3011"/>
      <c r="J426" s="3011"/>
      <c r="K426" s="3011"/>
      <c r="L426" s="3011"/>
      <c r="M426" s="3011"/>
      <c r="N426" s="3011"/>
      <c r="O426" s="3011"/>
      <c r="P426" s="3011"/>
      <c r="Q426" s="3011"/>
      <c r="R426" s="3011"/>
      <c r="S426" s="3011"/>
      <c r="T426" s="3011"/>
      <c r="U426" s="3011"/>
      <c r="V426" s="3011"/>
      <c r="W426" s="3011"/>
      <c r="X426" s="3011"/>
      <c r="Y426" s="3011"/>
      <c r="Z426" s="3011"/>
      <c r="AA426" s="3011"/>
      <c r="AB426" s="3011"/>
      <c r="AC426" s="3011"/>
      <c r="AD426" s="929"/>
      <c r="AE426" s="929"/>
      <c r="AF426" s="3121" t="s">
        <v>1635</v>
      </c>
      <c r="AG426" s="3121"/>
      <c r="AH426" s="3121"/>
      <c r="AI426" s="3121"/>
      <c r="AJ426" s="3121"/>
      <c r="AK426" s="3121"/>
      <c r="AL426" s="3121"/>
      <c r="AN426" s="1002"/>
    </row>
    <row r="427" spans="1:42" s="945" customFormat="1" ht="12.75" customHeight="1">
      <c r="A427" s="1062"/>
      <c r="B427" s="1025"/>
      <c r="C427" s="1644"/>
      <c r="D427" s="929"/>
      <c r="E427" s="3011"/>
      <c r="F427" s="3011"/>
      <c r="G427" s="3011"/>
      <c r="H427" s="3011"/>
      <c r="I427" s="3011"/>
      <c r="J427" s="3011"/>
      <c r="K427" s="3011"/>
      <c r="L427" s="3011"/>
      <c r="M427" s="3011"/>
      <c r="N427" s="3011"/>
      <c r="O427" s="3011"/>
      <c r="P427" s="3011"/>
      <c r="Q427" s="3011"/>
      <c r="R427" s="3011"/>
      <c r="S427" s="3011"/>
      <c r="T427" s="3011"/>
      <c r="U427" s="3011"/>
      <c r="V427" s="3011"/>
      <c r="W427" s="3011"/>
      <c r="X427" s="3011"/>
      <c r="Y427" s="3011"/>
      <c r="Z427" s="3011"/>
      <c r="AA427" s="3011"/>
      <c r="AB427" s="3011"/>
      <c r="AC427" s="3011"/>
      <c r="AD427" s="929"/>
      <c r="AE427" s="3121"/>
      <c r="AF427" s="3121"/>
      <c r="AG427" s="3121"/>
      <c r="AH427" s="3121"/>
      <c r="AI427" s="3121"/>
      <c r="AJ427" s="3121"/>
      <c r="AK427" s="3121"/>
      <c r="AL427" s="1598"/>
      <c r="AM427" s="1028"/>
      <c r="AN427" s="1002"/>
      <c r="AO427" s="945" t="s">
        <v>627</v>
      </c>
      <c r="AP427" s="1122">
        <v>0</v>
      </c>
    </row>
    <row r="428" spans="1:42" s="945" customFormat="1" ht="12.75" customHeight="1">
      <c r="A428" s="1128"/>
      <c r="B428" s="929"/>
      <c r="C428" s="929"/>
      <c r="D428" s="1108"/>
      <c r="E428" s="3011"/>
      <c r="F428" s="3011"/>
      <c r="G428" s="3011"/>
      <c r="H428" s="3011"/>
      <c r="I428" s="3011"/>
      <c r="J428" s="3011"/>
      <c r="K428" s="3011"/>
      <c r="L428" s="3011"/>
      <c r="M428" s="3011"/>
      <c r="N428" s="3011"/>
      <c r="O428" s="3011"/>
      <c r="P428" s="3011"/>
      <c r="Q428" s="3011"/>
      <c r="R428" s="3011"/>
      <c r="S428" s="3011"/>
      <c r="T428" s="3011"/>
      <c r="U428" s="3011"/>
      <c r="V428" s="3011"/>
      <c r="W428" s="3011"/>
      <c r="X428" s="3011"/>
      <c r="Y428" s="3011"/>
      <c r="Z428" s="3011"/>
      <c r="AA428" s="3011"/>
      <c r="AB428" s="3011"/>
      <c r="AC428" s="301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11" t="s">
        <v>1714</v>
      </c>
      <c r="F430" s="3011"/>
      <c r="G430" s="3011"/>
      <c r="H430" s="3011"/>
      <c r="I430" s="3011"/>
      <c r="J430" s="3011"/>
      <c r="K430" s="3011"/>
      <c r="L430" s="3011"/>
      <c r="M430" s="3011"/>
      <c r="N430" s="3011"/>
      <c r="O430" s="3011"/>
      <c r="P430" s="3011"/>
      <c r="Q430" s="3011"/>
      <c r="R430" s="3011"/>
      <c r="S430" s="3011"/>
      <c r="T430" s="3011"/>
      <c r="U430" s="3011"/>
      <c r="V430" s="3011"/>
      <c r="W430" s="3011"/>
      <c r="X430" s="3011"/>
      <c r="Y430" s="3011"/>
      <c r="Z430" s="3011"/>
      <c r="AA430" s="3011"/>
      <c r="AB430" s="3011"/>
      <c r="AC430" s="3011"/>
      <c r="AD430" s="929"/>
      <c r="AE430" s="929"/>
      <c r="AF430" s="3121" t="s">
        <v>1690</v>
      </c>
      <c r="AG430" s="3121"/>
      <c r="AH430" s="3121"/>
      <c r="AI430" s="3121"/>
      <c r="AJ430" s="3121"/>
      <c r="AK430" s="3121"/>
      <c r="AL430" s="3121"/>
      <c r="AN430" s="1002"/>
    </row>
    <row r="431" spans="1:42" s="945" customFormat="1" ht="12.75" customHeight="1">
      <c r="A431" s="1117"/>
      <c r="B431" s="1025"/>
      <c r="C431" s="1660"/>
      <c r="D431" s="1108"/>
      <c r="E431" s="3011"/>
      <c r="F431" s="3011"/>
      <c r="G431" s="3011"/>
      <c r="H431" s="3011"/>
      <c r="I431" s="3011"/>
      <c r="J431" s="3011"/>
      <c r="K431" s="3011"/>
      <c r="L431" s="3011"/>
      <c r="M431" s="3011"/>
      <c r="N431" s="3011"/>
      <c r="O431" s="3011"/>
      <c r="P431" s="3011"/>
      <c r="Q431" s="3011"/>
      <c r="R431" s="3011"/>
      <c r="S431" s="3011"/>
      <c r="T431" s="3011"/>
      <c r="U431" s="3011"/>
      <c r="V431" s="3011"/>
      <c r="W431" s="3011"/>
      <c r="X431" s="3011"/>
      <c r="Y431" s="3011"/>
      <c r="Z431" s="3011"/>
      <c r="AA431" s="3011"/>
      <c r="AB431" s="3011"/>
      <c r="AC431" s="301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1"/>
      <c r="F432" s="3011"/>
      <c r="G432" s="3011"/>
      <c r="H432" s="3011"/>
      <c r="I432" s="3011"/>
      <c r="J432" s="3011"/>
      <c r="K432" s="3011"/>
      <c r="L432" s="3011"/>
      <c r="M432" s="3011"/>
      <c r="N432" s="3011"/>
      <c r="O432" s="3011"/>
      <c r="P432" s="3011"/>
      <c r="Q432" s="3011"/>
      <c r="R432" s="3011"/>
      <c r="S432" s="3011"/>
      <c r="T432" s="3011"/>
      <c r="U432" s="3011"/>
      <c r="V432" s="3011"/>
      <c r="W432" s="3011"/>
      <c r="X432" s="3011"/>
      <c r="Y432" s="3011"/>
      <c r="Z432" s="3011"/>
      <c r="AA432" s="3011"/>
      <c r="AB432" s="3011"/>
      <c r="AC432" s="301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11" t="s">
        <v>1715</v>
      </c>
      <c r="F434" s="3011"/>
      <c r="G434" s="3011"/>
      <c r="H434" s="3011"/>
      <c r="I434" s="3011"/>
      <c r="J434" s="3011"/>
      <c r="K434" s="3011"/>
      <c r="L434" s="3011"/>
      <c r="M434" s="3011"/>
      <c r="N434" s="3011"/>
      <c r="O434" s="3011"/>
      <c r="P434" s="3011"/>
      <c r="Q434" s="3011"/>
      <c r="R434" s="3011"/>
      <c r="S434" s="3011"/>
      <c r="T434" s="3011"/>
      <c r="U434" s="3011"/>
      <c r="V434" s="3011"/>
      <c r="W434" s="3011"/>
      <c r="X434" s="3011"/>
      <c r="Y434" s="3011"/>
      <c r="Z434" s="3011"/>
      <c r="AA434" s="3011"/>
      <c r="AB434" s="3011"/>
      <c r="AC434" s="3011"/>
      <c r="AD434" s="929"/>
      <c r="AE434" s="929"/>
      <c r="AF434" s="3121" t="s">
        <v>1635</v>
      </c>
      <c r="AG434" s="3121"/>
      <c r="AH434" s="3121"/>
      <c r="AI434" s="3121"/>
      <c r="AJ434" s="3121"/>
      <c r="AK434" s="3121"/>
      <c r="AL434" s="3121"/>
      <c r="AM434" s="1067"/>
      <c r="AN434" s="1002"/>
    </row>
    <row r="435" spans="1:42" s="945" customFormat="1" ht="12.75" customHeight="1">
      <c r="A435" s="1062"/>
      <c r="B435" s="1025"/>
      <c r="C435" s="1644"/>
      <c r="D435" s="1108"/>
      <c r="E435" s="3011"/>
      <c r="F435" s="3011"/>
      <c r="G435" s="3011"/>
      <c r="H435" s="3011"/>
      <c r="I435" s="3011"/>
      <c r="J435" s="3011"/>
      <c r="K435" s="3011"/>
      <c r="L435" s="3011"/>
      <c r="M435" s="3011"/>
      <c r="N435" s="3011"/>
      <c r="O435" s="3011"/>
      <c r="P435" s="3011"/>
      <c r="Q435" s="3011"/>
      <c r="R435" s="3011"/>
      <c r="S435" s="3011"/>
      <c r="T435" s="3011"/>
      <c r="U435" s="3011"/>
      <c r="V435" s="3011"/>
      <c r="W435" s="3011"/>
      <c r="X435" s="3011"/>
      <c r="Y435" s="3011"/>
      <c r="Z435" s="3011"/>
      <c r="AA435" s="3011"/>
      <c r="AB435" s="3011"/>
      <c r="AC435" s="301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1"/>
      <c r="F436" s="3011"/>
      <c r="G436" s="3011"/>
      <c r="H436" s="3011"/>
      <c r="I436" s="3011"/>
      <c r="J436" s="3011"/>
      <c r="K436" s="3011"/>
      <c r="L436" s="3011"/>
      <c r="M436" s="3011"/>
      <c r="N436" s="3011"/>
      <c r="O436" s="3011"/>
      <c r="P436" s="3011"/>
      <c r="Q436" s="3011"/>
      <c r="R436" s="3011"/>
      <c r="S436" s="3011"/>
      <c r="T436" s="3011"/>
      <c r="U436" s="3011"/>
      <c r="V436" s="3011"/>
      <c r="W436" s="3011"/>
      <c r="X436" s="3011"/>
      <c r="Y436" s="3011"/>
      <c r="Z436" s="3011"/>
      <c r="AA436" s="3011"/>
      <c r="AB436" s="3011"/>
      <c r="AC436" s="301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11" t="s">
        <v>1716</v>
      </c>
      <c r="F438" s="3011"/>
      <c r="G438" s="3011"/>
      <c r="H438" s="3011"/>
      <c r="I438" s="3011"/>
      <c r="J438" s="3011"/>
      <c r="K438" s="3011"/>
      <c r="L438" s="3011"/>
      <c r="M438" s="3011"/>
      <c r="N438" s="3011"/>
      <c r="O438" s="3011"/>
      <c r="P438" s="3011"/>
      <c r="Q438" s="3011"/>
      <c r="R438" s="3011"/>
      <c r="S438" s="3011"/>
      <c r="T438" s="3011"/>
      <c r="U438" s="3011"/>
      <c r="V438" s="3011"/>
      <c r="W438" s="3011"/>
      <c r="X438" s="3011"/>
      <c r="Y438" s="3011"/>
      <c r="Z438" s="3011"/>
      <c r="AA438" s="3011"/>
      <c r="AB438" s="3011"/>
      <c r="AC438" s="3011"/>
      <c r="AD438" s="929"/>
      <c r="AE438" s="929"/>
      <c r="AF438" s="3121" t="s">
        <v>1699</v>
      </c>
      <c r="AG438" s="3121"/>
      <c r="AH438" s="3121"/>
      <c r="AI438" s="3121"/>
      <c r="AJ438" s="3121"/>
      <c r="AK438" s="3121"/>
      <c r="AL438" s="3121"/>
      <c r="AM438" s="1067"/>
      <c r="AN438" s="1002"/>
    </row>
    <row r="439" spans="1:42" s="945" customFormat="1" ht="12.75" customHeight="1">
      <c r="A439" s="1601"/>
      <c r="B439" s="1008"/>
      <c r="C439" s="1641"/>
      <c r="D439" s="1108"/>
      <c r="E439" s="3011"/>
      <c r="F439" s="3011"/>
      <c r="G439" s="3011"/>
      <c r="H439" s="3011"/>
      <c r="I439" s="3011"/>
      <c r="J439" s="3011"/>
      <c r="K439" s="3011"/>
      <c r="L439" s="3011"/>
      <c r="M439" s="3011"/>
      <c r="N439" s="3011"/>
      <c r="O439" s="3011"/>
      <c r="P439" s="3011"/>
      <c r="Q439" s="3011"/>
      <c r="R439" s="3011"/>
      <c r="S439" s="3011"/>
      <c r="T439" s="3011"/>
      <c r="U439" s="3011"/>
      <c r="V439" s="3011"/>
      <c r="W439" s="3011"/>
      <c r="X439" s="3011"/>
      <c r="Y439" s="3011"/>
      <c r="Z439" s="3011"/>
      <c r="AA439" s="3011"/>
      <c r="AB439" s="3011"/>
      <c r="AC439" s="301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1"/>
      <c r="F440" s="3011"/>
      <c r="G440" s="3011"/>
      <c r="H440" s="3011"/>
      <c r="I440" s="3011"/>
      <c r="J440" s="3011"/>
      <c r="K440" s="3011"/>
      <c r="L440" s="3011"/>
      <c r="M440" s="3011"/>
      <c r="N440" s="3011"/>
      <c r="O440" s="3011"/>
      <c r="P440" s="3011"/>
      <c r="Q440" s="3011"/>
      <c r="R440" s="3011"/>
      <c r="S440" s="3011"/>
      <c r="T440" s="3011"/>
      <c r="U440" s="3011"/>
      <c r="V440" s="3011"/>
      <c r="W440" s="3011"/>
      <c r="X440" s="3011"/>
      <c r="Y440" s="3011"/>
      <c r="Z440" s="3011"/>
      <c r="AA440" s="3011"/>
      <c r="AB440" s="3011"/>
      <c r="AC440" s="301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11" t="s">
        <v>1717</v>
      </c>
      <c r="F442" s="3011"/>
      <c r="G442" s="3011"/>
      <c r="H442" s="3011"/>
      <c r="I442" s="3011"/>
      <c r="J442" s="3011"/>
      <c r="K442" s="3011"/>
      <c r="L442" s="3011"/>
      <c r="M442" s="3011"/>
      <c r="N442" s="3011"/>
      <c r="O442" s="3011"/>
      <c r="P442" s="3011"/>
      <c r="Q442" s="3011"/>
      <c r="R442" s="3011"/>
      <c r="S442" s="3011"/>
      <c r="T442" s="3011"/>
      <c r="U442" s="3011"/>
      <c r="V442" s="3011"/>
      <c r="W442" s="3011"/>
      <c r="X442" s="3011"/>
      <c r="Y442" s="3011"/>
      <c r="Z442" s="3011"/>
      <c r="AA442" s="3011"/>
      <c r="AB442" s="3011"/>
      <c r="AC442" s="3011"/>
      <c r="AD442" s="929"/>
      <c r="AE442" s="929"/>
      <c r="AF442" s="3121" t="s">
        <v>1718</v>
      </c>
      <c r="AG442" s="3121"/>
      <c r="AH442" s="3121"/>
      <c r="AI442" s="3121"/>
      <c r="AJ442" s="3121"/>
      <c r="AK442" s="3121"/>
      <c r="AL442" s="3121"/>
      <c r="AM442" s="1067"/>
      <c r="AN442" s="1002"/>
      <c r="AO442" s="1120" t="s">
        <v>726</v>
      </c>
      <c r="AP442" s="945">
        <v>3</v>
      </c>
    </row>
    <row r="443" spans="1:42" s="945" customFormat="1" ht="12.75" customHeight="1">
      <c r="A443" s="1601"/>
      <c r="B443" s="1008"/>
      <c r="C443" s="1641"/>
      <c r="D443" s="1108"/>
      <c r="E443" s="3011"/>
      <c r="F443" s="3011"/>
      <c r="G443" s="3011"/>
      <c r="H443" s="3011"/>
      <c r="I443" s="3011"/>
      <c r="J443" s="3011"/>
      <c r="K443" s="3011"/>
      <c r="L443" s="3011"/>
      <c r="M443" s="3011"/>
      <c r="N443" s="3011"/>
      <c r="O443" s="3011"/>
      <c r="P443" s="3011"/>
      <c r="Q443" s="3011"/>
      <c r="R443" s="3011"/>
      <c r="S443" s="3011"/>
      <c r="T443" s="3011"/>
      <c r="U443" s="3011"/>
      <c r="V443" s="3011"/>
      <c r="W443" s="3011"/>
      <c r="X443" s="3011"/>
      <c r="Y443" s="3011"/>
      <c r="Z443" s="3011"/>
      <c r="AA443" s="3011"/>
      <c r="AB443" s="3011"/>
      <c r="AC443" s="3011"/>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1"/>
      <c r="F444" s="3011"/>
      <c r="G444" s="3011"/>
      <c r="H444" s="3011"/>
      <c r="I444" s="3011"/>
      <c r="J444" s="3011"/>
      <c r="K444" s="3011"/>
      <c r="L444" s="3011"/>
      <c r="M444" s="3011"/>
      <c r="N444" s="3011"/>
      <c r="O444" s="3011"/>
      <c r="P444" s="3011"/>
      <c r="Q444" s="3011"/>
      <c r="R444" s="3011"/>
      <c r="S444" s="3011"/>
      <c r="T444" s="3011"/>
      <c r="U444" s="3011"/>
      <c r="V444" s="3011"/>
      <c r="W444" s="3011"/>
      <c r="X444" s="3011"/>
      <c r="Y444" s="3011"/>
      <c r="Z444" s="3011"/>
      <c r="AA444" s="3011"/>
      <c r="AB444" s="3011"/>
      <c r="AC444" s="301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08" t="s">
        <v>726</v>
      </c>
      <c r="I446" s="300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09">
        <f>VLOOKUP($H$446,$AO$394:$AP$401,2,FALSE)</f>
        <v>5</v>
      </c>
      <c r="AK448" s="301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1" t="s">
        <v>2203</v>
      </c>
      <c r="F452" s="3011"/>
      <c r="G452" s="3011"/>
      <c r="H452" s="3011"/>
      <c r="I452" s="3011"/>
      <c r="J452" s="3011"/>
      <c r="K452" s="3011"/>
      <c r="L452" s="3011"/>
      <c r="M452" s="3011"/>
      <c r="N452" s="3011"/>
      <c r="O452" s="3011"/>
      <c r="P452" s="3011"/>
      <c r="Q452" s="3011"/>
      <c r="R452" s="3011"/>
      <c r="S452" s="3011"/>
      <c r="T452" s="3011"/>
      <c r="U452" s="3011"/>
      <c r="V452" s="3011"/>
      <c r="W452" s="3011"/>
      <c r="X452" s="3011"/>
      <c r="Y452" s="3011"/>
      <c r="Z452" s="3011"/>
      <c r="AA452" s="3011"/>
      <c r="AB452" s="3011"/>
      <c r="AC452" s="929"/>
      <c r="AD452" s="929"/>
      <c r="AE452" s="932"/>
      <c r="AF452" s="3121" t="s">
        <v>1635</v>
      </c>
      <c r="AG452" s="3121"/>
      <c r="AH452" s="3121"/>
      <c r="AI452" s="3121"/>
      <c r="AJ452" s="3121"/>
      <c r="AK452" s="3121"/>
      <c r="AL452" s="3121"/>
      <c r="AM452" s="1028"/>
      <c r="AN452" s="1003"/>
    </row>
    <row r="453" spans="1:42" s="1004" customFormat="1" ht="12.75" customHeight="1">
      <c r="A453" s="1062"/>
      <c r="B453" s="1025"/>
      <c r="C453" s="1653"/>
      <c r="D453" s="1108"/>
      <c r="E453" s="3011"/>
      <c r="F453" s="3011"/>
      <c r="G453" s="3011"/>
      <c r="H453" s="3011"/>
      <c r="I453" s="3011"/>
      <c r="J453" s="3011"/>
      <c r="K453" s="3011"/>
      <c r="L453" s="3011"/>
      <c r="M453" s="3011"/>
      <c r="N453" s="3011"/>
      <c r="O453" s="3011"/>
      <c r="P453" s="3011"/>
      <c r="Q453" s="3011"/>
      <c r="R453" s="3011"/>
      <c r="S453" s="3011"/>
      <c r="T453" s="3011"/>
      <c r="U453" s="3011"/>
      <c r="V453" s="3011"/>
      <c r="W453" s="3011"/>
      <c r="X453" s="3011"/>
      <c r="Y453" s="3011"/>
      <c r="Z453" s="3011"/>
      <c r="AA453" s="3011"/>
      <c r="AB453" s="3011"/>
      <c r="AC453" s="929"/>
      <c r="AD453" s="929"/>
      <c r="AE453" s="1037"/>
      <c r="AF453" s="932"/>
      <c r="AG453" s="932"/>
      <c r="AH453" s="932"/>
      <c r="AI453" s="932"/>
      <c r="AJ453" s="932"/>
      <c r="AK453" s="932"/>
      <c r="AL453" s="932"/>
      <c r="AM453" s="1028"/>
      <c r="AN453" s="1003"/>
      <c r="AO453" s="3125"/>
      <c r="AP453" s="3125"/>
    </row>
    <row r="454" spans="1:42" s="1004" customFormat="1" ht="12.75" customHeight="1">
      <c r="A454" s="1062"/>
      <c r="B454" s="1025"/>
      <c r="C454" s="1653"/>
      <c r="D454" s="1108"/>
      <c r="E454" s="3011"/>
      <c r="F454" s="3011"/>
      <c r="G454" s="3011"/>
      <c r="H454" s="3011"/>
      <c r="I454" s="3011"/>
      <c r="J454" s="3011"/>
      <c r="K454" s="3011"/>
      <c r="L454" s="3011"/>
      <c r="M454" s="3011"/>
      <c r="N454" s="3011"/>
      <c r="O454" s="3011"/>
      <c r="P454" s="3011"/>
      <c r="Q454" s="3011"/>
      <c r="R454" s="3011"/>
      <c r="S454" s="3011"/>
      <c r="T454" s="3011"/>
      <c r="U454" s="3011"/>
      <c r="V454" s="3011"/>
      <c r="W454" s="3011"/>
      <c r="X454" s="3011"/>
      <c r="Y454" s="3011"/>
      <c r="Z454" s="3011"/>
      <c r="AA454" s="3011"/>
      <c r="AB454" s="301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1"/>
      <c r="F455" s="3011"/>
      <c r="G455" s="3011"/>
      <c r="H455" s="3011"/>
      <c r="I455" s="3011"/>
      <c r="J455" s="3011"/>
      <c r="K455" s="3011"/>
      <c r="L455" s="3011"/>
      <c r="M455" s="3011"/>
      <c r="N455" s="3011"/>
      <c r="O455" s="3011"/>
      <c r="P455" s="3011"/>
      <c r="Q455" s="3011"/>
      <c r="R455" s="3011"/>
      <c r="S455" s="3011"/>
      <c r="T455" s="3011"/>
      <c r="U455" s="3011"/>
      <c r="V455" s="3011"/>
      <c r="W455" s="3011"/>
      <c r="X455" s="3011"/>
      <c r="Y455" s="3011"/>
      <c r="Z455" s="3011"/>
      <c r="AA455" s="3011"/>
      <c r="AB455" s="301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1" t="s">
        <v>2205</v>
      </c>
      <c r="F457" s="3011"/>
      <c r="G457" s="3011"/>
      <c r="H457" s="3011"/>
      <c r="I457" s="3011"/>
      <c r="J457" s="3011"/>
      <c r="K457" s="3011"/>
      <c r="L457" s="3011"/>
      <c r="M457" s="3011"/>
      <c r="N457" s="3011"/>
      <c r="O457" s="3011"/>
      <c r="P457" s="3011"/>
      <c r="Q457" s="3011"/>
      <c r="R457" s="3011"/>
      <c r="S457" s="3011"/>
      <c r="T457" s="3011"/>
      <c r="U457" s="3011"/>
      <c r="V457" s="3011"/>
      <c r="W457" s="3011"/>
      <c r="X457" s="3011"/>
      <c r="Y457" s="3011"/>
      <c r="Z457" s="3011"/>
      <c r="AA457" s="3011"/>
      <c r="AB457" s="3011"/>
      <c r="AC457" s="929"/>
      <c r="AD457" s="929"/>
      <c r="AE457" s="929"/>
      <c r="AF457" s="3121" t="s">
        <v>1699</v>
      </c>
      <c r="AG457" s="3121"/>
      <c r="AH457" s="3121"/>
      <c r="AI457" s="3121"/>
      <c r="AJ457" s="3121"/>
      <c r="AK457" s="3121"/>
      <c r="AL457" s="3121"/>
      <c r="AM457" s="1028"/>
      <c r="AN457" s="1002"/>
      <c r="AO457" s="1120" t="s">
        <v>543</v>
      </c>
      <c r="AP457" s="945">
        <v>1</v>
      </c>
    </row>
    <row r="458" spans="1:42" s="945" customFormat="1" ht="12" customHeight="1">
      <c r="A458" s="1028"/>
      <c r="B458" s="929"/>
      <c r="C458" s="1661"/>
      <c r="D458" s="929"/>
      <c r="E458" s="3011"/>
      <c r="F458" s="3011"/>
      <c r="G458" s="3011"/>
      <c r="H458" s="3011"/>
      <c r="I458" s="3011"/>
      <c r="J458" s="3011"/>
      <c r="K458" s="3011"/>
      <c r="L458" s="3011"/>
      <c r="M458" s="3011"/>
      <c r="N458" s="3011"/>
      <c r="O458" s="3011"/>
      <c r="P458" s="3011"/>
      <c r="Q458" s="3011"/>
      <c r="R458" s="3011"/>
      <c r="S458" s="3011"/>
      <c r="T458" s="3011"/>
      <c r="U458" s="3011"/>
      <c r="V458" s="3011"/>
      <c r="W458" s="3011"/>
      <c r="X458" s="3011"/>
      <c r="Y458" s="3011"/>
      <c r="Z458" s="3011"/>
      <c r="AA458" s="3011"/>
      <c r="AB458" s="301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1"/>
      <c r="F459" s="3011"/>
      <c r="G459" s="3011"/>
      <c r="H459" s="3011"/>
      <c r="I459" s="3011"/>
      <c r="J459" s="3011"/>
      <c r="K459" s="3011"/>
      <c r="L459" s="3011"/>
      <c r="M459" s="3011"/>
      <c r="N459" s="3011"/>
      <c r="O459" s="3011"/>
      <c r="P459" s="3011"/>
      <c r="Q459" s="3011"/>
      <c r="R459" s="3011"/>
      <c r="S459" s="3011"/>
      <c r="T459" s="3011"/>
      <c r="U459" s="3011"/>
      <c r="V459" s="3011"/>
      <c r="W459" s="3011"/>
      <c r="X459" s="3011"/>
      <c r="Y459" s="3011"/>
      <c r="Z459" s="3011"/>
      <c r="AA459" s="3011"/>
      <c r="AB459" s="301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1"/>
      <c r="F460" s="3011"/>
      <c r="G460" s="3011"/>
      <c r="H460" s="3011"/>
      <c r="I460" s="3011"/>
      <c r="J460" s="3011"/>
      <c r="K460" s="3011"/>
      <c r="L460" s="3011"/>
      <c r="M460" s="3011"/>
      <c r="N460" s="3011"/>
      <c r="O460" s="3011"/>
      <c r="P460" s="3011"/>
      <c r="Q460" s="3011"/>
      <c r="R460" s="3011"/>
      <c r="S460" s="3011"/>
      <c r="T460" s="3011"/>
      <c r="U460" s="3011"/>
      <c r="V460" s="3011"/>
      <c r="W460" s="3011"/>
      <c r="X460" s="3011"/>
      <c r="Y460" s="3011"/>
      <c r="Z460" s="3011"/>
      <c r="AA460" s="3011"/>
      <c r="AB460" s="301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1" t="s">
        <v>2204</v>
      </c>
      <c r="F462" s="3011"/>
      <c r="G462" s="3011"/>
      <c r="H462" s="3011"/>
      <c r="I462" s="3011"/>
      <c r="J462" s="3011"/>
      <c r="K462" s="3011"/>
      <c r="L462" s="3011"/>
      <c r="M462" s="3011"/>
      <c r="N462" s="3011"/>
      <c r="O462" s="3011"/>
      <c r="P462" s="3011"/>
      <c r="Q462" s="3011"/>
      <c r="R462" s="3011"/>
      <c r="S462" s="3011"/>
      <c r="T462" s="3011"/>
      <c r="U462" s="3011"/>
      <c r="V462" s="3011"/>
      <c r="W462" s="3011"/>
      <c r="X462" s="3011"/>
      <c r="Y462" s="3011"/>
      <c r="Z462" s="3011"/>
      <c r="AA462" s="3011"/>
      <c r="AB462" s="301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1"/>
      <c r="F463" s="3011"/>
      <c r="G463" s="3011"/>
      <c r="H463" s="3011"/>
      <c r="I463" s="3011"/>
      <c r="J463" s="3011"/>
      <c r="K463" s="3011"/>
      <c r="L463" s="3011"/>
      <c r="M463" s="3011"/>
      <c r="N463" s="3011"/>
      <c r="O463" s="3011"/>
      <c r="P463" s="3011"/>
      <c r="Q463" s="3011"/>
      <c r="R463" s="3011"/>
      <c r="S463" s="3011"/>
      <c r="T463" s="3011"/>
      <c r="U463" s="3011"/>
      <c r="V463" s="3011"/>
      <c r="W463" s="3011"/>
      <c r="X463" s="3011"/>
      <c r="Y463" s="3011"/>
      <c r="Z463" s="3011"/>
      <c r="AA463" s="3011"/>
      <c r="AB463" s="301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1"/>
      <c r="F464" s="3011"/>
      <c r="G464" s="3011"/>
      <c r="H464" s="3011"/>
      <c r="I464" s="3011"/>
      <c r="J464" s="3011"/>
      <c r="K464" s="3011"/>
      <c r="L464" s="3011"/>
      <c r="M464" s="3011"/>
      <c r="N464" s="3011"/>
      <c r="O464" s="3011"/>
      <c r="P464" s="3011"/>
      <c r="Q464" s="3011"/>
      <c r="R464" s="3011"/>
      <c r="S464" s="3011"/>
      <c r="T464" s="3011"/>
      <c r="U464" s="3011"/>
      <c r="V464" s="3011"/>
      <c r="W464" s="3011"/>
      <c r="X464" s="3011"/>
      <c r="Y464" s="3011"/>
      <c r="Z464" s="3011"/>
      <c r="AA464" s="3011"/>
      <c r="AB464" s="301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08" t="s">
        <v>543</v>
      </c>
      <c r="I466" s="300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09">
        <f>VLOOKUP($H$466,$AO$413:$AP$415,2,FALSE)</f>
        <v>2</v>
      </c>
      <c r="AK468" s="3010"/>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23" t="s">
        <v>2209</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121" t="s">
        <v>1635</v>
      </c>
      <c r="AG472" s="3121"/>
      <c r="AH472" s="3121"/>
      <c r="AI472" s="3121"/>
      <c r="AJ472" s="3121"/>
      <c r="AK472" s="3121"/>
      <c r="AL472" s="3121"/>
      <c r="AM472" s="1028"/>
      <c r="AN472" s="1135"/>
      <c r="AP472" s="1137" t="s">
        <v>1727</v>
      </c>
    </row>
    <row r="473" spans="1:43" s="1136" customFormat="1" ht="11.85"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1728</v>
      </c>
    </row>
    <row r="474" spans="1:43" s="1136" customFormat="1" ht="14.1"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1729</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4.1" customHeight="1">
      <c r="A476" s="1062"/>
      <c r="B476" s="1008"/>
      <c r="C476" s="1641"/>
      <c r="D476" s="1108" t="s">
        <v>543</v>
      </c>
      <c r="E476" s="3124" t="s">
        <v>1730</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121" t="s">
        <v>1699</v>
      </c>
      <c r="AG476" s="3121"/>
      <c r="AH476" s="3121"/>
      <c r="AI476" s="3121"/>
      <c r="AJ476" s="3121"/>
      <c r="AK476" s="3121"/>
      <c r="AL476" s="3121"/>
      <c r="AM476" s="1028"/>
      <c r="AN476" s="1138"/>
    </row>
    <row r="477" spans="1:43" s="1136" customFormat="1" ht="12.75"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1691</v>
      </c>
      <c r="E480" s="1647"/>
      <c r="F480" s="1647"/>
      <c r="G480" s="1647"/>
      <c r="H480" s="3008" t="s">
        <v>627</v>
      </c>
      <c r="I480" s="300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09">
        <f>VLOOKUP($H$480,$AO$413:$AP$415,2,FALSE)</f>
        <v>0</v>
      </c>
      <c r="AK482" s="3010"/>
      <c r="AL482" s="1007"/>
      <c r="AM482" s="1004"/>
      <c r="AN482" s="1140"/>
      <c r="AP482" s="3009"/>
      <c r="AQ482" s="301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1" t="s">
        <v>2210</v>
      </c>
      <c r="F486" s="3011"/>
      <c r="G486" s="3011"/>
      <c r="H486" s="3011"/>
      <c r="I486" s="3011"/>
      <c r="J486" s="3011"/>
      <c r="K486" s="3011"/>
      <c r="L486" s="3011"/>
      <c r="M486" s="3011"/>
      <c r="N486" s="3011"/>
      <c r="O486" s="3011"/>
      <c r="P486" s="3011"/>
      <c r="Q486" s="3011"/>
      <c r="R486" s="3011"/>
      <c r="S486" s="3011"/>
      <c r="T486" s="3011"/>
      <c r="U486" s="3011"/>
      <c r="V486" s="3011"/>
      <c r="W486" s="3011"/>
      <c r="X486" s="3011"/>
      <c r="Y486" s="3011"/>
      <c r="Z486" s="3011"/>
      <c r="AA486" s="3011"/>
      <c r="AB486" s="3011"/>
      <c r="AC486" s="929"/>
      <c r="AD486" s="929"/>
      <c r="AE486" s="929"/>
      <c r="AF486" s="3121" t="s">
        <v>1635</v>
      </c>
      <c r="AG486" s="3121"/>
      <c r="AH486" s="3121"/>
      <c r="AI486" s="3121"/>
      <c r="AJ486" s="3121"/>
      <c r="AK486" s="3121"/>
      <c r="AL486" s="3121"/>
      <c r="AM486" s="1028"/>
      <c r="AN486" s="1135"/>
      <c r="AT486" s="51"/>
      <c r="AU486" s="51"/>
      <c r="AV486" s="51"/>
      <c r="AW486" s="51"/>
      <c r="AX486" s="51"/>
      <c r="AY486" s="51"/>
      <c r="AZ486" s="51"/>
    </row>
    <row r="487" spans="1:81" s="1136" customFormat="1">
      <c r="A487" s="1062"/>
      <c r="B487" s="1025"/>
      <c r="C487" s="1643"/>
      <c r="D487" s="1108"/>
      <c r="E487" s="3011"/>
      <c r="F487" s="3011"/>
      <c r="G487" s="3011"/>
      <c r="H487" s="3011"/>
      <c r="I487" s="3011"/>
      <c r="J487" s="3011"/>
      <c r="K487" s="3011"/>
      <c r="L487" s="3011"/>
      <c r="M487" s="3011"/>
      <c r="N487" s="3011"/>
      <c r="O487" s="3011"/>
      <c r="P487" s="3011"/>
      <c r="Q487" s="3011"/>
      <c r="R487" s="3011"/>
      <c r="S487" s="3011"/>
      <c r="T487" s="3011"/>
      <c r="U487" s="3011"/>
      <c r="V487" s="3011"/>
      <c r="W487" s="3011"/>
      <c r="X487" s="3011"/>
      <c r="Y487" s="3011"/>
      <c r="Z487" s="3011"/>
      <c r="AA487" s="3011"/>
      <c r="AB487" s="301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1" t="s">
        <v>1734</v>
      </c>
      <c r="F489" s="3011"/>
      <c r="G489" s="3011"/>
      <c r="H489" s="3011"/>
      <c r="I489" s="3011"/>
      <c r="J489" s="3011"/>
      <c r="K489" s="3011"/>
      <c r="L489" s="3011"/>
      <c r="M489" s="3011"/>
      <c r="N489" s="3011"/>
      <c r="O489" s="3011"/>
      <c r="P489" s="3011"/>
      <c r="Q489" s="3011"/>
      <c r="R489" s="3011"/>
      <c r="S489" s="3011"/>
      <c r="T489" s="3011"/>
      <c r="U489" s="3011"/>
      <c r="V489" s="3011"/>
      <c r="W489" s="3011"/>
      <c r="X489" s="3011"/>
      <c r="Y489" s="3011"/>
      <c r="Z489" s="3011"/>
      <c r="AA489" s="3011"/>
      <c r="AB489" s="3011"/>
      <c r="AC489" s="929"/>
      <c r="AD489" s="929"/>
      <c r="AE489" s="929"/>
      <c r="AF489" s="3121" t="s">
        <v>1699</v>
      </c>
      <c r="AG489" s="3121"/>
      <c r="AH489" s="3121"/>
      <c r="AI489" s="3121"/>
      <c r="AJ489" s="3121"/>
      <c r="AK489" s="3121"/>
      <c r="AL489" s="3121"/>
      <c r="AM489" s="1028"/>
      <c r="AN489" s="1135"/>
      <c r="AT489" s="51"/>
      <c r="AU489" s="51"/>
      <c r="AV489" s="51"/>
      <c r="AW489" s="51"/>
      <c r="AX489" s="51"/>
      <c r="AY489" s="51"/>
      <c r="AZ489" s="51"/>
    </row>
    <row r="490" spans="1:81" s="1136" customFormat="1">
      <c r="A490" s="1062"/>
      <c r="B490" s="1025"/>
      <c r="C490" s="1643"/>
      <c r="D490" s="1025"/>
      <c r="E490" s="3011"/>
      <c r="F490" s="3011"/>
      <c r="G490" s="3011"/>
      <c r="H490" s="3011"/>
      <c r="I490" s="3011"/>
      <c r="J490" s="3011"/>
      <c r="K490" s="3011"/>
      <c r="L490" s="3011"/>
      <c r="M490" s="3011"/>
      <c r="N490" s="3011"/>
      <c r="O490" s="3011"/>
      <c r="P490" s="3011"/>
      <c r="Q490" s="3011"/>
      <c r="R490" s="3011"/>
      <c r="S490" s="3011"/>
      <c r="T490" s="3011"/>
      <c r="U490" s="3011"/>
      <c r="V490" s="3011"/>
      <c r="W490" s="3011"/>
      <c r="X490" s="3011"/>
      <c r="Y490" s="3011"/>
      <c r="Z490" s="3011"/>
      <c r="AA490" s="3011"/>
      <c r="AB490" s="301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08" t="s">
        <v>627</v>
      </c>
      <c r="I492" s="300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09">
        <f>VLOOKUP($H$492,$AO$427:$AP$429,2,FALSE)</f>
        <v>0</v>
      </c>
      <c r="AK494" s="301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1" t="s">
        <v>1737</v>
      </c>
      <c r="F498" s="3011"/>
      <c r="G498" s="3011"/>
      <c r="H498" s="3011"/>
      <c r="I498" s="3011"/>
      <c r="J498" s="3011"/>
      <c r="K498" s="3011"/>
      <c r="L498" s="3011"/>
      <c r="M498" s="3011"/>
      <c r="N498" s="3011"/>
      <c r="O498" s="3011"/>
      <c r="P498" s="3011"/>
      <c r="Q498" s="3011"/>
      <c r="R498" s="3011"/>
      <c r="S498" s="3011"/>
      <c r="T498" s="3011"/>
      <c r="U498" s="3011"/>
      <c r="V498" s="3011"/>
      <c r="W498" s="3011"/>
      <c r="X498" s="3011"/>
      <c r="Y498" s="3011"/>
      <c r="Z498" s="3011"/>
      <c r="AA498" s="3011"/>
      <c r="AB498" s="3011"/>
      <c r="AC498" s="929"/>
      <c r="AD498" s="929"/>
      <c r="AE498" s="929"/>
      <c r="AF498" s="3121" t="s">
        <v>1635</v>
      </c>
      <c r="AG498" s="3121"/>
      <c r="AH498" s="3121"/>
      <c r="AI498" s="3121"/>
      <c r="AJ498" s="3121"/>
      <c r="AK498" s="3121"/>
      <c r="AL498" s="3121"/>
      <c r="AM498" s="1028"/>
      <c r="AN498" s="1135"/>
      <c r="AT498" s="51"/>
      <c r="AU498" s="51"/>
      <c r="AV498" s="51"/>
      <c r="AW498" s="51"/>
      <c r="AX498" s="51"/>
      <c r="AY498" s="51"/>
      <c r="AZ498" s="51"/>
    </row>
    <row r="499" spans="1:81" s="1136" customFormat="1">
      <c r="A499" s="1062"/>
      <c r="B499" s="929"/>
      <c r="C499" s="1641"/>
      <c r="D499" s="1108"/>
      <c r="E499" s="3011"/>
      <c r="F499" s="3011"/>
      <c r="G499" s="3011"/>
      <c r="H499" s="3011"/>
      <c r="I499" s="3011"/>
      <c r="J499" s="3011"/>
      <c r="K499" s="3011"/>
      <c r="L499" s="3011"/>
      <c r="M499" s="3011"/>
      <c r="N499" s="3011"/>
      <c r="O499" s="3011"/>
      <c r="P499" s="3011"/>
      <c r="Q499" s="3011"/>
      <c r="R499" s="3011"/>
      <c r="S499" s="3011"/>
      <c r="T499" s="3011"/>
      <c r="U499" s="3011"/>
      <c r="V499" s="3011"/>
      <c r="W499" s="3011"/>
      <c r="X499" s="3011"/>
      <c r="Y499" s="3011"/>
      <c r="Z499" s="3011"/>
      <c r="AA499" s="3011"/>
      <c r="AB499" s="301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1"/>
      <c r="F500" s="3011"/>
      <c r="G500" s="3011"/>
      <c r="H500" s="3011"/>
      <c r="I500" s="3011"/>
      <c r="J500" s="3011"/>
      <c r="K500" s="3011"/>
      <c r="L500" s="3011"/>
      <c r="M500" s="3011"/>
      <c r="N500" s="3011"/>
      <c r="O500" s="3011"/>
      <c r="P500" s="3011"/>
      <c r="Q500" s="3011"/>
      <c r="R500" s="3011"/>
      <c r="S500" s="3011"/>
      <c r="T500" s="3011"/>
      <c r="U500" s="3011"/>
      <c r="V500" s="3011"/>
      <c r="W500" s="3011"/>
      <c r="X500" s="3011"/>
      <c r="Y500" s="3011"/>
      <c r="Z500" s="3011"/>
      <c r="AA500" s="3011"/>
      <c r="AB500" s="301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1"/>
      <c r="F501" s="3011"/>
      <c r="G501" s="3011"/>
      <c r="H501" s="3011"/>
      <c r="I501" s="3011"/>
      <c r="J501" s="3011"/>
      <c r="K501" s="3011"/>
      <c r="L501" s="3011"/>
      <c r="M501" s="3011"/>
      <c r="N501" s="3011"/>
      <c r="O501" s="3011"/>
      <c r="P501" s="3011"/>
      <c r="Q501" s="3011"/>
      <c r="R501" s="3011"/>
      <c r="S501" s="3011"/>
      <c r="T501" s="3011"/>
      <c r="U501" s="3011"/>
      <c r="V501" s="3011"/>
      <c r="W501" s="3011"/>
      <c r="X501" s="3011"/>
      <c r="Y501" s="3011"/>
      <c r="Z501" s="3011"/>
      <c r="AA501" s="3011"/>
      <c r="AB501" s="301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1" t="s">
        <v>1738</v>
      </c>
      <c r="F503" s="3011"/>
      <c r="G503" s="3011"/>
      <c r="H503" s="3011"/>
      <c r="I503" s="3011"/>
      <c r="J503" s="3011"/>
      <c r="K503" s="3011"/>
      <c r="L503" s="3011"/>
      <c r="M503" s="3011"/>
      <c r="N503" s="3011"/>
      <c r="O503" s="3011"/>
      <c r="P503" s="3011"/>
      <c r="Q503" s="3011"/>
      <c r="R503" s="3011"/>
      <c r="S503" s="3011"/>
      <c r="T503" s="3011"/>
      <c r="U503" s="3011"/>
      <c r="V503" s="3011"/>
      <c r="W503" s="3011"/>
      <c r="X503" s="3011"/>
      <c r="Y503" s="3011"/>
      <c r="Z503" s="3011"/>
      <c r="AA503" s="3011"/>
      <c r="AB503" s="971"/>
      <c r="AC503" s="929"/>
      <c r="AD503" s="929"/>
      <c r="AE503" s="929"/>
      <c r="AF503" s="3121" t="s">
        <v>1699</v>
      </c>
      <c r="AG503" s="3121"/>
      <c r="AH503" s="3121"/>
      <c r="AI503" s="3121"/>
      <c r="AJ503" s="3121"/>
      <c r="AK503" s="3121"/>
      <c r="AL503" s="3121"/>
      <c r="AM503" s="1028"/>
      <c r="AN503" s="1135"/>
      <c r="AO503" s="126"/>
      <c r="AP503" s="51"/>
    </row>
    <row r="504" spans="1:81" s="1136" customFormat="1">
      <c r="A504" s="1062"/>
      <c r="B504" s="1008"/>
      <c r="C504" s="1641"/>
      <c r="D504" s="1108"/>
      <c r="E504" s="3011"/>
      <c r="F504" s="3011"/>
      <c r="G504" s="3011"/>
      <c r="H504" s="3011"/>
      <c r="I504" s="3011"/>
      <c r="J504" s="3011"/>
      <c r="K504" s="3011"/>
      <c r="L504" s="3011"/>
      <c r="M504" s="3011"/>
      <c r="N504" s="3011"/>
      <c r="O504" s="3011"/>
      <c r="P504" s="3011"/>
      <c r="Q504" s="3011"/>
      <c r="R504" s="3011"/>
      <c r="S504" s="3011"/>
      <c r="T504" s="3011"/>
      <c r="U504" s="3011"/>
      <c r="V504" s="3011"/>
      <c r="W504" s="3011"/>
      <c r="X504" s="3011"/>
      <c r="Y504" s="3011"/>
      <c r="Z504" s="3011"/>
      <c r="AA504" s="301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1"/>
      <c r="F505" s="3011"/>
      <c r="G505" s="3011"/>
      <c r="H505" s="3011"/>
      <c r="I505" s="3011"/>
      <c r="J505" s="3011"/>
      <c r="K505" s="3011"/>
      <c r="L505" s="3011"/>
      <c r="M505" s="3011"/>
      <c r="N505" s="3011"/>
      <c r="O505" s="3011"/>
      <c r="P505" s="3011"/>
      <c r="Q505" s="3011"/>
      <c r="R505" s="3011"/>
      <c r="S505" s="3011"/>
      <c r="T505" s="3011"/>
      <c r="U505" s="3011"/>
      <c r="V505" s="3011"/>
      <c r="W505" s="3011"/>
      <c r="X505" s="3011"/>
      <c r="Y505" s="3011"/>
      <c r="Z505" s="3011"/>
      <c r="AA505" s="301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1"/>
      <c r="F506" s="3011"/>
      <c r="G506" s="3011"/>
      <c r="H506" s="3011"/>
      <c r="I506" s="3011"/>
      <c r="J506" s="3011"/>
      <c r="K506" s="3011"/>
      <c r="L506" s="3011"/>
      <c r="M506" s="3011"/>
      <c r="N506" s="3011"/>
      <c r="O506" s="3011"/>
      <c r="P506" s="3011"/>
      <c r="Q506" s="3011"/>
      <c r="R506" s="3011"/>
      <c r="S506" s="3011"/>
      <c r="T506" s="3011"/>
      <c r="U506" s="3011"/>
      <c r="V506" s="3011"/>
      <c r="W506" s="3011"/>
      <c r="X506" s="3011"/>
      <c r="Y506" s="3011"/>
      <c r="Z506" s="3011"/>
      <c r="AA506" s="301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08" t="s">
        <v>627</v>
      </c>
      <c r="I508" s="300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09">
        <f>VLOOKUP($H$508,$AO$441:$AP$443,2,FALSE)</f>
        <v>0</v>
      </c>
      <c r="AK510" s="301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1" t="s">
        <v>1740</v>
      </c>
      <c r="F514" s="3011"/>
      <c r="G514" s="3011"/>
      <c r="H514" s="3011"/>
      <c r="I514" s="3011"/>
      <c r="J514" s="3011"/>
      <c r="K514" s="3011"/>
      <c r="L514" s="3011"/>
      <c r="M514" s="3011"/>
      <c r="N514" s="3011"/>
      <c r="O514" s="3011"/>
      <c r="P514" s="3011"/>
      <c r="Q514" s="3011"/>
      <c r="R514" s="3011"/>
      <c r="S514" s="3011"/>
      <c r="T514" s="3011"/>
      <c r="U514" s="3011"/>
      <c r="V514" s="3011"/>
      <c r="W514" s="3011"/>
      <c r="X514" s="3011"/>
      <c r="Y514" s="3011"/>
      <c r="Z514" s="3011"/>
      <c r="AA514" s="3011"/>
      <c r="AB514" s="3011"/>
      <c r="AC514" s="929"/>
      <c r="AD514" s="929"/>
      <c r="AE514" s="929"/>
      <c r="AF514" s="3121" t="s">
        <v>1699</v>
      </c>
      <c r="AG514" s="3121"/>
      <c r="AH514" s="3121"/>
      <c r="AI514" s="3121"/>
      <c r="AJ514" s="3121"/>
      <c r="AK514" s="3121"/>
      <c r="AL514" s="312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1"/>
      <c r="F515" s="3011"/>
      <c r="G515" s="3011"/>
      <c r="H515" s="3011"/>
      <c r="I515" s="3011"/>
      <c r="J515" s="3011"/>
      <c r="K515" s="3011"/>
      <c r="L515" s="3011"/>
      <c r="M515" s="3011"/>
      <c r="N515" s="3011"/>
      <c r="O515" s="3011"/>
      <c r="P515" s="3011"/>
      <c r="Q515" s="3011"/>
      <c r="R515" s="3011"/>
      <c r="S515" s="3011"/>
      <c r="T515" s="3011"/>
      <c r="U515" s="3011"/>
      <c r="V515" s="3011"/>
      <c r="W515" s="3011"/>
      <c r="X515" s="3011"/>
      <c r="Y515" s="3011"/>
      <c r="Z515" s="3011"/>
      <c r="AA515" s="3011"/>
      <c r="AB515" s="301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1" t="s">
        <v>1741</v>
      </c>
      <c r="F517" s="3011"/>
      <c r="G517" s="3011"/>
      <c r="H517" s="3011"/>
      <c r="I517" s="3011"/>
      <c r="J517" s="3011"/>
      <c r="K517" s="3011"/>
      <c r="L517" s="3011"/>
      <c r="M517" s="3011"/>
      <c r="N517" s="3011"/>
      <c r="O517" s="3011"/>
      <c r="P517" s="3011"/>
      <c r="Q517" s="3011"/>
      <c r="R517" s="3011"/>
      <c r="S517" s="3011"/>
      <c r="T517" s="3011"/>
      <c r="U517" s="3011"/>
      <c r="V517" s="3011"/>
      <c r="W517" s="3011"/>
      <c r="X517" s="3011"/>
      <c r="Y517" s="3011"/>
      <c r="Z517" s="3011"/>
      <c r="AA517" s="3011"/>
      <c r="AB517" s="3011"/>
      <c r="AC517" s="929"/>
      <c r="AD517" s="929"/>
      <c r="AE517" s="929"/>
      <c r="AF517" s="3121" t="s">
        <v>1718</v>
      </c>
      <c r="AG517" s="3121"/>
      <c r="AH517" s="3121"/>
      <c r="AI517" s="3121"/>
      <c r="AJ517" s="3121"/>
      <c r="AK517" s="3121"/>
      <c r="AL517" s="312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1"/>
      <c r="F518" s="3011"/>
      <c r="G518" s="3011"/>
      <c r="H518" s="3011"/>
      <c r="I518" s="3011"/>
      <c r="J518" s="3011"/>
      <c r="K518" s="3011"/>
      <c r="L518" s="3011"/>
      <c r="M518" s="3011"/>
      <c r="N518" s="3011"/>
      <c r="O518" s="3011"/>
      <c r="P518" s="3011"/>
      <c r="Q518" s="3011"/>
      <c r="R518" s="3011"/>
      <c r="S518" s="3011"/>
      <c r="T518" s="3011"/>
      <c r="U518" s="3011"/>
      <c r="V518" s="3011"/>
      <c r="W518" s="3011"/>
      <c r="X518" s="3011"/>
      <c r="Y518" s="3011"/>
      <c r="Z518" s="3011"/>
      <c r="AA518" s="3011"/>
      <c r="AB518" s="301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08" t="s">
        <v>726</v>
      </c>
      <c r="I520" s="300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09">
        <f>VLOOKUP($H$520,$AO$455:$AP$457,2,FALSE)</f>
        <v>2</v>
      </c>
      <c r="AK522" s="301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95" customHeight="1">
      <c r="A526" s="1062"/>
      <c r="B526" s="1037"/>
      <c r="C526" s="1653"/>
      <c r="D526" s="1108" t="s">
        <v>726</v>
      </c>
      <c r="E526" s="3011" t="s">
        <v>2202</v>
      </c>
      <c r="F526" s="3011"/>
      <c r="G526" s="3011"/>
      <c r="H526" s="3011"/>
      <c r="I526" s="3011"/>
      <c r="J526" s="3011"/>
      <c r="K526" s="3011"/>
      <c r="L526" s="3011"/>
      <c r="M526" s="3011"/>
      <c r="N526" s="3011"/>
      <c r="O526" s="3011"/>
      <c r="P526" s="3011"/>
      <c r="Q526" s="3011"/>
      <c r="R526" s="3011"/>
      <c r="S526" s="3011"/>
      <c r="T526" s="3011"/>
      <c r="U526" s="3011"/>
      <c r="V526" s="3011"/>
      <c r="W526" s="3011"/>
      <c r="X526" s="3011"/>
      <c r="Y526" s="3011"/>
      <c r="Z526" s="3011"/>
      <c r="AA526" s="3011"/>
      <c r="AB526" s="3011"/>
      <c r="AC526" s="3011"/>
      <c r="AD526" s="3011"/>
      <c r="AE526" s="929"/>
      <c r="AF526" s="3121" t="s">
        <v>1699</v>
      </c>
      <c r="AG526" s="3121"/>
      <c r="AH526" s="3121"/>
      <c r="AI526" s="3121"/>
      <c r="AJ526" s="3121"/>
      <c r="AK526" s="3121"/>
      <c r="AL526" s="3121"/>
      <c r="AM526" s="1033"/>
      <c r="AN526" s="1135"/>
    </row>
    <row r="527" spans="1:74" s="1136" customFormat="1" ht="13.95" customHeight="1">
      <c r="A527" s="1062"/>
      <c r="B527" s="1037"/>
      <c r="C527" s="1653"/>
      <c r="D527" s="1108"/>
      <c r="E527" s="3011"/>
      <c r="F527" s="3011"/>
      <c r="G527" s="3011"/>
      <c r="H527" s="3011"/>
      <c r="I527" s="3011"/>
      <c r="J527" s="3011"/>
      <c r="K527" s="3011"/>
      <c r="L527" s="3011"/>
      <c r="M527" s="3011"/>
      <c r="N527" s="3011"/>
      <c r="O527" s="3011"/>
      <c r="P527" s="3011"/>
      <c r="Q527" s="3011"/>
      <c r="R527" s="3011"/>
      <c r="S527" s="3011"/>
      <c r="T527" s="3011"/>
      <c r="U527" s="3011"/>
      <c r="V527" s="3011"/>
      <c r="W527" s="3011"/>
      <c r="X527" s="3011"/>
      <c r="Y527" s="3011"/>
      <c r="Z527" s="3011"/>
      <c r="AA527" s="3011"/>
      <c r="AB527" s="3011"/>
      <c r="AC527" s="3011"/>
      <c r="AD527" s="3011"/>
      <c r="AE527" s="929"/>
      <c r="AF527" s="1598"/>
      <c r="AG527" s="1598"/>
      <c r="AH527" s="1598"/>
      <c r="AI527" s="1598"/>
      <c r="AJ527" s="1598"/>
      <c r="AK527" s="1598"/>
      <c r="AL527" s="1598"/>
      <c r="AM527" s="1033"/>
      <c r="AN527" s="1135"/>
    </row>
    <row r="528" spans="1:74" s="1136" customFormat="1">
      <c r="A528" s="1062"/>
      <c r="B528" s="1037"/>
      <c r="C528" s="1653"/>
      <c r="D528" s="1108"/>
      <c r="E528" s="3011"/>
      <c r="F528" s="3011"/>
      <c r="G528" s="3011"/>
      <c r="H528" s="3011"/>
      <c r="I528" s="3011"/>
      <c r="J528" s="3011"/>
      <c r="K528" s="3011"/>
      <c r="L528" s="3011"/>
      <c r="M528" s="3011"/>
      <c r="N528" s="3011"/>
      <c r="O528" s="3011"/>
      <c r="P528" s="3011"/>
      <c r="Q528" s="3011"/>
      <c r="R528" s="3011"/>
      <c r="S528" s="3011"/>
      <c r="T528" s="3011"/>
      <c r="U528" s="3011"/>
      <c r="V528" s="3011"/>
      <c r="W528" s="3011"/>
      <c r="X528" s="3011"/>
      <c r="Y528" s="3011"/>
      <c r="Z528" s="3011"/>
      <c r="AA528" s="3011"/>
      <c r="AB528" s="3011"/>
      <c r="AC528" s="3011"/>
      <c r="AD528" s="301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1"/>
      <c r="F529" s="3011"/>
      <c r="G529" s="3011"/>
      <c r="H529" s="3011"/>
      <c r="I529" s="3011"/>
      <c r="J529" s="3011"/>
      <c r="K529" s="3011"/>
      <c r="L529" s="3011"/>
      <c r="M529" s="3011"/>
      <c r="N529" s="3011"/>
      <c r="O529" s="3011"/>
      <c r="P529" s="3011"/>
      <c r="Q529" s="3011"/>
      <c r="R529" s="3011"/>
      <c r="S529" s="3011"/>
      <c r="T529" s="3011"/>
      <c r="U529" s="3011"/>
      <c r="V529" s="3011"/>
      <c r="W529" s="3011"/>
      <c r="X529" s="3011"/>
      <c r="Y529" s="3011"/>
      <c r="Z529" s="3011"/>
      <c r="AA529" s="3011"/>
      <c r="AB529" s="3011"/>
      <c r="AC529" s="3011"/>
      <c r="AD529" s="301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2" t="s">
        <v>2211</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9"/>
      <c r="AF531" s="3121" t="s">
        <v>1635</v>
      </c>
      <c r="AG531" s="3121"/>
      <c r="AH531" s="3121"/>
      <c r="AI531" s="3121"/>
      <c r="AJ531" s="3121"/>
      <c r="AK531" s="3121"/>
      <c r="AL531" s="3121"/>
      <c r="AM531" s="1033"/>
      <c r="AN531" s="1002"/>
    </row>
    <row r="532" spans="1:81" s="945" customFormat="1" ht="12.75" customHeight="1">
      <c r="A532" s="1062"/>
      <c r="B532" s="1037"/>
      <c r="C532" s="1653"/>
      <c r="D532" s="1108"/>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08" t="s">
        <v>627</v>
      </c>
      <c r="I536" s="300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09">
        <f>VLOOKUP($H$536,$AP$477:$AQ$479,2,FALSE)</f>
        <v>0</v>
      </c>
      <c r="AK538" s="301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95" customHeight="1">
      <c r="A542" s="1062"/>
      <c r="B542" s="1037"/>
      <c r="C542" s="1653"/>
      <c r="D542" s="1108" t="s">
        <v>726</v>
      </c>
      <c r="E542" s="3011" t="s">
        <v>2201</v>
      </c>
      <c r="F542" s="3011"/>
      <c r="G542" s="3011"/>
      <c r="H542" s="3011"/>
      <c r="I542" s="3011"/>
      <c r="J542" s="3011"/>
      <c r="K542" s="3011"/>
      <c r="L542" s="3011"/>
      <c r="M542" s="3011"/>
      <c r="N542" s="3011"/>
      <c r="O542" s="3011"/>
      <c r="P542" s="3011"/>
      <c r="Q542" s="3011"/>
      <c r="R542" s="3011"/>
      <c r="S542" s="3011"/>
      <c r="T542" s="3011"/>
      <c r="U542" s="3011"/>
      <c r="V542" s="3011"/>
      <c r="W542" s="3011"/>
      <c r="X542" s="3011"/>
      <c r="Y542" s="3011"/>
      <c r="Z542" s="3011"/>
      <c r="AA542" s="3011"/>
      <c r="AB542" s="3011"/>
      <c r="AC542" s="3011"/>
      <c r="AD542" s="3011"/>
      <c r="AE542" s="929"/>
      <c r="AF542" s="3121" t="s">
        <v>1745</v>
      </c>
      <c r="AG542" s="3121"/>
      <c r="AH542" s="3121"/>
      <c r="AI542" s="3121"/>
      <c r="AJ542" s="3121"/>
      <c r="AK542" s="3121"/>
      <c r="AL542" s="3121"/>
      <c r="AM542" s="1033"/>
      <c r="AN542" s="1135"/>
      <c r="AO542" s="1120" t="s">
        <v>579</v>
      </c>
      <c r="AP542" s="945">
        <v>8</v>
      </c>
      <c r="AT542" s="1145"/>
      <c r="AU542" s="1145"/>
      <c r="AV542" s="1145"/>
      <c r="AW542" s="1145"/>
      <c r="AX542" s="1145"/>
      <c r="AY542" s="1145"/>
      <c r="AZ542" s="1145"/>
    </row>
    <row r="543" spans="1:81" s="1136" customFormat="1" ht="13.95" customHeight="1">
      <c r="A543" s="1062"/>
      <c r="B543" s="1037"/>
      <c r="C543" s="1653"/>
      <c r="D543" s="1108"/>
      <c r="E543" s="3011"/>
      <c r="F543" s="3011"/>
      <c r="G543" s="3011"/>
      <c r="H543" s="3011"/>
      <c r="I543" s="3011"/>
      <c r="J543" s="3011"/>
      <c r="K543" s="3011"/>
      <c r="L543" s="3011"/>
      <c r="M543" s="3011"/>
      <c r="N543" s="3011"/>
      <c r="O543" s="3011"/>
      <c r="P543" s="3011"/>
      <c r="Q543" s="3011"/>
      <c r="R543" s="3011"/>
      <c r="S543" s="3011"/>
      <c r="T543" s="3011"/>
      <c r="U543" s="3011"/>
      <c r="V543" s="3011"/>
      <c r="W543" s="3011"/>
      <c r="X543" s="3011"/>
      <c r="Y543" s="3011"/>
      <c r="Z543" s="3011"/>
      <c r="AA543" s="3011"/>
      <c r="AB543" s="3011"/>
      <c r="AC543" s="3011"/>
      <c r="AD543" s="301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1"/>
      <c r="F544" s="3011"/>
      <c r="G544" s="3011"/>
      <c r="H544" s="3011"/>
      <c r="I544" s="3011"/>
      <c r="J544" s="3011"/>
      <c r="K544" s="3011"/>
      <c r="L544" s="3011"/>
      <c r="M544" s="3011"/>
      <c r="N544" s="3011"/>
      <c r="O544" s="3011"/>
      <c r="P544" s="3011"/>
      <c r="Q544" s="3011"/>
      <c r="R544" s="3011"/>
      <c r="S544" s="3011"/>
      <c r="T544" s="3011"/>
      <c r="U544" s="3011"/>
      <c r="V544" s="3011"/>
      <c r="W544" s="3011"/>
      <c r="X544" s="3011"/>
      <c r="Y544" s="3011"/>
      <c r="Z544" s="3011"/>
      <c r="AA544" s="3011"/>
      <c r="AB544" s="3011"/>
      <c r="AC544" s="3011"/>
      <c r="AD544" s="301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1"/>
      <c r="F545" s="3011"/>
      <c r="G545" s="3011"/>
      <c r="H545" s="3011"/>
      <c r="I545" s="3011"/>
      <c r="J545" s="3011"/>
      <c r="K545" s="3011"/>
      <c r="L545" s="3011"/>
      <c r="M545" s="3011"/>
      <c r="N545" s="3011"/>
      <c r="O545" s="3011"/>
      <c r="P545" s="3011"/>
      <c r="Q545" s="3011"/>
      <c r="R545" s="3011"/>
      <c r="S545" s="3011"/>
      <c r="T545" s="3011"/>
      <c r="U545" s="3011"/>
      <c r="V545" s="3011"/>
      <c r="W545" s="3011"/>
      <c r="X545" s="3011"/>
      <c r="Y545" s="3011"/>
      <c r="Z545" s="3011"/>
      <c r="AA545" s="3011"/>
      <c r="AB545" s="3011"/>
      <c r="AC545" s="3011"/>
      <c r="AD545" s="301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08" t="s">
        <v>627</v>
      </c>
      <c r="I547" s="300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09">
        <f>VLOOKUP($H$547,$AO$541:$AP$542,2,FALSE)</f>
        <v>0</v>
      </c>
      <c r="AK549" s="301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09">
        <f>IF(($AJ$382+$AJ$401+$AJ$413+$AJ$448+$AJ$468+$AJ$482+$AJ$494+$AJ$510+$AJ$522+$AJ$538+AJ549)&gt;10,10,($AJ$382+$AJ$401+$AJ$413+$AJ$448+$AJ$468+$AJ$482+$AJ$494+$AJ$510+$AJ$522+$AJ$538+AJ549))</f>
        <v>10</v>
      </c>
      <c r="AL551" s="3031"/>
      <c r="AM551" s="301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09">
        <f>IF((AK320+AK551)&gt;20,20,(AK320+AK551))</f>
        <v>19</v>
      </c>
      <c r="AL553" s="3031"/>
      <c r="AM553" s="301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5" t="s">
        <v>1597</v>
      </c>
      <c r="AF556" s="3085"/>
      <c r="AG556" s="3085"/>
      <c r="AH556" s="3085"/>
      <c r="AI556" s="3085"/>
      <c r="AJ556" s="3085"/>
      <c r="AK556" s="308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998" t="s">
        <v>1750</v>
      </c>
      <c r="D558" s="2998"/>
      <c r="E558" s="2998"/>
      <c r="F558" s="2998"/>
      <c r="G558" s="2998"/>
      <c r="H558" s="2998"/>
      <c r="I558" s="2998"/>
      <c r="J558" s="2998"/>
      <c r="K558" s="2998"/>
      <c r="L558" s="2998"/>
      <c r="M558" s="2998"/>
      <c r="N558" s="2998"/>
      <c r="O558" s="2998"/>
      <c r="P558" s="2998"/>
      <c r="Q558" s="2998"/>
      <c r="R558" s="2998"/>
      <c r="S558" s="2998"/>
      <c r="T558" s="2998"/>
      <c r="U558" s="2998"/>
      <c r="V558" s="2998"/>
      <c r="W558" s="2998"/>
      <c r="X558" s="2998"/>
      <c r="Y558" s="2998"/>
      <c r="Z558" s="2998"/>
      <c r="AA558" s="2998"/>
      <c r="AB558" s="2998"/>
      <c r="AC558" s="2998"/>
      <c r="AD558" s="2998"/>
      <c r="AE558" s="2998"/>
      <c r="AF558" s="2998"/>
      <c r="AG558" s="2998"/>
      <c r="AH558" s="2998"/>
      <c r="AI558" s="2998"/>
      <c r="AJ558" s="2998"/>
      <c r="AK558" s="1029"/>
      <c r="AL558" s="1029"/>
      <c r="AM558" s="1029"/>
      <c r="AN558" s="1002"/>
    </row>
    <row r="559" spans="1:81" s="945" customFormat="1" ht="12.75" customHeight="1">
      <c r="A559" s="1029"/>
      <c r="B559" s="1030"/>
      <c r="C559" s="2998"/>
      <c r="D559" s="2998"/>
      <c r="E559" s="2998"/>
      <c r="F559" s="2998"/>
      <c r="G559" s="2998"/>
      <c r="H559" s="2998"/>
      <c r="I559" s="2998"/>
      <c r="J559" s="2998"/>
      <c r="K559" s="2998"/>
      <c r="L559" s="2998"/>
      <c r="M559" s="2998"/>
      <c r="N559" s="2998"/>
      <c r="O559" s="2998"/>
      <c r="P559" s="2998"/>
      <c r="Q559" s="2998"/>
      <c r="R559" s="2998"/>
      <c r="S559" s="2998"/>
      <c r="T559" s="2998"/>
      <c r="U559" s="2998"/>
      <c r="V559" s="2998"/>
      <c r="W559" s="2998"/>
      <c r="X559" s="2998"/>
      <c r="Y559" s="2998"/>
      <c r="Z559" s="2998"/>
      <c r="AA559" s="2998"/>
      <c r="AB559" s="2998"/>
      <c r="AC559" s="2998"/>
      <c r="AD559" s="2998"/>
      <c r="AE559" s="2998"/>
      <c r="AF559" s="2998"/>
      <c r="AG559" s="2998"/>
      <c r="AH559" s="2998"/>
      <c r="AI559" s="2998"/>
      <c r="AJ559" s="2998"/>
      <c r="AK559" s="1029"/>
      <c r="AL559" s="1029"/>
      <c r="AM559" s="1029"/>
      <c r="AN559" s="1002"/>
    </row>
    <row r="560" spans="1:81" s="945" customFormat="1" ht="12.75" customHeight="1">
      <c r="A560" s="1029"/>
      <c r="B560" s="1030"/>
      <c r="C560" s="2998"/>
      <c r="D560" s="2998"/>
      <c r="E560" s="2998"/>
      <c r="F560" s="2998"/>
      <c r="G560" s="2998"/>
      <c r="H560" s="2998"/>
      <c r="I560" s="2998"/>
      <c r="J560" s="2998"/>
      <c r="K560" s="2998"/>
      <c r="L560" s="2998"/>
      <c r="M560" s="2998"/>
      <c r="N560" s="2998"/>
      <c r="O560" s="2998"/>
      <c r="P560" s="2998"/>
      <c r="Q560" s="2998"/>
      <c r="R560" s="2998"/>
      <c r="S560" s="2998"/>
      <c r="T560" s="2998"/>
      <c r="U560" s="2998"/>
      <c r="V560" s="2998"/>
      <c r="W560" s="2998"/>
      <c r="X560" s="2998"/>
      <c r="Y560" s="2998"/>
      <c r="Z560" s="2998"/>
      <c r="AA560" s="2998"/>
      <c r="AB560" s="2998"/>
      <c r="AC560" s="2998"/>
      <c r="AD560" s="2998"/>
      <c r="AE560" s="2998"/>
      <c r="AF560" s="2998"/>
      <c r="AG560" s="2998"/>
      <c r="AH560" s="2998"/>
      <c r="AI560" s="2998"/>
      <c r="AJ560" s="2998"/>
      <c r="AK560" s="1029"/>
      <c r="AL560" s="1029"/>
      <c r="AM560" s="1029"/>
      <c r="AN560" s="1002"/>
      <c r="AQ560" s="1137"/>
      <c r="AR560" s="1004"/>
    </row>
    <row r="561" spans="1:46" s="945" customFormat="1" ht="12.75" customHeight="1">
      <c r="A561" s="1029"/>
      <c r="B561" s="1120"/>
      <c r="C561" s="2998"/>
      <c r="D561" s="2998"/>
      <c r="E561" s="2998"/>
      <c r="F561" s="2998"/>
      <c r="G561" s="2998"/>
      <c r="H561" s="2998"/>
      <c r="I561" s="2998"/>
      <c r="J561" s="2998"/>
      <c r="K561" s="2998"/>
      <c r="L561" s="2998"/>
      <c r="M561" s="2998"/>
      <c r="N561" s="2998"/>
      <c r="O561" s="2998"/>
      <c r="P561" s="2998"/>
      <c r="Q561" s="2998"/>
      <c r="R561" s="2998"/>
      <c r="S561" s="2998"/>
      <c r="T561" s="2998"/>
      <c r="U561" s="2998"/>
      <c r="V561" s="2998"/>
      <c r="W561" s="2998"/>
      <c r="X561" s="2998"/>
      <c r="Y561" s="2998"/>
      <c r="Z561" s="2998"/>
      <c r="AA561" s="2998"/>
      <c r="AB561" s="2998"/>
      <c r="AC561" s="2998"/>
      <c r="AD561" s="2998"/>
      <c r="AE561" s="2998"/>
      <c r="AF561" s="2998"/>
      <c r="AG561" s="2998"/>
      <c r="AH561" s="2998"/>
      <c r="AI561" s="2998"/>
      <c r="AJ561" s="2998"/>
      <c r="AK561" s="1029"/>
      <c r="AL561" s="1029"/>
      <c r="AM561" s="1029"/>
      <c r="AN561" s="1002"/>
      <c r="AQ561" s="1137"/>
      <c r="AR561" s="1004"/>
    </row>
    <row r="562" spans="1:46" s="945" customFormat="1" ht="12.6" customHeight="1">
      <c r="A562" s="1029"/>
      <c r="B562" s="1120"/>
      <c r="C562" s="2998"/>
      <c r="D562" s="2998"/>
      <c r="E562" s="2998"/>
      <c r="F562" s="2998"/>
      <c r="G562" s="2998"/>
      <c r="H562" s="2998"/>
      <c r="I562" s="2998"/>
      <c r="J562" s="2998"/>
      <c r="K562" s="2998"/>
      <c r="L562" s="2998"/>
      <c r="M562" s="2998"/>
      <c r="N562" s="2998"/>
      <c r="O562" s="2998"/>
      <c r="P562" s="2998"/>
      <c r="Q562" s="2998"/>
      <c r="R562" s="2998"/>
      <c r="S562" s="2998"/>
      <c r="T562" s="2998"/>
      <c r="U562" s="2998"/>
      <c r="V562" s="2998"/>
      <c r="W562" s="2998"/>
      <c r="X562" s="2998"/>
      <c r="Y562" s="2998"/>
      <c r="Z562" s="2998"/>
      <c r="AA562" s="2998"/>
      <c r="AB562" s="2998"/>
      <c r="AC562" s="2998"/>
      <c r="AD562" s="2998"/>
      <c r="AE562" s="2998"/>
      <c r="AF562" s="2998"/>
      <c r="AG562" s="2998"/>
      <c r="AH562" s="2998"/>
      <c r="AI562" s="2998"/>
      <c r="AJ562" s="2998"/>
      <c r="AK562" s="1029"/>
      <c r="AL562" s="1029"/>
      <c r="AM562" s="1029"/>
      <c r="AN562" s="1002"/>
      <c r="AQ562" s="1137"/>
      <c r="AR562" s="1137"/>
    </row>
    <row r="563" spans="1:46" s="945" customFormat="1" ht="25.2" customHeight="1">
      <c r="A563" s="1029"/>
      <c r="B563" s="1120"/>
      <c r="C563" s="2998" t="s">
        <v>1751</v>
      </c>
      <c r="D563" s="2998"/>
      <c r="E563" s="2998"/>
      <c r="F563" s="2998"/>
      <c r="G563" s="2998"/>
      <c r="H563" s="2998"/>
      <c r="I563" s="2998"/>
      <c r="J563" s="2998"/>
      <c r="K563" s="2998"/>
      <c r="L563" s="2998"/>
      <c r="M563" s="2998"/>
      <c r="N563" s="2998"/>
      <c r="O563" s="2998"/>
      <c r="P563" s="2998"/>
      <c r="Q563" s="2998"/>
      <c r="R563" s="2998"/>
      <c r="S563" s="2998"/>
      <c r="T563" s="2998"/>
      <c r="U563" s="2998"/>
      <c r="V563" s="2998"/>
      <c r="W563" s="2998"/>
      <c r="X563" s="2998"/>
      <c r="Y563" s="2998"/>
      <c r="Z563" s="2998"/>
      <c r="AA563" s="2998"/>
      <c r="AB563" s="2998"/>
      <c r="AC563" s="2998"/>
      <c r="AD563" s="2998"/>
      <c r="AE563" s="2998"/>
      <c r="AF563" s="2998"/>
      <c r="AG563" s="2998"/>
      <c r="AH563" s="2998"/>
      <c r="AI563" s="2998"/>
      <c r="AJ563" s="2998"/>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998" t="s">
        <v>2458</v>
      </c>
      <c r="D565" s="2998"/>
      <c r="E565" s="2998"/>
      <c r="F565" s="2998"/>
      <c r="G565" s="2998"/>
      <c r="H565" s="2998"/>
      <c r="I565" s="2998"/>
      <c r="J565" s="2998"/>
      <c r="K565" s="2998"/>
      <c r="L565" s="2998"/>
      <c r="M565" s="2998"/>
      <c r="N565" s="2998"/>
      <c r="O565" s="2998"/>
      <c r="P565" s="2998"/>
      <c r="Q565" s="2998"/>
      <c r="R565" s="2998"/>
      <c r="S565" s="2998"/>
      <c r="T565" s="2998"/>
      <c r="U565" s="2998"/>
      <c r="V565" s="2998"/>
      <c r="W565" s="2998"/>
      <c r="X565" s="2998"/>
      <c r="Y565" s="2998"/>
      <c r="Z565" s="2998"/>
      <c r="AA565" s="2998"/>
      <c r="AB565" s="2998"/>
      <c r="AC565" s="2998"/>
      <c r="AD565" s="2998"/>
      <c r="AE565" s="2998"/>
      <c r="AF565" s="2998"/>
      <c r="AG565" s="2998"/>
      <c r="AH565" s="2998"/>
      <c r="AI565" s="2998"/>
      <c r="AJ565" s="2998"/>
      <c r="AK565" s="1029"/>
      <c r="AL565" s="1029"/>
      <c r="AM565" s="1029"/>
      <c r="AN565" s="1002"/>
      <c r="AQ565" s="1137"/>
      <c r="AR565" s="1137"/>
    </row>
    <row r="566" spans="1:46" s="945" customFormat="1" ht="30" customHeight="1">
      <c r="A566" s="1029"/>
      <c r="B566" s="1120"/>
      <c r="C566" s="2998"/>
      <c r="D566" s="2998"/>
      <c r="E566" s="2998"/>
      <c r="F566" s="2998"/>
      <c r="G566" s="2998"/>
      <c r="H566" s="2998"/>
      <c r="I566" s="2998"/>
      <c r="J566" s="2998"/>
      <c r="K566" s="2998"/>
      <c r="L566" s="2998"/>
      <c r="M566" s="2998"/>
      <c r="N566" s="2998"/>
      <c r="O566" s="2998"/>
      <c r="P566" s="2998"/>
      <c r="Q566" s="2998"/>
      <c r="R566" s="2998"/>
      <c r="S566" s="2998"/>
      <c r="T566" s="2998"/>
      <c r="U566" s="2998"/>
      <c r="V566" s="2998"/>
      <c r="W566" s="2998"/>
      <c r="X566" s="2998"/>
      <c r="Y566" s="2998"/>
      <c r="Z566" s="2998"/>
      <c r="AA566" s="2998"/>
      <c r="AB566" s="2998"/>
      <c r="AC566" s="2998"/>
      <c r="AD566" s="2998"/>
      <c r="AE566" s="2998"/>
      <c r="AF566" s="2998"/>
      <c r="AG566" s="2998"/>
      <c r="AH566" s="2998"/>
      <c r="AI566" s="2998"/>
      <c r="AJ566" s="2998"/>
      <c r="AK566" s="1029"/>
      <c r="AL566" s="1029"/>
      <c r="AM566" s="1029"/>
      <c r="AN566" s="1002"/>
      <c r="AQ566" s="1004"/>
      <c r="AR566" s="1137"/>
    </row>
    <row r="567" spans="1:46" s="945" customFormat="1" ht="12.75" customHeight="1">
      <c r="A567" s="1029"/>
      <c r="B567" s="1120"/>
      <c r="C567" s="2998"/>
      <c r="D567" s="2998"/>
      <c r="E567" s="2998"/>
      <c r="F567" s="2998"/>
      <c r="G567" s="2998"/>
      <c r="H567" s="2998"/>
      <c r="I567" s="2998"/>
      <c r="J567" s="2998"/>
      <c r="K567" s="2998"/>
      <c r="L567" s="2998"/>
      <c r="M567" s="2998"/>
      <c r="N567" s="2998"/>
      <c r="O567" s="2998"/>
      <c r="P567" s="2998"/>
      <c r="Q567" s="2998"/>
      <c r="R567" s="2998"/>
      <c r="S567" s="2998"/>
      <c r="T567" s="2998"/>
      <c r="U567" s="2998"/>
      <c r="V567" s="2998"/>
      <c r="W567" s="2998"/>
      <c r="X567" s="2998"/>
      <c r="Y567" s="2998"/>
      <c r="Z567" s="2998"/>
      <c r="AA567" s="2998"/>
      <c r="AB567" s="2998"/>
      <c r="AC567" s="2998"/>
      <c r="AD567" s="2998"/>
      <c r="AE567" s="2998"/>
      <c r="AF567" s="2998"/>
      <c r="AG567" s="2998"/>
      <c r="AH567" s="2998"/>
      <c r="AI567" s="2998"/>
      <c r="AJ567" s="2998"/>
      <c r="AK567" s="1029"/>
      <c r="AL567" s="1029"/>
      <c r="AM567" s="1029"/>
      <c r="AN567" s="1002"/>
      <c r="AQ567" s="1004"/>
      <c r="AR567" s="1137"/>
    </row>
    <row r="568" spans="1:46" s="945" customFormat="1" ht="12.75" customHeight="1">
      <c r="A568" s="1029"/>
      <c r="B568" s="1120"/>
      <c r="C568" s="2998" t="s">
        <v>1752</v>
      </c>
      <c r="D568" s="2998"/>
      <c r="E568" s="2998"/>
      <c r="F568" s="2998"/>
      <c r="G568" s="2998"/>
      <c r="H568" s="2998"/>
      <c r="I568" s="2998"/>
      <c r="J568" s="2998"/>
      <c r="K568" s="2998"/>
      <c r="L568" s="2998"/>
      <c r="M568" s="2998"/>
      <c r="N568" s="2998"/>
      <c r="O568" s="2998"/>
      <c r="P568" s="2998"/>
      <c r="Q568" s="2998"/>
      <c r="R568" s="2998"/>
      <c r="S568" s="2998"/>
      <c r="T568" s="2998"/>
      <c r="U568" s="2998"/>
      <c r="V568" s="2998"/>
      <c r="W568" s="2998"/>
      <c r="X568" s="2998"/>
      <c r="Y568" s="2998"/>
      <c r="Z568" s="2998"/>
      <c r="AA568" s="2998"/>
      <c r="AB568" s="2998"/>
      <c r="AC568" s="2998"/>
      <c r="AD568" s="2998"/>
      <c r="AE568" s="2998"/>
      <c r="AF568" s="2998"/>
      <c r="AG568" s="2998"/>
      <c r="AH568" s="2998"/>
      <c r="AI568" s="2998"/>
      <c r="AJ568" s="2998"/>
      <c r="AK568" s="1029"/>
      <c r="AL568" s="1029"/>
      <c r="AM568" s="1029"/>
      <c r="AN568" s="1002"/>
      <c r="AQ568" s="1137"/>
      <c r="AR568" s="1137"/>
    </row>
    <row r="569" spans="1:46" s="945" customFormat="1" ht="12.75" customHeight="1">
      <c r="A569" s="1029"/>
      <c r="B569" s="1120"/>
      <c r="C569" s="2998"/>
      <c r="D569" s="2998"/>
      <c r="E569" s="2998"/>
      <c r="F569" s="2998"/>
      <c r="G569" s="2998"/>
      <c r="H569" s="2998"/>
      <c r="I569" s="2998"/>
      <c r="J569" s="2998"/>
      <c r="K569" s="2998"/>
      <c r="L569" s="2998"/>
      <c r="M569" s="2998"/>
      <c r="N569" s="2998"/>
      <c r="O569" s="2998"/>
      <c r="P569" s="2998"/>
      <c r="Q569" s="2998"/>
      <c r="R569" s="2998"/>
      <c r="S569" s="2998"/>
      <c r="T569" s="2998"/>
      <c r="U569" s="2998"/>
      <c r="V569" s="2998"/>
      <c r="W569" s="2998"/>
      <c r="X569" s="2998"/>
      <c r="Y569" s="2998"/>
      <c r="Z569" s="2998"/>
      <c r="AA569" s="2998"/>
      <c r="AB569" s="2998"/>
      <c r="AC569" s="2998"/>
      <c r="AD569" s="2998"/>
      <c r="AE569" s="2998"/>
      <c r="AF569" s="2998"/>
      <c r="AG569" s="2998"/>
      <c r="AH569" s="2998"/>
      <c r="AI569" s="2998"/>
      <c r="AJ569" s="2998"/>
      <c r="AK569" s="1029"/>
      <c r="AL569" s="1029"/>
      <c r="AM569" s="1029"/>
      <c r="AN569" s="1002"/>
      <c r="AQ569" s="1137"/>
      <c r="AR569" s="1137"/>
    </row>
    <row r="570" spans="1:46" s="945" customFormat="1" ht="13.35" customHeight="1">
      <c r="A570" s="1029"/>
      <c r="B570" s="1120"/>
      <c r="C570" s="2998"/>
      <c r="D570" s="2998"/>
      <c r="E570" s="2998"/>
      <c r="F570" s="2998"/>
      <c r="G570" s="2998"/>
      <c r="H570" s="2998"/>
      <c r="I570" s="2998"/>
      <c r="J570" s="2998"/>
      <c r="K570" s="2998"/>
      <c r="L570" s="2998"/>
      <c r="M570" s="2998"/>
      <c r="N570" s="2998"/>
      <c r="O570" s="2998"/>
      <c r="P570" s="2998"/>
      <c r="Q570" s="2998"/>
      <c r="R570" s="2998"/>
      <c r="S570" s="2998"/>
      <c r="T570" s="2998"/>
      <c r="U570" s="2998"/>
      <c r="V570" s="2998"/>
      <c r="W570" s="2998"/>
      <c r="X570" s="2998"/>
      <c r="Y570" s="2998"/>
      <c r="Z570" s="2998"/>
      <c r="AA570" s="2998"/>
      <c r="AB570" s="2998"/>
      <c r="AC570" s="2998"/>
      <c r="AD570" s="2998"/>
      <c r="AE570" s="2998"/>
      <c r="AF570" s="2998"/>
      <c r="AG570" s="2998"/>
      <c r="AH570" s="2998"/>
      <c r="AI570" s="2998"/>
      <c r="AJ570" s="2998"/>
      <c r="AK570" s="1029"/>
      <c r="AL570" s="1029"/>
      <c r="AM570" s="1029"/>
      <c r="AN570" s="1002"/>
      <c r="AQ570" s="1137"/>
      <c r="AR570" s="1137"/>
    </row>
    <row r="571" spans="1:46" s="945" customFormat="1" ht="12.75" customHeight="1">
      <c r="A571" s="1029"/>
      <c r="B571" s="1120"/>
      <c r="C571" s="2998"/>
      <c r="D571" s="2998"/>
      <c r="E571" s="2998"/>
      <c r="F571" s="2998"/>
      <c r="G571" s="2998"/>
      <c r="H571" s="2998"/>
      <c r="I571" s="2998"/>
      <c r="J571" s="2998"/>
      <c r="K571" s="2998"/>
      <c r="L571" s="2998"/>
      <c r="M571" s="2998"/>
      <c r="N571" s="2998"/>
      <c r="O571" s="2998"/>
      <c r="P571" s="2998"/>
      <c r="Q571" s="2998"/>
      <c r="R571" s="2998"/>
      <c r="S571" s="2998"/>
      <c r="T571" s="2998"/>
      <c r="U571" s="2998"/>
      <c r="V571" s="2998"/>
      <c r="W571" s="2998"/>
      <c r="X571" s="2998"/>
      <c r="Y571" s="2998"/>
      <c r="Z571" s="2998"/>
      <c r="AA571" s="2998"/>
      <c r="AB571" s="2998"/>
      <c r="AC571" s="2998"/>
      <c r="AD571" s="2998"/>
      <c r="AE571" s="2998"/>
      <c r="AF571" s="2998"/>
      <c r="AG571" s="2998"/>
      <c r="AH571" s="2998"/>
      <c r="AI571" s="2998"/>
      <c r="AJ571" s="2998"/>
      <c r="AK571" s="1029"/>
      <c r="AL571" s="1029"/>
      <c r="AM571" s="1029"/>
      <c r="AN571" s="1002"/>
      <c r="AO571" s="1152"/>
      <c r="AP571" s="1152"/>
      <c r="AQ571" s="1137"/>
      <c r="AR571" s="1004"/>
    </row>
    <row r="572" spans="1:46" s="945" customFormat="1" ht="11.85" customHeight="1">
      <c r="A572" s="1029"/>
      <c r="B572" s="1120"/>
      <c r="C572" s="2998"/>
      <c r="D572" s="2998"/>
      <c r="E572" s="2998"/>
      <c r="F572" s="2998"/>
      <c r="G572" s="2998"/>
      <c r="H572" s="2998"/>
      <c r="I572" s="2998"/>
      <c r="J572" s="2998"/>
      <c r="K572" s="2998"/>
      <c r="L572" s="2998"/>
      <c r="M572" s="2998"/>
      <c r="N572" s="2998"/>
      <c r="O572" s="2998"/>
      <c r="P572" s="2998"/>
      <c r="Q572" s="2998"/>
      <c r="R572" s="2998"/>
      <c r="S572" s="2998"/>
      <c r="T572" s="2998"/>
      <c r="U572" s="2998"/>
      <c r="V572" s="2998"/>
      <c r="W572" s="2998"/>
      <c r="X572" s="2998"/>
      <c r="Y572" s="2998"/>
      <c r="Z572" s="2998"/>
      <c r="AA572" s="2998"/>
      <c r="AB572" s="2998"/>
      <c r="AC572" s="2998"/>
      <c r="AD572" s="2998"/>
      <c r="AE572" s="2998"/>
      <c r="AF572" s="2998"/>
      <c r="AG572" s="2998"/>
      <c r="AH572" s="2998"/>
      <c r="AI572" s="2998"/>
      <c r="AJ572" s="2998"/>
      <c r="AK572" s="1029"/>
      <c r="AL572" s="1029"/>
      <c r="AM572" s="1029"/>
      <c r="AN572" s="1002"/>
      <c r="AO572" s="1153" t="s">
        <v>117</v>
      </c>
      <c r="AP572" s="1154">
        <f>IF(C596="Yes",5,0)</f>
        <v>0</v>
      </c>
      <c r="AQ572" s="1004"/>
      <c r="AR572" s="1004"/>
      <c r="AS572" s="934" t="s">
        <v>1753</v>
      </c>
    </row>
    <row r="573" spans="1:46" s="945" customFormat="1" ht="12.75" customHeight="1">
      <c r="A573" s="1029"/>
      <c r="B573" s="1120"/>
      <c r="C573" s="2998"/>
      <c r="D573" s="2998"/>
      <c r="E573" s="2998"/>
      <c r="F573" s="2998"/>
      <c r="G573" s="2998"/>
      <c r="H573" s="2998"/>
      <c r="I573" s="2998"/>
      <c r="J573" s="2998"/>
      <c r="K573" s="2998"/>
      <c r="L573" s="2998"/>
      <c r="M573" s="2998"/>
      <c r="N573" s="2998"/>
      <c r="O573" s="2998"/>
      <c r="P573" s="2998"/>
      <c r="Q573" s="2998"/>
      <c r="R573" s="2998"/>
      <c r="S573" s="2998"/>
      <c r="T573" s="2998"/>
      <c r="U573" s="2998"/>
      <c r="V573" s="2998"/>
      <c r="W573" s="2998"/>
      <c r="X573" s="2998"/>
      <c r="Y573" s="2998"/>
      <c r="Z573" s="2998"/>
      <c r="AA573" s="2998"/>
      <c r="AB573" s="2998"/>
      <c r="AC573" s="2998"/>
      <c r="AD573" s="2998"/>
      <c r="AE573" s="2998"/>
      <c r="AF573" s="2998"/>
      <c r="AG573" s="2998"/>
      <c r="AH573" s="2998"/>
      <c r="AI573" s="2998"/>
      <c r="AJ573" s="2998"/>
      <c r="AK573" s="1029"/>
      <c r="AL573" s="1029"/>
      <c r="AM573" s="1029"/>
      <c r="AN573" s="1002"/>
      <c r="AO573" s="1153" t="s">
        <v>118</v>
      </c>
      <c r="AP573" s="1154">
        <f>IF(C604="Yes",5,0)</f>
        <v>0</v>
      </c>
      <c r="AQ573" s="1004"/>
      <c r="AR573" s="1004"/>
      <c r="AS573" s="3119">
        <f>IF(AQ581=0,AQ590,AQ581)</f>
        <v>10</v>
      </c>
      <c r="AT573" s="3119"/>
    </row>
    <row r="574" spans="1:46" s="945" customFormat="1" ht="12.75" customHeight="1">
      <c r="A574" s="1029"/>
      <c r="B574" s="1120"/>
      <c r="C574" s="2998"/>
      <c r="D574" s="2998"/>
      <c r="E574" s="2998"/>
      <c r="F574" s="2998"/>
      <c r="G574" s="2998"/>
      <c r="H574" s="2998"/>
      <c r="I574" s="2998"/>
      <c r="J574" s="2998"/>
      <c r="K574" s="2998"/>
      <c r="L574" s="2998"/>
      <c r="M574" s="2998"/>
      <c r="N574" s="2998"/>
      <c r="O574" s="2998"/>
      <c r="P574" s="2998"/>
      <c r="Q574" s="2998"/>
      <c r="R574" s="2998"/>
      <c r="S574" s="2998"/>
      <c r="T574" s="2998"/>
      <c r="U574" s="2998"/>
      <c r="V574" s="2998"/>
      <c r="W574" s="2998"/>
      <c r="X574" s="2998"/>
      <c r="Y574" s="2998"/>
      <c r="Z574" s="2998"/>
      <c r="AA574" s="2998"/>
      <c r="AB574" s="2998"/>
      <c r="AC574" s="2998"/>
      <c r="AD574" s="2998"/>
      <c r="AE574" s="2998"/>
      <c r="AF574" s="2998"/>
      <c r="AG574" s="2998"/>
      <c r="AH574" s="2998"/>
      <c r="AI574" s="2998"/>
      <c r="AJ574" s="2998"/>
      <c r="AK574" s="1029"/>
      <c r="AL574" s="1029"/>
      <c r="AM574" s="1029"/>
      <c r="AN574" s="1002"/>
      <c r="AO574" s="1153" t="s">
        <v>124</v>
      </c>
      <c r="AP574" s="1154">
        <f>IF(C612="Yes",7,0)</f>
        <v>7</v>
      </c>
      <c r="AS574" s="934" t="s">
        <v>1754</v>
      </c>
    </row>
    <row r="575" spans="1:46" s="945" customFormat="1" ht="12.75" customHeight="1">
      <c r="A575" s="1029"/>
      <c r="B575" s="1120"/>
      <c r="C575" s="2998"/>
      <c r="D575" s="2998"/>
      <c r="E575" s="2998"/>
      <c r="F575" s="2998"/>
      <c r="G575" s="2998"/>
      <c r="H575" s="2998"/>
      <c r="I575" s="2998"/>
      <c r="J575" s="2998"/>
      <c r="K575" s="2998"/>
      <c r="L575" s="2998"/>
      <c r="M575" s="2998"/>
      <c r="N575" s="2998"/>
      <c r="O575" s="2998"/>
      <c r="P575" s="2998"/>
      <c r="Q575" s="2998"/>
      <c r="R575" s="2998"/>
      <c r="S575" s="2998"/>
      <c r="T575" s="2998"/>
      <c r="U575" s="2998"/>
      <c r="V575" s="2998"/>
      <c r="W575" s="2998"/>
      <c r="X575" s="2998"/>
      <c r="Y575" s="2998"/>
      <c r="Z575" s="2998"/>
      <c r="AA575" s="2998"/>
      <c r="AB575" s="2998"/>
      <c r="AC575" s="2998"/>
      <c r="AD575" s="2998"/>
      <c r="AE575" s="2998"/>
      <c r="AF575" s="2998"/>
      <c r="AG575" s="2998"/>
      <c r="AH575" s="2998"/>
      <c r="AI575" s="2998"/>
      <c r="AJ575" s="2998"/>
      <c r="AK575" s="1029"/>
      <c r="AL575" s="1029"/>
      <c r="AM575" s="1029"/>
      <c r="AN575" s="1002"/>
      <c r="AO575" s="1002"/>
      <c r="AP575" s="1154">
        <f>IF(C614="Yes",5,0)</f>
        <v>0</v>
      </c>
      <c r="AS575" s="3119">
        <f>IF(AND(AQ581&gt;0,AQ590&gt;0),(AQ581+AQ590)/2,0)</f>
        <v>0</v>
      </c>
      <c r="AT575" s="3119"/>
    </row>
    <row r="576" spans="1:46" s="945" customFormat="1" ht="12.75" customHeight="1">
      <c r="A576" s="1029"/>
      <c r="B576" s="1120"/>
      <c r="C576" s="2998"/>
      <c r="D576" s="2998"/>
      <c r="E576" s="2998"/>
      <c r="F576" s="2998"/>
      <c r="G576" s="2998"/>
      <c r="H576" s="2998"/>
      <c r="I576" s="2998"/>
      <c r="J576" s="2998"/>
      <c r="K576" s="2998"/>
      <c r="L576" s="2998"/>
      <c r="M576" s="2998"/>
      <c r="N576" s="2998"/>
      <c r="O576" s="2998"/>
      <c r="P576" s="2998"/>
      <c r="Q576" s="2998"/>
      <c r="R576" s="2998"/>
      <c r="S576" s="2998"/>
      <c r="T576" s="2998"/>
      <c r="U576" s="2998"/>
      <c r="V576" s="2998"/>
      <c r="W576" s="2998"/>
      <c r="X576" s="2998"/>
      <c r="Y576" s="2998"/>
      <c r="Z576" s="2998"/>
      <c r="AA576" s="2998"/>
      <c r="AB576" s="2998"/>
      <c r="AC576" s="2998"/>
      <c r="AD576" s="2998"/>
      <c r="AE576" s="2998"/>
      <c r="AF576" s="2998"/>
      <c r="AG576" s="2998"/>
      <c r="AH576" s="2998"/>
      <c r="AI576" s="2998"/>
      <c r="AJ576" s="2998"/>
      <c r="AK576" s="1029"/>
      <c r="AL576" s="1029"/>
      <c r="AM576" s="1029"/>
      <c r="AN576" s="1002"/>
      <c r="AO576" s="1153" t="s">
        <v>617</v>
      </c>
      <c r="AP576" s="1154">
        <f>IF(C622="Yes",5,0)</f>
        <v>0</v>
      </c>
      <c r="AQ576" s="1004"/>
      <c r="AR576" s="1004"/>
    </row>
    <row r="577" spans="1:81" s="945" customFormat="1" ht="12.75" customHeight="1">
      <c r="A577" s="1029"/>
      <c r="B577" s="1120"/>
      <c r="C577" s="3120" t="s">
        <v>1755</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3</v>
      </c>
    </row>
    <row r="578" spans="1:81" s="945" customFormat="1" ht="12.75"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824</v>
      </c>
      <c r="AP578" s="1154">
        <f>IF(C627="Yes",5,0)</f>
        <v>0</v>
      </c>
    </row>
    <row r="579" spans="1:81" s="945" customFormat="1" ht="12.75"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620</v>
      </c>
      <c r="AP579" s="1154">
        <f>IF(C636="Yes",5,0)</f>
        <v>0</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6"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234</v>
      </c>
      <c r="AP581" s="1158">
        <f>SUM(AP572:AP580)</f>
        <v>10</v>
      </c>
      <c r="AQ581" s="3001">
        <f>IF(AP581&gt;0,AP581,0)</f>
        <v>10</v>
      </c>
      <c r="AR581" s="3001"/>
    </row>
    <row r="582" spans="1:81" s="945" customFormat="1" ht="12.75"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2998" t="s">
        <v>1756</v>
      </c>
      <c r="D584" s="2998"/>
      <c r="E584" s="2998"/>
      <c r="F584" s="2998"/>
      <c r="G584" s="2998"/>
      <c r="H584" s="2998"/>
      <c r="I584" s="2998"/>
      <c r="J584" s="2998"/>
      <c r="K584" s="2998"/>
      <c r="L584" s="2998"/>
      <c r="M584" s="2998"/>
      <c r="N584" s="2998"/>
      <c r="O584" s="2998"/>
      <c r="P584" s="2998"/>
      <c r="Q584" s="2998"/>
      <c r="R584" s="2998"/>
      <c r="S584" s="2998"/>
      <c r="T584" s="2998"/>
      <c r="U584" s="2998"/>
      <c r="V584" s="2998"/>
      <c r="W584" s="2998"/>
      <c r="X584" s="2998"/>
      <c r="Y584" s="2998"/>
      <c r="Z584" s="2998"/>
      <c r="AA584" s="2998"/>
      <c r="AB584" s="2998"/>
      <c r="AC584" s="2998"/>
      <c r="AD584" s="2998"/>
      <c r="AE584" s="2998"/>
      <c r="AF584" s="2998"/>
      <c r="AG584" s="2998"/>
      <c r="AH584" s="2998"/>
      <c r="AI584" s="2998"/>
      <c r="AJ584" s="2998"/>
      <c r="AK584" s="1029"/>
      <c r="AL584" s="1029"/>
      <c r="AM584" s="1029"/>
      <c r="AN584" s="1002"/>
      <c r="AO584" s="1153" t="s">
        <v>489</v>
      </c>
      <c r="AP584" s="1154">
        <f>IF(C657="Yes",5,0)</f>
        <v>0</v>
      </c>
    </row>
    <row r="585" spans="1:81" s="945" customFormat="1" ht="12.75" customHeight="1">
      <c r="A585" s="1029"/>
      <c r="B585" s="1120"/>
      <c r="C585" s="2998"/>
      <c r="D585" s="2998"/>
      <c r="E585" s="2998"/>
      <c r="F585" s="2998"/>
      <c r="G585" s="2998"/>
      <c r="H585" s="2998"/>
      <c r="I585" s="2998"/>
      <c r="J585" s="2998"/>
      <c r="K585" s="2998"/>
      <c r="L585" s="2998"/>
      <c r="M585" s="2998"/>
      <c r="N585" s="2998"/>
      <c r="O585" s="2998"/>
      <c r="P585" s="2998"/>
      <c r="Q585" s="2998"/>
      <c r="R585" s="2998"/>
      <c r="S585" s="2998"/>
      <c r="T585" s="2998"/>
      <c r="U585" s="2998"/>
      <c r="V585" s="2998"/>
      <c r="W585" s="2998"/>
      <c r="X585" s="2998"/>
      <c r="Y585" s="2998"/>
      <c r="Z585" s="2998"/>
      <c r="AA585" s="2998"/>
      <c r="AB585" s="2998"/>
      <c r="AC585" s="2998"/>
      <c r="AD585" s="2998"/>
      <c r="AE585" s="2998"/>
      <c r="AF585" s="2998"/>
      <c r="AG585" s="2998"/>
      <c r="AH585" s="2998"/>
      <c r="AI585" s="2998"/>
      <c r="AJ585" s="2998"/>
      <c r="AK585" s="1029"/>
      <c r="AL585" s="1029"/>
      <c r="AM585" s="1029"/>
      <c r="AN585" s="1002"/>
      <c r="AO585" s="1153" t="s">
        <v>495</v>
      </c>
      <c r="AP585" s="1154">
        <f>IF(C664="Yes",5,0)</f>
        <v>0</v>
      </c>
    </row>
    <row r="586" spans="1:81" s="945" customFormat="1" ht="68.099999999999994" customHeight="1">
      <c r="A586" s="1029"/>
      <c r="B586" s="1120"/>
      <c r="C586" s="2998"/>
      <c r="D586" s="2998"/>
      <c r="E586" s="2998"/>
      <c r="F586" s="2998"/>
      <c r="G586" s="2998"/>
      <c r="H586" s="2998"/>
      <c r="I586" s="2998"/>
      <c r="J586" s="2998"/>
      <c r="K586" s="2998"/>
      <c r="L586" s="2998"/>
      <c r="M586" s="2998"/>
      <c r="N586" s="2998"/>
      <c r="O586" s="2998"/>
      <c r="P586" s="2998"/>
      <c r="Q586" s="2998"/>
      <c r="R586" s="2998"/>
      <c r="S586" s="2998"/>
      <c r="T586" s="2998"/>
      <c r="U586" s="2998"/>
      <c r="V586" s="2998"/>
      <c r="W586" s="2998"/>
      <c r="X586" s="2998"/>
      <c r="Y586" s="2998"/>
      <c r="Z586" s="2998"/>
      <c r="AA586" s="2998"/>
      <c r="AB586" s="2998"/>
      <c r="AC586" s="2998"/>
      <c r="AD586" s="2998"/>
      <c r="AE586" s="2998"/>
      <c r="AF586" s="2998"/>
      <c r="AG586" s="2998"/>
      <c r="AH586" s="2998"/>
      <c r="AI586" s="2998"/>
      <c r="AJ586" s="2998"/>
      <c r="AK586" s="1029"/>
      <c r="AL586" s="1029"/>
      <c r="AM586" s="1029"/>
      <c r="AN586" s="1002"/>
      <c r="AO586" s="1153" t="s">
        <v>682</v>
      </c>
      <c r="AP586" s="1160">
        <f>IF(C668="Yes",5,0)</f>
        <v>0</v>
      </c>
      <c r="AQ586" s="1004"/>
      <c r="AR586" s="1004"/>
    </row>
    <row r="587" spans="1:81" s="945" customFormat="1" ht="12.6"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2999">
        <f>'Service Amenities Budget'!J10</f>
        <v>304</v>
      </c>
      <c r="V588" s="2999"/>
      <c r="W588" s="299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00">
        <f>'Service Amenities Budget'!J9</f>
        <v>0</v>
      </c>
      <c r="V589" s="3000"/>
      <c r="W589" s="300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1">
        <f>IF(AP590&gt;0,AP590,0)</f>
        <v>0</v>
      </c>
      <c r="AR590" s="3001"/>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02" t="s">
        <v>1761</v>
      </c>
      <c r="G592" s="3002"/>
      <c r="H592" s="3002"/>
      <c r="I592" s="3002"/>
      <c r="J592" s="3002"/>
      <c r="K592" s="3002"/>
      <c r="L592" s="3002"/>
      <c r="M592" s="3002"/>
      <c r="N592" s="3002"/>
      <c r="O592" s="3002"/>
      <c r="P592" s="3002"/>
      <c r="Q592" s="3002"/>
      <c r="R592" s="3002"/>
      <c r="S592" s="3002"/>
      <c r="T592" s="3002"/>
      <c r="U592" s="3002"/>
      <c r="V592" s="3002"/>
      <c r="W592" s="3002"/>
      <c r="X592" s="3002"/>
      <c r="Y592" s="3002"/>
      <c r="Z592" s="3002"/>
      <c r="AA592" s="3002"/>
      <c r="AB592" s="3002"/>
      <c r="AC592" s="3002"/>
      <c r="AD592" s="3002"/>
      <c r="AE592" s="3002"/>
      <c r="AF592" s="300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3"/>
      <c r="G593" s="3003"/>
      <c r="H593" s="3003"/>
      <c r="I593" s="3003"/>
      <c r="J593" s="3003"/>
      <c r="K593" s="3003"/>
      <c r="L593" s="3003"/>
      <c r="M593" s="3003"/>
      <c r="N593" s="3003"/>
      <c r="O593" s="3003"/>
      <c r="P593" s="3003"/>
      <c r="Q593" s="3003"/>
      <c r="R593" s="3003"/>
      <c r="S593" s="3003"/>
      <c r="T593" s="3003"/>
      <c r="U593" s="3003"/>
      <c r="V593" s="3003"/>
      <c r="W593" s="3003"/>
      <c r="X593" s="3003"/>
      <c r="Y593" s="3003"/>
      <c r="Z593" s="3003"/>
      <c r="AA593" s="3003"/>
      <c r="AB593" s="3003"/>
      <c r="AC593" s="3003"/>
      <c r="AD593" s="3003"/>
      <c r="AE593" s="3003"/>
      <c r="AF593" s="300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3"/>
      <c r="G594" s="3003"/>
      <c r="H594" s="3003"/>
      <c r="I594" s="3003"/>
      <c r="J594" s="3003"/>
      <c r="K594" s="3003"/>
      <c r="L594" s="3003"/>
      <c r="M594" s="3003"/>
      <c r="N594" s="3003"/>
      <c r="O594" s="3003"/>
      <c r="P594" s="3003"/>
      <c r="Q594" s="3003"/>
      <c r="R594" s="3003"/>
      <c r="S594" s="3003"/>
      <c r="T594" s="3003"/>
      <c r="U594" s="3003"/>
      <c r="V594" s="3003"/>
      <c r="W594" s="3003"/>
      <c r="X594" s="3003"/>
      <c r="Y594" s="3003"/>
      <c r="Z594" s="3003"/>
      <c r="AA594" s="3003"/>
      <c r="AB594" s="3003"/>
      <c r="AC594" s="3003"/>
      <c r="AD594" s="3003"/>
      <c r="AE594" s="3003"/>
      <c r="AF594" s="300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3"/>
      <c r="G595" s="3003"/>
      <c r="H595" s="3003"/>
      <c r="I595" s="3003"/>
      <c r="J595" s="3003"/>
      <c r="K595" s="3003"/>
      <c r="L595" s="3003"/>
      <c r="M595" s="3003"/>
      <c r="N595" s="3003"/>
      <c r="O595" s="3003"/>
      <c r="P595" s="3003"/>
      <c r="Q595" s="3003"/>
      <c r="R595" s="3003"/>
      <c r="S595" s="3003"/>
      <c r="T595" s="3003"/>
      <c r="U595" s="3003"/>
      <c r="V595" s="3003"/>
      <c r="W595" s="3003"/>
      <c r="X595" s="3003"/>
      <c r="Y595" s="3003"/>
      <c r="Z595" s="3003"/>
      <c r="AA595" s="3003"/>
      <c r="AB595" s="3003"/>
      <c r="AC595" s="3003"/>
      <c r="AD595" s="3003"/>
      <c r="AE595" s="3003"/>
      <c r="AF595" s="300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4" t="s">
        <v>627</v>
      </c>
      <c r="D596" s="3005"/>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6" t="s">
        <v>1763</v>
      </c>
      <c r="AG596" s="3006"/>
      <c r="AH596" s="3006"/>
      <c r="AI596" s="3006"/>
      <c r="AJ596" s="3006"/>
      <c r="AK596" s="3006"/>
      <c r="AL596" s="300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02" t="s">
        <v>1764</v>
      </c>
      <c r="G599" s="3002"/>
      <c r="H599" s="3002"/>
      <c r="I599" s="3002"/>
      <c r="J599" s="3002"/>
      <c r="K599" s="3002"/>
      <c r="L599" s="3002"/>
      <c r="M599" s="3002"/>
      <c r="N599" s="3002"/>
      <c r="O599" s="3002"/>
      <c r="P599" s="3002"/>
      <c r="Q599" s="3002"/>
      <c r="R599" s="3002"/>
      <c r="S599" s="3002"/>
      <c r="T599" s="3002"/>
      <c r="U599" s="3002"/>
      <c r="V599" s="3002"/>
      <c r="W599" s="3002"/>
      <c r="X599" s="3002"/>
      <c r="Y599" s="3002"/>
      <c r="Z599" s="3002"/>
      <c r="AA599" s="3002"/>
      <c r="AB599" s="3002"/>
      <c r="AC599" s="3002"/>
      <c r="AD599" s="3002"/>
      <c r="AE599" s="3002"/>
      <c r="AF599" s="300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3"/>
      <c r="G600" s="3003"/>
      <c r="H600" s="3003"/>
      <c r="I600" s="3003"/>
      <c r="J600" s="3003"/>
      <c r="K600" s="3003"/>
      <c r="L600" s="3003"/>
      <c r="M600" s="3003"/>
      <c r="N600" s="3003"/>
      <c r="O600" s="3003"/>
      <c r="P600" s="3003"/>
      <c r="Q600" s="3003"/>
      <c r="R600" s="3003"/>
      <c r="S600" s="3003"/>
      <c r="T600" s="3003"/>
      <c r="U600" s="3003"/>
      <c r="V600" s="3003"/>
      <c r="W600" s="3003"/>
      <c r="X600" s="3003"/>
      <c r="Y600" s="3003"/>
      <c r="Z600" s="3003"/>
      <c r="AA600" s="3003"/>
      <c r="AB600" s="3003"/>
      <c r="AC600" s="3003"/>
      <c r="AD600" s="3003"/>
      <c r="AE600" s="3003"/>
      <c r="AF600" s="300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3"/>
      <c r="G601" s="3003"/>
      <c r="H601" s="3003"/>
      <c r="I601" s="3003"/>
      <c r="J601" s="3003"/>
      <c r="K601" s="3003"/>
      <c r="L601" s="3003"/>
      <c r="M601" s="3003"/>
      <c r="N601" s="3003"/>
      <c r="O601" s="3003"/>
      <c r="P601" s="3003"/>
      <c r="Q601" s="3003"/>
      <c r="R601" s="3003"/>
      <c r="S601" s="3003"/>
      <c r="T601" s="3003"/>
      <c r="U601" s="3003"/>
      <c r="V601" s="3003"/>
      <c r="W601" s="3003"/>
      <c r="X601" s="3003"/>
      <c r="Y601" s="3003"/>
      <c r="Z601" s="3003"/>
      <c r="AA601" s="3003"/>
      <c r="AB601" s="3003"/>
      <c r="AC601" s="3003"/>
      <c r="AD601" s="3003"/>
      <c r="AE601" s="3003"/>
      <c r="AF601" s="300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3"/>
      <c r="G602" s="3003"/>
      <c r="H602" s="3003"/>
      <c r="I602" s="3003"/>
      <c r="J602" s="3003"/>
      <c r="K602" s="3003"/>
      <c r="L602" s="3003"/>
      <c r="M602" s="3003"/>
      <c r="N602" s="3003"/>
      <c r="O602" s="3003"/>
      <c r="P602" s="3003"/>
      <c r="Q602" s="3003"/>
      <c r="R602" s="3003"/>
      <c r="S602" s="3003"/>
      <c r="T602" s="3003"/>
      <c r="U602" s="3003"/>
      <c r="V602" s="3003"/>
      <c r="W602" s="3003"/>
      <c r="X602" s="3003"/>
      <c r="Y602" s="3003"/>
      <c r="Z602" s="3003"/>
      <c r="AA602" s="3003"/>
      <c r="AB602" s="3003"/>
      <c r="AC602" s="3003"/>
      <c r="AD602" s="3003"/>
      <c r="AE602" s="3003"/>
      <c r="AF602" s="300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3"/>
      <c r="G603" s="3003"/>
      <c r="H603" s="3003"/>
      <c r="I603" s="3003"/>
      <c r="J603" s="3003"/>
      <c r="K603" s="3003"/>
      <c r="L603" s="3003"/>
      <c r="M603" s="3003"/>
      <c r="N603" s="3003"/>
      <c r="O603" s="3003"/>
      <c r="P603" s="3003"/>
      <c r="Q603" s="3003"/>
      <c r="R603" s="3003"/>
      <c r="S603" s="3003"/>
      <c r="T603" s="3003"/>
      <c r="U603" s="3003"/>
      <c r="V603" s="3003"/>
      <c r="W603" s="3003"/>
      <c r="X603" s="3003"/>
      <c r="Y603" s="3003"/>
      <c r="Z603" s="3003"/>
      <c r="AA603" s="3003"/>
      <c r="AB603" s="3003"/>
      <c r="AC603" s="3003"/>
      <c r="AD603" s="3003"/>
      <c r="AE603" s="3003"/>
      <c r="AF603" s="300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4" t="s">
        <v>627</v>
      </c>
      <c r="D604" s="3005"/>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6" t="s">
        <v>1763</v>
      </c>
      <c r="AG604" s="3006"/>
      <c r="AH604" s="3006"/>
      <c r="AI604" s="3006"/>
      <c r="AJ604" s="3006"/>
      <c r="AK604" s="3006"/>
      <c r="AL604" s="300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02" t="s">
        <v>1766</v>
      </c>
      <c r="G607" s="3002"/>
      <c r="H607" s="3002"/>
      <c r="I607" s="3002"/>
      <c r="J607" s="3002"/>
      <c r="K607" s="3002"/>
      <c r="L607" s="3002"/>
      <c r="M607" s="3002"/>
      <c r="N607" s="3002"/>
      <c r="O607" s="3002"/>
      <c r="P607" s="3002"/>
      <c r="Q607" s="3002"/>
      <c r="R607" s="3002"/>
      <c r="S607" s="3002"/>
      <c r="T607" s="3002"/>
      <c r="U607" s="3002"/>
      <c r="V607" s="3002"/>
      <c r="W607" s="3002"/>
      <c r="X607" s="3002"/>
      <c r="Y607" s="3002"/>
      <c r="Z607" s="3002"/>
      <c r="AA607" s="3002"/>
      <c r="AB607" s="3002"/>
      <c r="AC607" s="3002"/>
      <c r="AD607" s="3002"/>
      <c r="AE607" s="3002"/>
      <c r="AF607" s="300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3"/>
      <c r="G608" s="3003"/>
      <c r="H608" s="3003"/>
      <c r="I608" s="3003"/>
      <c r="J608" s="3003"/>
      <c r="K608" s="3003"/>
      <c r="L608" s="3003"/>
      <c r="M608" s="3003"/>
      <c r="N608" s="3003"/>
      <c r="O608" s="3003"/>
      <c r="P608" s="3003"/>
      <c r="Q608" s="3003"/>
      <c r="R608" s="3003"/>
      <c r="S608" s="3003"/>
      <c r="T608" s="3003"/>
      <c r="U608" s="3003"/>
      <c r="V608" s="3003"/>
      <c r="W608" s="3003"/>
      <c r="X608" s="3003"/>
      <c r="Y608" s="3003"/>
      <c r="Z608" s="3003"/>
      <c r="AA608" s="3003"/>
      <c r="AB608" s="3003"/>
      <c r="AC608" s="3003"/>
      <c r="AD608" s="3003"/>
      <c r="AE608" s="3003"/>
      <c r="AF608" s="300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3"/>
      <c r="G609" s="3003"/>
      <c r="H609" s="3003"/>
      <c r="I609" s="3003"/>
      <c r="J609" s="3003"/>
      <c r="K609" s="3003"/>
      <c r="L609" s="3003"/>
      <c r="M609" s="3003"/>
      <c r="N609" s="3003"/>
      <c r="O609" s="3003"/>
      <c r="P609" s="3003"/>
      <c r="Q609" s="3003"/>
      <c r="R609" s="3003"/>
      <c r="S609" s="3003"/>
      <c r="T609" s="3003"/>
      <c r="U609" s="3003"/>
      <c r="V609" s="3003"/>
      <c r="W609" s="3003"/>
      <c r="X609" s="3003"/>
      <c r="Y609" s="3003"/>
      <c r="Z609" s="3003"/>
      <c r="AA609" s="3003"/>
      <c r="AB609" s="3003"/>
      <c r="AC609" s="3003"/>
      <c r="AD609" s="3003"/>
      <c r="AE609" s="3003"/>
      <c r="AF609" s="300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3"/>
      <c r="G610" s="3003"/>
      <c r="H610" s="3003"/>
      <c r="I610" s="3003"/>
      <c r="J610" s="3003"/>
      <c r="K610" s="3003"/>
      <c r="L610" s="3003"/>
      <c r="M610" s="3003"/>
      <c r="N610" s="3003"/>
      <c r="O610" s="3003"/>
      <c r="P610" s="3003"/>
      <c r="Q610" s="3003"/>
      <c r="R610" s="3003"/>
      <c r="S610" s="3003"/>
      <c r="T610" s="3003"/>
      <c r="U610" s="3003"/>
      <c r="V610" s="3003"/>
      <c r="W610" s="3003"/>
      <c r="X610" s="3003"/>
      <c r="Y610" s="3003"/>
      <c r="Z610" s="3003"/>
      <c r="AA610" s="3003"/>
      <c r="AB610" s="3003"/>
      <c r="AC610" s="3003"/>
      <c r="AD610" s="3003"/>
      <c r="AE610" s="3003"/>
      <c r="AF610" s="300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3"/>
      <c r="G611" s="3003"/>
      <c r="H611" s="3003"/>
      <c r="I611" s="3003"/>
      <c r="J611" s="3003"/>
      <c r="K611" s="3003"/>
      <c r="L611" s="3003"/>
      <c r="M611" s="3003"/>
      <c r="N611" s="3003"/>
      <c r="O611" s="3003"/>
      <c r="P611" s="3003"/>
      <c r="Q611" s="3003"/>
      <c r="R611" s="3003"/>
      <c r="S611" s="3003"/>
      <c r="T611" s="3003"/>
      <c r="U611" s="3003"/>
      <c r="V611" s="3003"/>
      <c r="W611" s="3003"/>
      <c r="X611" s="3003"/>
      <c r="Y611" s="3003"/>
      <c r="Z611" s="3003"/>
      <c r="AA611" s="3003"/>
      <c r="AB611" s="3003"/>
      <c r="AC611" s="3003"/>
      <c r="AD611" s="3003"/>
      <c r="AE611" s="3003"/>
      <c r="AF611" s="300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4" t="s">
        <v>579</v>
      </c>
      <c r="D612" s="3005"/>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6" t="s">
        <v>1768</v>
      </c>
      <c r="AG612" s="3006"/>
      <c r="AH612" s="3006"/>
      <c r="AI612" s="3006"/>
      <c r="AJ612" s="3006"/>
      <c r="AK612" s="3006"/>
      <c r="AL612" s="300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4" t="s">
        <v>627</v>
      </c>
      <c r="D614" s="3005"/>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6" t="s">
        <v>1763</v>
      </c>
      <c r="AG614" s="3006"/>
      <c r="AH614" s="3006"/>
      <c r="AI614" s="3006"/>
      <c r="AJ614" s="3006"/>
      <c r="AK614" s="3006"/>
      <c r="AL614" s="300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02" t="s">
        <v>1772</v>
      </c>
      <c r="G618" s="3002"/>
      <c r="H618" s="3002"/>
      <c r="I618" s="3002"/>
      <c r="J618" s="3002"/>
      <c r="K618" s="3002"/>
      <c r="L618" s="3002"/>
      <c r="M618" s="3002"/>
      <c r="N618" s="3002"/>
      <c r="O618" s="3002"/>
      <c r="P618" s="3002"/>
      <c r="Q618" s="3002"/>
      <c r="R618" s="3002"/>
      <c r="S618" s="3002"/>
      <c r="T618" s="3002"/>
      <c r="U618" s="3002"/>
      <c r="V618" s="3002"/>
      <c r="W618" s="3002"/>
      <c r="X618" s="3002"/>
      <c r="Y618" s="3002"/>
      <c r="Z618" s="3002"/>
      <c r="AA618" s="3002"/>
      <c r="AB618" s="3002"/>
      <c r="AC618" s="3002"/>
      <c r="AD618" s="3002"/>
      <c r="AE618" s="3002"/>
      <c r="AF618" s="300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3"/>
      <c r="G619" s="3003"/>
      <c r="H619" s="3003"/>
      <c r="I619" s="3003"/>
      <c r="J619" s="3003"/>
      <c r="K619" s="3003"/>
      <c r="L619" s="3003"/>
      <c r="M619" s="3003"/>
      <c r="N619" s="3003"/>
      <c r="O619" s="3003"/>
      <c r="P619" s="3003"/>
      <c r="Q619" s="3003"/>
      <c r="R619" s="3003"/>
      <c r="S619" s="3003"/>
      <c r="T619" s="3003"/>
      <c r="U619" s="3003"/>
      <c r="V619" s="3003"/>
      <c r="W619" s="3003"/>
      <c r="X619" s="3003"/>
      <c r="Y619" s="3003"/>
      <c r="Z619" s="3003"/>
      <c r="AA619" s="3003"/>
      <c r="AB619" s="3003"/>
      <c r="AC619" s="3003"/>
      <c r="AD619" s="3003"/>
      <c r="AE619" s="3003"/>
      <c r="AF619" s="300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3"/>
      <c r="G620" s="3003"/>
      <c r="H620" s="3003"/>
      <c r="I620" s="3003"/>
      <c r="J620" s="3003"/>
      <c r="K620" s="3003"/>
      <c r="L620" s="3003"/>
      <c r="M620" s="3003"/>
      <c r="N620" s="3003"/>
      <c r="O620" s="3003"/>
      <c r="P620" s="3003"/>
      <c r="Q620" s="3003"/>
      <c r="R620" s="3003"/>
      <c r="S620" s="3003"/>
      <c r="T620" s="3003"/>
      <c r="U620" s="3003"/>
      <c r="V620" s="3003"/>
      <c r="W620" s="3003"/>
      <c r="X620" s="3003"/>
      <c r="Y620" s="3003"/>
      <c r="Z620" s="3003"/>
      <c r="AA620" s="3003"/>
      <c r="AB620" s="3003"/>
      <c r="AC620" s="3003"/>
      <c r="AD620" s="3003"/>
      <c r="AE620" s="3003"/>
      <c r="AF620" s="300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3"/>
      <c r="G621" s="3003"/>
      <c r="H621" s="3003"/>
      <c r="I621" s="3003"/>
      <c r="J621" s="3003"/>
      <c r="K621" s="3003"/>
      <c r="L621" s="3003"/>
      <c r="M621" s="3003"/>
      <c r="N621" s="3003"/>
      <c r="O621" s="3003"/>
      <c r="P621" s="3003"/>
      <c r="Q621" s="3003"/>
      <c r="R621" s="3003"/>
      <c r="S621" s="3003"/>
      <c r="T621" s="3003"/>
      <c r="U621" s="3003"/>
      <c r="V621" s="3003"/>
      <c r="W621" s="3003"/>
      <c r="X621" s="3003"/>
      <c r="Y621" s="3003"/>
      <c r="Z621" s="3003"/>
      <c r="AA621" s="3003"/>
      <c r="AB621" s="3003"/>
      <c r="AC621" s="3003"/>
      <c r="AD621" s="3003"/>
      <c r="AE621" s="3003"/>
      <c r="AF621" s="300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4" t="s">
        <v>627</v>
      </c>
      <c r="D622" s="3005"/>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6" t="s">
        <v>1763</v>
      </c>
      <c r="AG622" s="3006"/>
      <c r="AH622" s="3006"/>
      <c r="AI622" s="3006"/>
      <c r="AJ622" s="3006"/>
      <c r="AK622" s="3006"/>
      <c r="AL622" s="300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4" t="s">
        <v>579</v>
      </c>
      <c r="D624" s="3005"/>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6" t="s">
        <v>1775</v>
      </c>
      <c r="AG624" s="3006"/>
      <c r="AH624" s="3006"/>
      <c r="AI624" s="3006"/>
      <c r="AJ624" s="3006"/>
      <c r="AK624" s="3006"/>
      <c r="AL624" s="300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4" t="s">
        <v>627</v>
      </c>
      <c r="D627" s="3005"/>
      <c r="E627" s="1176" t="s">
        <v>1776</v>
      </c>
      <c r="F627" s="3002" t="s">
        <v>1777</v>
      </c>
      <c r="G627" s="3002"/>
      <c r="H627" s="3002"/>
      <c r="I627" s="3002"/>
      <c r="J627" s="3002"/>
      <c r="K627" s="3002"/>
      <c r="L627" s="3002"/>
      <c r="M627" s="3002"/>
      <c r="N627" s="3002"/>
      <c r="O627" s="3002"/>
      <c r="P627" s="3002"/>
      <c r="Q627" s="3002"/>
      <c r="R627" s="3002"/>
      <c r="S627" s="3002"/>
      <c r="T627" s="3002"/>
      <c r="U627" s="3002"/>
      <c r="V627" s="3002"/>
      <c r="W627" s="3002"/>
      <c r="X627" s="3002"/>
      <c r="Y627" s="3002"/>
      <c r="Z627" s="3002"/>
      <c r="AA627" s="3002"/>
      <c r="AB627" s="3002"/>
      <c r="AC627" s="3002"/>
      <c r="AD627" s="3002"/>
      <c r="AE627" s="300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3"/>
      <c r="G628" s="3003"/>
      <c r="H628" s="3003"/>
      <c r="I628" s="3003"/>
      <c r="J628" s="3003"/>
      <c r="K628" s="3003"/>
      <c r="L628" s="3003"/>
      <c r="M628" s="3003"/>
      <c r="N628" s="3003"/>
      <c r="O628" s="3003"/>
      <c r="P628" s="3003"/>
      <c r="Q628" s="3003"/>
      <c r="R628" s="3003"/>
      <c r="S628" s="3003"/>
      <c r="T628" s="3003"/>
      <c r="U628" s="3003"/>
      <c r="V628" s="3003"/>
      <c r="W628" s="3003"/>
      <c r="X628" s="3003"/>
      <c r="Y628" s="3003"/>
      <c r="Z628" s="3003"/>
      <c r="AA628" s="3003"/>
      <c r="AB628" s="3003"/>
      <c r="AC628" s="3003"/>
      <c r="AD628" s="3003"/>
      <c r="AE628" s="3003"/>
      <c r="AF628" s="3115" t="s">
        <v>1763</v>
      </c>
      <c r="AG628" s="3115"/>
      <c r="AH628" s="3115"/>
      <c r="AI628" s="3115"/>
      <c r="AJ628" s="3115"/>
      <c r="AK628" s="3115"/>
      <c r="AL628" s="3116"/>
      <c r="AM628" s="1136"/>
      <c r="AN628" s="1002"/>
      <c r="BS628" s="1136"/>
      <c r="BT628" s="1136"/>
      <c r="BY628" s="1136"/>
      <c r="BZ628" s="1136"/>
      <c r="CA628" s="1136"/>
      <c r="CB628" s="1136"/>
      <c r="CC628" s="1136"/>
    </row>
    <row r="629" spans="1:81" s="945" customFormat="1" ht="12.75" customHeight="1">
      <c r="A629" s="929"/>
      <c r="B629" s="51"/>
      <c r="C629" s="1194"/>
      <c r="D629" s="112"/>
      <c r="E629" s="1148"/>
      <c r="F629" s="3003"/>
      <c r="G629" s="3003"/>
      <c r="H629" s="3003"/>
      <c r="I629" s="3003"/>
      <c r="J629" s="3003"/>
      <c r="K629" s="3003"/>
      <c r="L629" s="3003"/>
      <c r="M629" s="3003"/>
      <c r="N629" s="3003"/>
      <c r="O629" s="3003"/>
      <c r="P629" s="3003"/>
      <c r="Q629" s="3003"/>
      <c r="R629" s="3003"/>
      <c r="S629" s="3003"/>
      <c r="T629" s="3003"/>
      <c r="U629" s="3003"/>
      <c r="V629" s="3003"/>
      <c r="W629" s="3003"/>
      <c r="X629" s="3003"/>
      <c r="Y629" s="3003"/>
      <c r="Z629" s="3003"/>
      <c r="AA629" s="3003"/>
      <c r="AB629" s="3003"/>
      <c r="AC629" s="3003"/>
      <c r="AD629" s="3003"/>
      <c r="AE629" s="300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0"/>
      <c r="G630" s="3110"/>
      <c r="H630" s="3110"/>
      <c r="I630" s="3110"/>
      <c r="J630" s="3110"/>
      <c r="K630" s="3110"/>
      <c r="L630" s="3110"/>
      <c r="M630" s="3110"/>
      <c r="N630" s="3110"/>
      <c r="O630" s="3110"/>
      <c r="P630" s="3110"/>
      <c r="Q630" s="3110"/>
      <c r="R630" s="3110"/>
      <c r="S630" s="3110"/>
      <c r="T630" s="3110"/>
      <c r="U630" s="3110"/>
      <c r="V630" s="3110"/>
      <c r="W630" s="3110"/>
      <c r="X630" s="3110"/>
      <c r="Y630" s="3110"/>
      <c r="Z630" s="3110"/>
      <c r="AA630" s="3110"/>
      <c r="AB630" s="3110"/>
      <c r="AC630" s="3110"/>
      <c r="AD630" s="3110"/>
      <c r="AE630" s="311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13" t="s">
        <v>1779</v>
      </c>
      <c r="G632" s="3113"/>
      <c r="H632" s="3113"/>
      <c r="I632" s="3113"/>
      <c r="J632" s="3113"/>
      <c r="K632" s="3113"/>
      <c r="L632" s="3113"/>
      <c r="M632" s="3113"/>
      <c r="N632" s="3113"/>
      <c r="O632" s="3113"/>
      <c r="P632" s="3113"/>
      <c r="Q632" s="3113"/>
      <c r="R632" s="3113"/>
      <c r="S632" s="3113"/>
      <c r="T632" s="3113"/>
      <c r="U632" s="3113"/>
      <c r="V632" s="3113"/>
      <c r="W632" s="3113"/>
      <c r="X632" s="3113"/>
      <c r="Y632" s="3113"/>
      <c r="Z632" s="3113"/>
      <c r="AA632" s="3113"/>
      <c r="AB632" s="3113"/>
      <c r="AC632" s="3113"/>
      <c r="AD632" s="3113"/>
      <c r="AE632" s="3113"/>
      <c r="AF632" s="1213"/>
      <c r="AG632" s="1213"/>
      <c r="AH632" s="1213"/>
      <c r="AI632" s="1213"/>
      <c r="AJ632" s="1213"/>
      <c r="AK632" s="1213"/>
      <c r="AL632" s="1214"/>
      <c r="AM632" s="1136"/>
    </row>
    <row r="633" spans="1:81">
      <c r="A633" s="929"/>
      <c r="C633" s="1194"/>
      <c r="D633" s="112"/>
      <c r="E633" s="1148"/>
      <c r="F633" s="3114"/>
      <c r="G633" s="3114"/>
      <c r="H633" s="3114"/>
      <c r="I633" s="3114"/>
      <c r="J633" s="3114"/>
      <c r="K633" s="3114"/>
      <c r="L633" s="3114"/>
      <c r="M633" s="3114"/>
      <c r="N633" s="3114"/>
      <c r="O633" s="3114"/>
      <c r="P633" s="3114"/>
      <c r="Q633" s="3114"/>
      <c r="R633" s="3114"/>
      <c r="S633" s="3114"/>
      <c r="T633" s="3114"/>
      <c r="U633" s="3114"/>
      <c r="V633" s="3114"/>
      <c r="W633" s="3114"/>
      <c r="X633" s="3114"/>
      <c r="Y633" s="3114"/>
      <c r="Z633" s="3114"/>
      <c r="AA633" s="3114"/>
      <c r="AB633" s="3114"/>
      <c r="AC633" s="3114"/>
      <c r="AD633" s="3114"/>
      <c r="AE633" s="3114"/>
      <c r="AF633" s="1215"/>
      <c r="AG633" s="993"/>
      <c r="AH633" s="1027"/>
      <c r="AI633" s="1027"/>
      <c r="AJ633" s="1027"/>
      <c r="AK633" s="1027"/>
      <c r="AL633" s="1195"/>
      <c r="AM633" s="1136"/>
    </row>
    <row r="634" spans="1:81" s="945" customFormat="1" ht="12.75" customHeight="1">
      <c r="A634" s="929"/>
      <c r="B634" s="51"/>
      <c r="C634" s="1194"/>
      <c r="D634" s="112"/>
      <c r="E634" s="1148"/>
      <c r="F634" s="3114"/>
      <c r="G634" s="3114"/>
      <c r="H634" s="3114"/>
      <c r="I634" s="3114"/>
      <c r="J634" s="3114"/>
      <c r="K634" s="3114"/>
      <c r="L634" s="3114"/>
      <c r="M634" s="3114"/>
      <c r="N634" s="3114"/>
      <c r="O634" s="3114"/>
      <c r="P634" s="3114"/>
      <c r="Q634" s="3114"/>
      <c r="R634" s="3114"/>
      <c r="S634" s="3114"/>
      <c r="T634" s="3114"/>
      <c r="U634" s="3114"/>
      <c r="V634" s="3114"/>
      <c r="W634" s="3114"/>
      <c r="X634" s="3114"/>
      <c r="Y634" s="3114"/>
      <c r="Z634" s="3114"/>
      <c r="AA634" s="3114"/>
      <c r="AB634" s="3114"/>
      <c r="AC634" s="3114"/>
      <c r="AD634" s="3114"/>
      <c r="AE634" s="3114"/>
      <c r="AF634" s="1027"/>
      <c r="AG634" s="1027"/>
      <c r="AH634" s="1027"/>
      <c r="AI634" s="1027"/>
      <c r="AJ634" s="1027"/>
      <c r="AK634" s="1027"/>
      <c r="AL634" s="1195"/>
      <c r="AM634" s="1136"/>
      <c r="AN634" s="1002"/>
    </row>
    <row r="635" spans="1:81" s="945" customFormat="1" ht="12.75" customHeight="1">
      <c r="A635" s="929"/>
      <c r="B635" s="51"/>
      <c r="C635" s="1203"/>
      <c r="D635" s="1027"/>
      <c r="E635" s="1027"/>
      <c r="F635" s="3114"/>
      <c r="G635" s="3114"/>
      <c r="H635" s="3114"/>
      <c r="I635" s="3114"/>
      <c r="J635" s="3114"/>
      <c r="K635" s="3114"/>
      <c r="L635" s="3114"/>
      <c r="M635" s="3114"/>
      <c r="N635" s="3114"/>
      <c r="O635" s="3114"/>
      <c r="P635" s="3114"/>
      <c r="Q635" s="3114"/>
      <c r="R635" s="3114"/>
      <c r="S635" s="3114"/>
      <c r="T635" s="3114"/>
      <c r="U635" s="3114"/>
      <c r="V635" s="3114"/>
      <c r="W635" s="3114"/>
      <c r="X635" s="3114"/>
      <c r="Y635" s="3114"/>
      <c r="Z635" s="3114"/>
      <c r="AA635" s="3114"/>
      <c r="AB635" s="3114"/>
      <c r="AC635" s="3114"/>
      <c r="AD635" s="3114"/>
      <c r="AE635" s="3114"/>
      <c r="AF635" s="1027"/>
      <c r="AG635" s="1027"/>
      <c r="AH635" s="1027"/>
      <c r="AI635" s="1027"/>
      <c r="AJ635" s="1027"/>
      <c r="AK635" s="1027"/>
      <c r="AL635" s="1195"/>
      <c r="AM635" s="1136"/>
      <c r="AN635" s="1002"/>
    </row>
    <row r="636" spans="1:81" s="945" customFormat="1" ht="12.75" customHeight="1">
      <c r="A636" s="929"/>
      <c r="B636" s="51"/>
      <c r="C636" s="3004" t="s">
        <v>627</v>
      </c>
      <c r="D636" s="3005"/>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5" t="s">
        <v>1763</v>
      </c>
      <c r="AG636" s="3115"/>
      <c r="AH636" s="3115"/>
      <c r="AI636" s="3115"/>
      <c r="AJ636" s="3115"/>
      <c r="AK636" s="3115"/>
      <c r="AL636" s="311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4" t="s">
        <v>627</v>
      </c>
      <c r="D638" s="3005"/>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5" t="s">
        <v>1775</v>
      </c>
      <c r="AG638" s="3115"/>
      <c r="AH638" s="3115"/>
      <c r="AI638" s="3115"/>
      <c r="AJ638" s="3115"/>
      <c r="AK638" s="3115"/>
      <c r="AL638" s="311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02" t="s">
        <v>1784</v>
      </c>
      <c r="G642" s="3002"/>
      <c r="H642" s="3002"/>
      <c r="I642" s="3002"/>
      <c r="J642" s="3002"/>
      <c r="K642" s="3002"/>
      <c r="L642" s="3002"/>
      <c r="M642" s="3002"/>
      <c r="N642" s="3002"/>
      <c r="O642" s="3002"/>
      <c r="P642" s="3002"/>
      <c r="Q642" s="3002"/>
      <c r="R642" s="3002"/>
      <c r="S642" s="3002"/>
      <c r="T642" s="3002"/>
      <c r="U642" s="3002"/>
      <c r="V642" s="3002"/>
      <c r="W642" s="3002"/>
      <c r="X642" s="3002"/>
      <c r="Y642" s="3002"/>
      <c r="Z642" s="3002"/>
      <c r="AA642" s="3002"/>
      <c r="AB642" s="3002"/>
      <c r="AC642" s="3002"/>
      <c r="AD642" s="3002"/>
      <c r="AE642" s="300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3"/>
      <c r="G643" s="3003"/>
      <c r="H643" s="3003"/>
      <c r="I643" s="3003"/>
      <c r="J643" s="3003"/>
      <c r="K643" s="3003"/>
      <c r="L643" s="3003"/>
      <c r="M643" s="3003"/>
      <c r="N643" s="3003"/>
      <c r="O643" s="3003"/>
      <c r="P643" s="3003"/>
      <c r="Q643" s="3003"/>
      <c r="R643" s="3003"/>
      <c r="S643" s="3003"/>
      <c r="T643" s="3003"/>
      <c r="U643" s="3003"/>
      <c r="V643" s="3003"/>
      <c r="W643" s="3003"/>
      <c r="X643" s="3003"/>
      <c r="Y643" s="3003"/>
      <c r="Z643" s="3003"/>
      <c r="AA643" s="3003"/>
      <c r="AB643" s="3003"/>
      <c r="AC643" s="3003"/>
      <c r="AD643" s="3003"/>
      <c r="AE643" s="3003"/>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03"/>
      <c r="G644" s="3003"/>
      <c r="H644" s="3003"/>
      <c r="I644" s="3003"/>
      <c r="J644" s="3003"/>
      <c r="K644" s="3003"/>
      <c r="L644" s="3003"/>
      <c r="M644" s="3003"/>
      <c r="N644" s="3003"/>
      <c r="O644" s="3003"/>
      <c r="P644" s="3003"/>
      <c r="Q644" s="3003"/>
      <c r="R644" s="3003"/>
      <c r="S644" s="3003"/>
      <c r="T644" s="3003"/>
      <c r="U644" s="3003"/>
      <c r="V644" s="3003"/>
      <c r="W644" s="3003"/>
      <c r="X644" s="3003"/>
      <c r="Y644" s="3003"/>
      <c r="Z644" s="3003"/>
      <c r="AA644" s="3003"/>
      <c r="AB644" s="3003"/>
      <c r="AC644" s="3003"/>
      <c r="AD644" s="3003"/>
      <c r="AE644" s="3003"/>
      <c r="AF644" s="1027"/>
      <c r="AG644" s="1027"/>
      <c r="AH644" s="1027"/>
      <c r="AI644" s="1027"/>
      <c r="AJ644" s="1027"/>
      <c r="AK644" s="1027"/>
      <c r="AL644" s="1195"/>
      <c r="AM644" s="1136"/>
      <c r="AN644" s="1002"/>
      <c r="AO644" s="1027"/>
      <c r="AP644" s="1027"/>
    </row>
    <row r="645" spans="1:60" s="945" customFormat="1" ht="12.75" customHeight="1">
      <c r="A645" s="929"/>
      <c r="B645" s="51"/>
      <c r="C645" s="3004" t="s">
        <v>627</v>
      </c>
      <c r="D645" s="3005"/>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5" t="s">
        <v>1763</v>
      </c>
      <c r="AG645" s="3115"/>
      <c r="AH645" s="3115"/>
      <c r="AI645" s="3115"/>
      <c r="AJ645" s="3115"/>
      <c r="AK645" s="3115"/>
      <c r="AL645" s="311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1786</v>
      </c>
      <c r="F648" s="3002" t="s">
        <v>1787</v>
      </c>
      <c r="G648" s="3002"/>
      <c r="H648" s="3002"/>
      <c r="I648" s="3002"/>
      <c r="J648" s="3002"/>
      <c r="K648" s="3002"/>
      <c r="L648" s="3002"/>
      <c r="M648" s="3002"/>
      <c r="N648" s="3002"/>
      <c r="O648" s="3002"/>
      <c r="P648" s="3002"/>
      <c r="Q648" s="3002"/>
      <c r="R648" s="3002"/>
      <c r="S648" s="3002"/>
      <c r="T648" s="3002"/>
      <c r="U648" s="3002"/>
      <c r="V648" s="3002"/>
      <c r="W648" s="3002"/>
      <c r="X648" s="3002"/>
      <c r="Y648" s="3002"/>
      <c r="Z648" s="3002"/>
      <c r="AA648" s="3002"/>
      <c r="AB648" s="3002"/>
      <c r="AC648" s="3002"/>
      <c r="AD648" s="3002"/>
      <c r="AE648" s="300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3"/>
      <c r="G649" s="3003"/>
      <c r="H649" s="3003"/>
      <c r="I649" s="3003"/>
      <c r="J649" s="3003"/>
      <c r="K649" s="3003"/>
      <c r="L649" s="3003"/>
      <c r="M649" s="3003"/>
      <c r="N649" s="3003"/>
      <c r="O649" s="3003"/>
      <c r="P649" s="3003"/>
      <c r="Q649" s="3003"/>
      <c r="R649" s="3003"/>
      <c r="S649" s="3003"/>
      <c r="T649" s="3003"/>
      <c r="U649" s="3003"/>
      <c r="V649" s="3003"/>
      <c r="W649" s="3003"/>
      <c r="X649" s="3003"/>
      <c r="Y649" s="3003"/>
      <c r="Z649" s="3003"/>
      <c r="AA649" s="3003"/>
      <c r="AB649" s="3003"/>
      <c r="AC649" s="3003"/>
      <c r="AD649" s="3003"/>
      <c r="AE649" s="300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3"/>
      <c r="G650" s="3003"/>
      <c r="H650" s="3003"/>
      <c r="I650" s="3003"/>
      <c r="J650" s="3003"/>
      <c r="K650" s="3003"/>
      <c r="L650" s="3003"/>
      <c r="M650" s="3003"/>
      <c r="N650" s="3003"/>
      <c r="O650" s="3003"/>
      <c r="P650" s="3003"/>
      <c r="Q650" s="3003"/>
      <c r="R650" s="3003"/>
      <c r="S650" s="3003"/>
      <c r="T650" s="3003"/>
      <c r="U650" s="3003"/>
      <c r="V650" s="3003"/>
      <c r="W650" s="3003"/>
      <c r="X650" s="3003"/>
      <c r="Y650" s="3003"/>
      <c r="Z650" s="3003"/>
      <c r="AA650" s="3003"/>
      <c r="AB650" s="3003"/>
      <c r="AC650" s="3003"/>
      <c r="AD650" s="3003"/>
      <c r="AE650" s="300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3"/>
      <c r="G651" s="3003"/>
      <c r="H651" s="3003"/>
      <c r="I651" s="3003"/>
      <c r="J651" s="3003"/>
      <c r="K651" s="3003"/>
      <c r="L651" s="3003"/>
      <c r="M651" s="3003"/>
      <c r="N651" s="3003"/>
      <c r="O651" s="3003"/>
      <c r="P651" s="3003"/>
      <c r="Q651" s="3003"/>
      <c r="R651" s="3003"/>
      <c r="S651" s="3003"/>
      <c r="T651" s="3003"/>
      <c r="U651" s="3003"/>
      <c r="V651" s="3003"/>
      <c r="W651" s="3003"/>
      <c r="X651" s="3003"/>
      <c r="Y651" s="3003"/>
      <c r="Z651" s="3003"/>
      <c r="AA651" s="3003"/>
      <c r="AB651" s="3003"/>
      <c r="AC651" s="3003"/>
      <c r="AD651" s="3003"/>
      <c r="AE651" s="300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3"/>
      <c r="G652" s="3003"/>
      <c r="H652" s="3003"/>
      <c r="I652" s="3003"/>
      <c r="J652" s="3003"/>
      <c r="K652" s="3003"/>
      <c r="L652" s="3003"/>
      <c r="M652" s="3003"/>
      <c r="N652" s="3003"/>
      <c r="O652" s="3003"/>
      <c r="P652" s="3003"/>
      <c r="Q652" s="3003"/>
      <c r="R652" s="3003"/>
      <c r="S652" s="3003"/>
      <c r="T652" s="3003"/>
      <c r="U652" s="3003"/>
      <c r="V652" s="3003"/>
      <c r="W652" s="3003"/>
      <c r="X652" s="3003"/>
      <c r="Y652" s="3003"/>
      <c r="Z652" s="3003"/>
      <c r="AA652" s="3003"/>
      <c r="AB652" s="3003"/>
      <c r="AC652" s="3003"/>
      <c r="AD652" s="3003"/>
      <c r="AE652" s="300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3"/>
      <c r="G653" s="3003"/>
      <c r="H653" s="3003"/>
      <c r="I653" s="3003"/>
      <c r="J653" s="3003"/>
      <c r="K653" s="3003"/>
      <c r="L653" s="3003"/>
      <c r="M653" s="3003"/>
      <c r="N653" s="3003"/>
      <c r="O653" s="3003"/>
      <c r="P653" s="3003"/>
      <c r="Q653" s="3003"/>
      <c r="R653" s="3003"/>
      <c r="S653" s="3003"/>
      <c r="T653" s="3003"/>
      <c r="U653" s="3003"/>
      <c r="V653" s="3003"/>
      <c r="W653" s="3003"/>
      <c r="X653" s="3003"/>
      <c r="Y653" s="3003"/>
      <c r="Z653" s="3003"/>
      <c r="AA653" s="3003"/>
      <c r="AB653" s="3003"/>
      <c r="AC653" s="3003"/>
      <c r="AD653" s="3003"/>
      <c r="AE653" s="3003"/>
      <c r="AF653" s="1226"/>
      <c r="AG653" s="1226"/>
      <c r="AH653" s="1226"/>
      <c r="AI653" s="1226"/>
      <c r="AJ653" s="1226"/>
      <c r="AK653" s="1226"/>
      <c r="AL653" s="1227"/>
      <c r="AM653" s="1136"/>
      <c r="AN653" s="1002"/>
    </row>
    <row r="654" spans="1:60" s="945" customFormat="1" ht="12.75" customHeight="1">
      <c r="A654" s="929"/>
      <c r="B654" s="51"/>
      <c r="C654" s="1228"/>
      <c r="D654" s="1193"/>
      <c r="E654" s="1180"/>
      <c r="F654" s="3003"/>
      <c r="G654" s="3003"/>
      <c r="H654" s="3003"/>
      <c r="I654" s="3003"/>
      <c r="J654" s="3003"/>
      <c r="K654" s="3003"/>
      <c r="L654" s="3003"/>
      <c r="M654" s="3003"/>
      <c r="N654" s="3003"/>
      <c r="O654" s="3003"/>
      <c r="P654" s="3003"/>
      <c r="Q654" s="3003"/>
      <c r="R654" s="3003"/>
      <c r="S654" s="3003"/>
      <c r="T654" s="3003"/>
      <c r="U654" s="3003"/>
      <c r="V654" s="3003"/>
      <c r="W654" s="3003"/>
      <c r="X654" s="3003"/>
      <c r="Y654" s="3003"/>
      <c r="Z654" s="3003"/>
      <c r="AA654" s="3003"/>
      <c r="AB654" s="3003"/>
      <c r="AC654" s="3003"/>
      <c r="AD654" s="3003"/>
      <c r="AE654" s="3003"/>
      <c r="AF654" s="1226"/>
      <c r="AG654" s="1226"/>
      <c r="AH654" s="1226"/>
      <c r="AI654" s="1226"/>
      <c r="AJ654" s="1226"/>
      <c r="AK654" s="1226"/>
      <c r="AL654" s="1227"/>
      <c r="AM654" s="1136"/>
      <c r="AN654" s="1002"/>
    </row>
    <row r="655" spans="1:60" s="945" customFormat="1" ht="12.75" customHeight="1">
      <c r="A655" s="929"/>
      <c r="B655" s="51"/>
      <c r="C655" s="1228"/>
      <c r="D655" s="1193"/>
      <c r="E655" s="1180"/>
      <c r="F655" s="3003"/>
      <c r="G655" s="3003"/>
      <c r="H655" s="3003"/>
      <c r="I655" s="3003"/>
      <c r="J655" s="3003"/>
      <c r="K655" s="3003"/>
      <c r="L655" s="3003"/>
      <c r="M655" s="3003"/>
      <c r="N655" s="3003"/>
      <c r="O655" s="3003"/>
      <c r="P655" s="3003"/>
      <c r="Q655" s="3003"/>
      <c r="R655" s="3003"/>
      <c r="S655" s="3003"/>
      <c r="T655" s="3003"/>
      <c r="U655" s="3003"/>
      <c r="V655" s="3003"/>
      <c r="W655" s="3003"/>
      <c r="X655" s="3003"/>
      <c r="Y655" s="3003"/>
      <c r="Z655" s="3003"/>
      <c r="AA655" s="3003"/>
      <c r="AB655" s="3003"/>
      <c r="AC655" s="3003"/>
      <c r="AD655" s="3003"/>
      <c r="AE655" s="3003"/>
      <c r="AF655" s="1226"/>
      <c r="AG655" s="1226"/>
      <c r="AH655" s="1226"/>
      <c r="AI655" s="1226"/>
      <c r="AJ655" s="1226"/>
      <c r="AK655" s="1226"/>
      <c r="AL655" s="1227"/>
      <c r="AM655" s="1136"/>
      <c r="AN655" s="1002"/>
    </row>
    <row r="656" spans="1:60" s="945" customFormat="1" ht="17.25" customHeight="1">
      <c r="A656" s="929"/>
      <c r="B656" s="51"/>
      <c r="C656" s="1228"/>
      <c r="D656" s="1193"/>
      <c r="E656" s="1180"/>
      <c r="F656" s="3003"/>
      <c r="G656" s="3003"/>
      <c r="H656" s="3003"/>
      <c r="I656" s="3003"/>
      <c r="J656" s="3003"/>
      <c r="K656" s="3003"/>
      <c r="L656" s="3003"/>
      <c r="M656" s="3003"/>
      <c r="N656" s="3003"/>
      <c r="O656" s="3003"/>
      <c r="P656" s="3003"/>
      <c r="Q656" s="3003"/>
      <c r="R656" s="3003"/>
      <c r="S656" s="3003"/>
      <c r="T656" s="3003"/>
      <c r="U656" s="3003"/>
      <c r="V656" s="3003"/>
      <c r="W656" s="3003"/>
      <c r="X656" s="3003"/>
      <c r="Y656" s="3003"/>
      <c r="Z656" s="3003"/>
      <c r="AA656" s="3003"/>
      <c r="AB656" s="3003"/>
      <c r="AC656" s="3003"/>
      <c r="AD656" s="3003"/>
      <c r="AE656" s="3003"/>
      <c r="AF656" s="1027"/>
      <c r="AG656" s="1027"/>
      <c r="AH656" s="1027"/>
      <c r="AI656" s="1027"/>
      <c r="AJ656" s="1027"/>
      <c r="AK656" s="1027"/>
      <c r="AL656" s="1195"/>
      <c r="AM656" s="1136"/>
      <c r="AN656" s="1002"/>
    </row>
    <row r="657" spans="1:54" s="945" customFormat="1" ht="12.75" customHeight="1">
      <c r="A657" s="929"/>
      <c r="B657" s="51"/>
      <c r="C657" s="3004" t="s">
        <v>627</v>
      </c>
      <c r="D657" s="3005"/>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5" t="s">
        <v>1763</v>
      </c>
      <c r="AG657" s="3115"/>
      <c r="AH657" s="3115"/>
      <c r="AI657" s="3115"/>
      <c r="AJ657" s="3115"/>
      <c r="AK657" s="3115"/>
      <c r="AL657" s="311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02" t="s">
        <v>1790</v>
      </c>
      <c r="G660" s="3002"/>
      <c r="H660" s="3002"/>
      <c r="I660" s="3002"/>
      <c r="J660" s="3002"/>
      <c r="K660" s="3002"/>
      <c r="L660" s="3002"/>
      <c r="M660" s="3002"/>
      <c r="N660" s="3002"/>
      <c r="O660" s="3002"/>
      <c r="P660" s="3002"/>
      <c r="Q660" s="3002"/>
      <c r="R660" s="3002"/>
      <c r="S660" s="3002"/>
      <c r="T660" s="3002"/>
      <c r="U660" s="3002"/>
      <c r="V660" s="3002"/>
      <c r="W660" s="3002"/>
      <c r="X660" s="3002"/>
      <c r="Y660" s="3002"/>
      <c r="Z660" s="3002"/>
      <c r="AA660" s="3002"/>
      <c r="AB660" s="3002"/>
      <c r="AC660" s="3002"/>
      <c r="AD660" s="3002"/>
      <c r="AE660" s="300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3"/>
      <c r="G661" s="3003"/>
      <c r="H661" s="3003"/>
      <c r="I661" s="3003"/>
      <c r="J661" s="3003"/>
      <c r="K661" s="3003"/>
      <c r="L661" s="3003"/>
      <c r="M661" s="3003"/>
      <c r="N661" s="3003"/>
      <c r="O661" s="3003"/>
      <c r="P661" s="3003"/>
      <c r="Q661" s="3003"/>
      <c r="R661" s="3003"/>
      <c r="S661" s="3003"/>
      <c r="T661" s="3003"/>
      <c r="U661" s="3003"/>
      <c r="V661" s="3003"/>
      <c r="W661" s="3003"/>
      <c r="X661" s="3003"/>
      <c r="Y661" s="3003"/>
      <c r="Z661" s="3003"/>
      <c r="AA661" s="3003"/>
      <c r="AB661" s="3003"/>
      <c r="AC661" s="3003"/>
      <c r="AD661" s="3003"/>
      <c r="AE661" s="3003"/>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03"/>
      <c r="G662" s="3003"/>
      <c r="H662" s="3003"/>
      <c r="I662" s="3003"/>
      <c r="J662" s="3003"/>
      <c r="K662" s="3003"/>
      <c r="L662" s="3003"/>
      <c r="M662" s="3003"/>
      <c r="N662" s="3003"/>
      <c r="O662" s="3003"/>
      <c r="P662" s="3003"/>
      <c r="Q662" s="3003"/>
      <c r="R662" s="3003"/>
      <c r="S662" s="3003"/>
      <c r="T662" s="3003"/>
      <c r="U662" s="3003"/>
      <c r="V662" s="3003"/>
      <c r="W662" s="3003"/>
      <c r="X662" s="3003"/>
      <c r="Y662" s="3003"/>
      <c r="Z662" s="3003"/>
      <c r="AA662" s="3003"/>
      <c r="AB662" s="3003"/>
      <c r="AC662" s="3003"/>
      <c r="AD662" s="3003"/>
      <c r="AE662" s="3003"/>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03"/>
      <c r="G663" s="3003"/>
      <c r="H663" s="3003"/>
      <c r="I663" s="3003"/>
      <c r="J663" s="3003"/>
      <c r="K663" s="3003"/>
      <c r="L663" s="3003"/>
      <c r="M663" s="3003"/>
      <c r="N663" s="3003"/>
      <c r="O663" s="3003"/>
      <c r="P663" s="3003"/>
      <c r="Q663" s="3003"/>
      <c r="R663" s="3003"/>
      <c r="S663" s="3003"/>
      <c r="T663" s="3003"/>
      <c r="U663" s="3003"/>
      <c r="V663" s="3003"/>
      <c r="W663" s="3003"/>
      <c r="X663" s="3003"/>
      <c r="Y663" s="3003"/>
      <c r="Z663" s="3003"/>
      <c r="AA663" s="3003"/>
      <c r="AB663" s="3003"/>
      <c r="AC663" s="3003"/>
      <c r="AD663" s="3003"/>
      <c r="AE663" s="3003"/>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04" t="s">
        <v>627</v>
      </c>
      <c r="D664" s="3005"/>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5" t="s">
        <v>1763</v>
      </c>
      <c r="AG664" s="3115"/>
      <c r="AH664" s="3115"/>
      <c r="AI664" s="3115"/>
      <c r="AJ664" s="3115"/>
      <c r="AK664" s="3115"/>
      <c r="AL664" s="3116"/>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17" t="s">
        <v>627</v>
      </c>
      <c r="D668" s="3118"/>
      <c r="E668" s="1176" t="s">
        <v>1799</v>
      </c>
      <c r="F668" s="3002" t="s">
        <v>1800</v>
      </c>
      <c r="G668" s="3002"/>
      <c r="H668" s="3002"/>
      <c r="I668" s="3002"/>
      <c r="J668" s="3002"/>
      <c r="K668" s="3002"/>
      <c r="L668" s="3002"/>
      <c r="M668" s="3002"/>
      <c r="N668" s="3002"/>
      <c r="O668" s="3002"/>
      <c r="P668" s="3002"/>
      <c r="Q668" s="3002"/>
      <c r="R668" s="3002"/>
      <c r="S668" s="3002"/>
      <c r="T668" s="3002"/>
      <c r="U668" s="3002"/>
      <c r="V668" s="3002"/>
      <c r="W668" s="3002"/>
      <c r="X668" s="3002"/>
      <c r="Y668" s="3002"/>
      <c r="Z668" s="3002"/>
      <c r="AA668" s="3002"/>
      <c r="AB668" s="3002"/>
      <c r="AC668" s="3002"/>
      <c r="AD668" s="3002"/>
      <c r="AE668" s="3002"/>
      <c r="AF668" s="3111" t="s">
        <v>1763</v>
      </c>
      <c r="AG668" s="3111"/>
      <c r="AH668" s="3111"/>
      <c r="AI668" s="3111"/>
      <c r="AJ668" s="3111"/>
      <c r="AK668" s="3111"/>
      <c r="AL668" s="3112"/>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3"/>
      <c r="G669" s="3003"/>
      <c r="H669" s="3003"/>
      <c r="I669" s="3003"/>
      <c r="J669" s="3003"/>
      <c r="K669" s="3003"/>
      <c r="L669" s="3003"/>
      <c r="M669" s="3003"/>
      <c r="N669" s="3003"/>
      <c r="O669" s="3003"/>
      <c r="P669" s="3003"/>
      <c r="Q669" s="3003"/>
      <c r="R669" s="3003"/>
      <c r="S669" s="3003"/>
      <c r="T669" s="3003"/>
      <c r="U669" s="3003"/>
      <c r="V669" s="3003"/>
      <c r="W669" s="3003"/>
      <c r="X669" s="3003"/>
      <c r="Y669" s="3003"/>
      <c r="Z669" s="3003"/>
      <c r="AA669" s="3003"/>
      <c r="AB669" s="3003"/>
      <c r="AC669" s="3003"/>
      <c r="AD669" s="3003"/>
      <c r="AE669" s="3003"/>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850000000000001" customHeight="1">
      <c r="A670" s="929"/>
      <c r="B670" s="51"/>
      <c r="C670" s="1238"/>
      <c r="D670" s="1186"/>
      <c r="E670" s="1187"/>
      <c r="F670" s="3110"/>
      <c r="G670" s="3110"/>
      <c r="H670" s="3110"/>
      <c r="I670" s="3110"/>
      <c r="J670" s="3110"/>
      <c r="K670" s="3110"/>
      <c r="L670" s="3110"/>
      <c r="M670" s="3110"/>
      <c r="N670" s="3110"/>
      <c r="O670" s="3110"/>
      <c r="P670" s="3110"/>
      <c r="Q670" s="3110"/>
      <c r="R670" s="3110"/>
      <c r="S670" s="3110"/>
      <c r="T670" s="3110"/>
      <c r="U670" s="3110"/>
      <c r="V670" s="3110"/>
      <c r="W670" s="3110"/>
      <c r="X670" s="3110"/>
      <c r="Y670" s="3110"/>
      <c r="Z670" s="3110"/>
      <c r="AA670" s="3110"/>
      <c r="AB670" s="3110"/>
      <c r="AC670" s="3110"/>
      <c r="AD670" s="3110"/>
      <c r="AE670" s="311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04" t="s">
        <v>627</v>
      </c>
      <c r="D672" s="3005"/>
      <c r="E672" s="1176" t="s">
        <v>1805</v>
      </c>
      <c r="F672" s="3002" t="s">
        <v>1806</v>
      </c>
      <c r="G672" s="3002"/>
      <c r="H672" s="3002"/>
      <c r="I672" s="3002"/>
      <c r="J672" s="3002"/>
      <c r="K672" s="3002"/>
      <c r="L672" s="3002"/>
      <c r="M672" s="3002"/>
      <c r="N672" s="3002"/>
      <c r="O672" s="3002"/>
      <c r="P672" s="3002"/>
      <c r="Q672" s="3002"/>
      <c r="R672" s="3002"/>
      <c r="S672" s="3002"/>
      <c r="T672" s="3002"/>
      <c r="U672" s="3002"/>
      <c r="V672" s="3002"/>
      <c r="W672" s="3002"/>
      <c r="X672" s="3002"/>
      <c r="Y672" s="3002"/>
      <c r="Z672" s="3002"/>
      <c r="AA672" s="3002"/>
      <c r="AB672" s="3002"/>
      <c r="AC672" s="3002"/>
      <c r="AD672" s="3002"/>
      <c r="AE672" s="3002"/>
      <c r="AF672" s="3111" t="s">
        <v>1763</v>
      </c>
      <c r="AG672" s="3111"/>
      <c r="AH672" s="3111"/>
      <c r="AI672" s="3111"/>
      <c r="AJ672" s="3111"/>
      <c r="AK672" s="3111"/>
      <c r="AL672" s="3112"/>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03"/>
      <c r="G673" s="3003"/>
      <c r="H673" s="3003"/>
      <c r="I673" s="3003"/>
      <c r="J673" s="3003"/>
      <c r="K673" s="3003"/>
      <c r="L673" s="3003"/>
      <c r="M673" s="3003"/>
      <c r="N673" s="3003"/>
      <c r="O673" s="3003"/>
      <c r="P673" s="3003"/>
      <c r="Q673" s="3003"/>
      <c r="R673" s="3003"/>
      <c r="S673" s="3003"/>
      <c r="T673" s="3003"/>
      <c r="U673" s="3003"/>
      <c r="V673" s="3003"/>
      <c r="W673" s="3003"/>
      <c r="X673" s="3003"/>
      <c r="Y673" s="3003"/>
      <c r="Z673" s="3003"/>
      <c r="AA673" s="3003"/>
      <c r="AB673" s="3003"/>
      <c r="AC673" s="3003"/>
      <c r="AD673" s="3003"/>
      <c r="AE673" s="300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3"/>
      <c r="G674" s="3003"/>
      <c r="H674" s="3003"/>
      <c r="I674" s="3003"/>
      <c r="J674" s="3003"/>
      <c r="K674" s="3003"/>
      <c r="L674" s="3003"/>
      <c r="M674" s="3003"/>
      <c r="N674" s="3003"/>
      <c r="O674" s="3003"/>
      <c r="P674" s="3003"/>
      <c r="Q674" s="3003"/>
      <c r="R674" s="3003"/>
      <c r="S674" s="3003"/>
      <c r="T674" s="3003"/>
      <c r="U674" s="3003"/>
      <c r="V674" s="3003"/>
      <c r="W674" s="3003"/>
      <c r="X674" s="3003"/>
      <c r="Y674" s="3003"/>
      <c r="Z674" s="3003"/>
      <c r="AA674" s="3003"/>
      <c r="AB674" s="3003"/>
      <c r="AC674" s="3003"/>
      <c r="AD674" s="3003"/>
      <c r="AE674" s="3003"/>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0"/>
      <c r="G675" s="3110"/>
      <c r="H675" s="3110"/>
      <c r="I675" s="3110"/>
      <c r="J675" s="3110"/>
      <c r="K675" s="3110"/>
      <c r="L675" s="3110"/>
      <c r="M675" s="3110"/>
      <c r="N675" s="3110"/>
      <c r="O675" s="3110"/>
      <c r="P675" s="3110"/>
      <c r="Q675" s="3110"/>
      <c r="R675" s="3110"/>
      <c r="S675" s="3110"/>
      <c r="T675" s="3110"/>
      <c r="U675" s="3110"/>
      <c r="V675" s="3110"/>
      <c r="W675" s="3110"/>
      <c r="X675" s="3110"/>
      <c r="Y675" s="3110"/>
      <c r="Z675" s="3110"/>
      <c r="AA675" s="3110"/>
      <c r="AB675" s="3110"/>
      <c r="AC675" s="3110"/>
      <c r="AD675" s="3110"/>
      <c r="AE675" s="311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13" t="s">
        <v>1809</v>
      </c>
      <c r="G677" s="3113"/>
      <c r="H677" s="3113"/>
      <c r="I677" s="3113"/>
      <c r="J677" s="3113"/>
      <c r="K677" s="3113"/>
      <c r="L677" s="3113"/>
      <c r="M677" s="3113"/>
      <c r="N677" s="3113"/>
      <c r="O677" s="3113"/>
      <c r="P677" s="3113"/>
      <c r="Q677" s="3113"/>
      <c r="R677" s="3113"/>
      <c r="S677" s="3113"/>
      <c r="T677" s="3113"/>
      <c r="U677" s="3113"/>
      <c r="V677" s="3113"/>
      <c r="W677" s="3113"/>
      <c r="X677" s="3113"/>
      <c r="Y677" s="3113"/>
      <c r="Z677" s="3113"/>
      <c r="AA677" s="3113"/>
      <c r="AB677" s="3113"/>
      <c r="AC677" s="3113"/>
      <c r="AD677" s="3113"/>
      <c r="AE677" s="3113"/>
      <c r="AF677" s="3113"/>
      <c r="AG677" s="1210"/>
      <c r="AH677" s="1175"/>
      <c r="AI677" s="1175"/>
      <c r="AJ677" s="1175"/>
      <c r="AK677" s="1175"/>
      <c r="AL677" s="1211"/>
      <c r="AM677" s="1136"/>
      <c r="AN677" s="1002"/>
    </row>
    <row r="678" spans="1:54" s="945" customFormat="1" ht="12.75" customHeight="1">
      <c r="A678" s="929"/>
      <c r="B678" s="51"/>
      <c r="C678" s="1194"/>
      <c r="D678" s="112"/>
      <c r="E678" s="1148"/>
      <c r="F678" s="3114"/>
      <c r="G678" s="3114"/>
      <c r="H678" s="3114"/>
      <c r="I678" s="3114"/>
      <c r="J678" s="3114"/>
      <c r="K678" s="3114"/>
      <c r="L678" s="3114"/>
      <c r="M678" s="3114"/>
      <c r="N678" s="3114"/>
      <c r="O678" s="3114"/>
      <c r="P678" s="3114"/>
      <c r="Q678" s="3114"/>
      <c r="R678" s="3114"/>
      <c r="S678" s="3114"/>
      <c r="T678" s="3114"/>
      <c r="U678" s="3114"/>
      <c r="V678" s="3114"/>
      <c r="W678" s="3114"/>
      <c r="X678" s="3114"/>
      <c r="Y678" s="3114"/>
      <c r="Z678" s="3114"/>
      <c r="AA678" s="3114"/>
      <c r="AB678" s="3114"/>
      <c r="AC678" s="3114"/>
      <c r="AD678" s="3114"/>
      <c r="AE678" s="3114"/>
      <c r="AF678" s="3114"/>
      <c r="AG678" s="1027"/>
      <c r="AH678" s="1027"/>
      <c r="AI678" s="1027"/>
      <c r="AJ678" s="1027"/>
      <c r="AK678" s="1027"/>
      <c r="AL678" s="1195"/>
      <c r="AM678" s="1136"/>
      <c r="AN678" s="1002"/>
    </row>
    <row r="679" spans="1:54" s="945" customFormat="1" ht="12.75" customHeight="1">
      <c r="A679" s="929"/>
      <c r="B679" s="51"/>
      <c r="C679" s="1203"/>
      <c r="D679" s="1027"/>
      <c r="E679" s="1027"/>
      <c r="F679" s="3114"/>
      <c r="G679" s="3114"/>
      <c r="H679" s="3114"/>
      <c r="I679" s="3114"/>
      <c r="J679" s="3114"/>
      <c r="K679" s="3114"/>
      <c r="L679" s="3114"/>
      <c r="M679" s="3114"/>
      <c r="N679" s="3114"/>
      <c r="O679" s="3114"/>
      <c r="P679" s="3114"/>
      <c r="Q679" s="3114"/>
      <c r="R679" s="3114"/>
      <c r="S679" s="3114"/>
      <c r="T679" s="3114"/>
      <c r="U679" s="3114"/>
      <c r="V679" s="3114"/>
      <c r="W679" s="3114"/>
      <c r="X679" s="3114"/>
      <c r="Y679" s="3114"/>
      <c r="Z679" s="3114"/>
      <c r="AA679" s="3114"/>
      <c r="AB679" s="3114"/>
      <c r="AC679" s="3114"/>
      <c r="AD679" s="3114"/>
      <c r="AE679" s="3114"/>
      <c r="AF679" s="3114"/>
      <c r="AG679" s="1027"/>
      <c r="AH679" s="1027"/>
      <c r="AI679" s="1027"/>
      <c r="AJ679" s="1027"/>
      <c r="AK679" s="1027"/>
      <c r="AL679" s="1195"/>
      <c r="AM679" s="1136"/>
      <c r="AN679" s="1002"/>
    </row>
    <row r="680" spans="1:54" s="945" customFormat="1" ht="12.75" customHeight="1">
      <c r="A680" s="929"/>
      <c r="B680" s="51"/>
      <c r="C680" s="1203"/>
      <c r="D680" s="1027"/>
      <c r="E680" s="1027"/>
      <c r="F680" s="3114"/>
      <c r="G680" s="3114"/>
      <c r="H680" s="3114"/>
      <c r="I680" s="3114"/>
      <c r="J680" s="3114"/>
      <c r="K680" s="3114"/>
      <c r="L680" s="3114"/>
      <c r="M680" s="3114"/>
      <c r="N680" s="3114"/>
      <c r="O680" s="3114"/>
      <c r="P680" s="3114"/>
      <c r="Q680" s="3114"/>
      <c r="R680" s="3114"/>
      <c r="S680" s="3114"/>
      <c r="T680" s="3114"/>
      <c r="U680" s="3114"/>
      <c r="V680" s="3114"/>
      <c r="W680" s="3114"/>
      <c r="X680" s="3114"/>
      <c r="Y680" s="3114"/>
      <c r="Z680" s="3114"/>
      <c r="AA680" s="3114"/>
      <c r="AB680" s="3114"/>
      <c r="AC680" s="3114"/>
      <c r="AD680" s="3114"/>
      <c r="AE680" s="3114"/>
      <c r="AF680" s="3114"/>
      <c r="AG680" s="1027"/>
      <c r="AH680" s="1027"/>
      <c r="AI680" s="1027"/>
      <c r="AJ680" s="1027"/>
      <c r="AK680" s="1027"/>
      <c r="AL680" s="1195"/>
      <c r="AM680" s="1136"/>
      <c r="AN680" s="1002"/>
    </row>
    <row r="681" spans="1:54" s="945" customFormat="1" ht="12.75" customHeight="1">
      <c r="A681" s="929"/>
      <c r="B681" s="51"/>
      <c r="C681" s="3004" t="s">
        <v>627</v>
      </c>
      <c r="D681" s="3005"/>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6" t="s">
        <v>1763</v>
      </c>
      <c r="AG681" s="3006"/>
      <c r="AH681" s="3006"/>
      <c r="AI681" s="3006"/>
      <c r="AJ681" s="3006"/>
      <c r="AK681" s="3006"/>
      <c r="AL681" s="300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09">
        <f>IF(AS575=0,AS573,AS575)</f>
        <v>10</v>
      </c>
      <c r="AL684" s="3031"/>
      <c r="AM684" s="301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6" t="s">
        <v>1813</v>
      </c>
      <c r="AF687" s="3066"/>
      <c r="AG687" s="3066"/>
      <c r="AH687" s="3066"/>
      <c r="AI687" s="3066"/>
      <c r="AJ687" s="3066"/>
      <c r="AK687" s="3066"/>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092" t="s">
        <v>627</v>
      </c>
      <c r="D693" s="3093"/>
      <c r="E693" s="1250" t="s">
        <v>541</v>
      </c>
      <c r="F693" s="3101" t="s">
        <v>1819</v>
      </c>
      <c r="G693" s="3101"/>
      <c r="H693" s="3101"/>
      <c r="I693" s="3101"/>
      <c r="J693" s="3101"/>
      <c r="K693" s="3101"/>
      <c r="L693" s="3101"/>
      <c r="M693" s="3101"/>
      <c r="N693" s="3101"/>
      <c r="O693" s="3101"/>
      <c r="P693" s="3101"/>
      <c r="Q693" s="3101"/>
      <c r="R693" s="3101"/>
      <c r="S693" s="3101"/>
      <c r="T693" s="3101"/>
      <c r="U693" s="3101"/>
      <c r="V693" s="3101"/>
      <c r="W693" s="3101"/>
      <c r="X693" s="3101"/>
      <c r="Y693" s="3101"/>
      <c r="Z693" s="3101"/>
      <c r="AA693" s="3101"/>
      <c r="AB693" s="3101"/>
      <c r="AC693" s="3101"/>
      <c r="AD693" s="3101"/>
      <c r="AE693" s="3101"/>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02"/>
      <c r="G694" s="3102"/>
      <c r="H694" s="3102"/>
      <c r="I694" s="3102"/>
      <c r="J694" s="3102"/>
      <c r="K694" s="3102"/>
      <c r="L694" s="3102"/>
      <c r="M694" s="3102"/>
      <c r="N694" s="3102"/>
      <c r="O694" s="3102"/>
      <c r="P694" s="3102"/>
      <c r="Q694" s="3102"/>
      <c r="R694" s="3102"/>
      <c r="S694" s="3102"/>
      <c r="T694" s="3102"/>
      <c r="U694" s="3102"/>
      <c r="V694" s="3102"/>
      <c r="W694" s="3102"/>
      <c r="X694" s="3102"/>
      <c r="Y694" s="3102"/>
      <c r="Z694" s="3102"/>
      <c r="AA694" s="3102"/>
      <c r="AB694" s="3102"/>
      <c r="AC694" s="3102"/>
      <c r="AD694" s="3102"/>
      <c r="AE694" s="3102"/>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07" t="s">
        <v>627</v>
      </c>
      <c r="G695" s="3107"/>
      <c r="H695" s="3107"/>
      <c r="I695" s="3107"/>
      <c r="J695" s="3107"/>
      <c r="K695" s="3107"/>
      <c r="L695" s="3107"/>
      <c r="M695" s="3107"/>
      <c r="N695" s="3107"/>
      <c r="O695" s="3107"/>
      <c r="P695" s="3107"/>
      <c r="Q695" s="3107"/>
      <c r="R695" s="3107"/>
      <c r="S695" s="3107"/>
      <c r="T695" s="3107"/>
      <c r="U695" s="3107"/>
      <c r="V695" s="3107"/>
      <c r="W695" s="3107"/>
      <c r="X695" s="3107"/>
      <c r="Y695" s="3107"/>
      <c r="Z695" s="3107"/>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08" t="s">
        <v>579</v>
      </c>
      <c r="D697" s="3109"/>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2997" t="s">
        <v>627</v>
      </c>
      <c r="W700" s="2997"/>
      <c r="X700" s="2997"/>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2997" t="s">
        <v>627</v>
      </c>
      <c r="W702" s="2997"/>
      <c r="X702" s="2997"/>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2997" t="s">
        <v>627</v>
      </c>
      <c r="W707" s="2997"/>
      <c r="X707" s="2997"/>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095"/>
      <c r="E710" s="3095"/>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2997" t="s">
        <v>627</v>
      </c>
      <c r="W711" s="2997"/>
      <c r="X711" s="2997"/>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2997" t="s">
        <v>627</v>
      </c>
      <c r="W713" s="2997"/>
      <c r="X713" s="2997"/>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2" t="s">
        <v>627</v>
      </c>
      <c r="D716" s="3093"/>
      <c r="E716" s="1250" t="s">
        <v>541</v>
      </c>
      <c r="F716" s="3101" t="s">
        <v>1819</v>
      </c>
      <c r="G716" s="3101"/>
      <c r="H716" s="3101"/>
      <c r="I716" s="3101"/>
      <c r="J716" s="3101"/>
      <c r="K716" s="3101"/>
      <c r="L716" s="3101"/>
      <c r="M716" s="3101"/>
      <c r="N716" s="3101"/>
      <c r="O716" s="3101"/>
      <c r="P716" s="3101"/>
      <c r="Q716" s="3101"/>
      <c r="R716" s="3101"/>
      <c r="S716" s="3101"/>
      <c r="T716" s="3101"/>
      <c r="U716" s="3101"/>
      <c r="V716" s="3101"/>
      <c r="W716" s="3101"/>
      <c r="X716" s="3101"/>
      <c r="Y716" s="3101"/>
      <c r="Z716" s="3101"/>
      <c r="AA716" s="3101"/>
      <c r="AB716" s="3101"/>
      <c r="AC716" s="3101"/>
      <c r="AD716" s="3101"/>
      <c r="AE716" s="310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2"/>
      <c r="G717" s="3102"/>
      <c r="H717" s="3102"/>
      <c r="I717" s="3102"/>
      <c r="J717" s="3102"/>
      <c r="K717" s="3102"/>
      <c r="L717" s="3102"/>
      <c r="M717" s="3102"/>
      <c r="N717" s="3102"/>
      <c r="O717" s="3102"/>
      <c r="P717" s="3102"/>
      <c r="Q717" s="3102"/>
      <c r="R717" s="3102"/>
      <c r="S717" s="3102"/>
      <c r="T717" s="3102"/>
      <c r="U717" s="3102"/>
      <c r="V717" s="3102"/>
      <c r="W717" s="3102"/>
      <c r="X717" s="3102"/>
      <c r="Y717" s="3102"/>
      <c r="Z717" s="3102"/>
      <c r="AA717" s="3102"/>
      <c r="AB717" s="3102"/>
      <c r="AC717" s="3102"/>
      <c r="AD717" s="3102"/>
      <c r="AE717" s="310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3" t="s">
        <v>627</v>
      </c>
      <c r="G718" s="3103"/>
      <c r="H718" s="3103"/>
      <c r="I718" s="3103"/>
      <c r="J718" s="3103"/>
      <c r="K718" s="3103"/>
      <c r="L718" s="3103"/>
      <c r="M718" s="3103"/>
      <c r="N718" s="3103"/>
      <c r="O718" s="3103"/>
      <c r="P718" s="3103"/>
      <c r="Q718" s="3103"/>
      <c r="R718" s="3103"/>
      <c r="S718" s="3103"/>
      <c r="T718" s="3103"/>
      <c r="U718" s="3103"/>
      <c r="V718" s="3103"/>
      <c r="W718" s="3103"/>
      <c r="X718" s="3103"/>
      <c r="Y718" s="3103"/>
      <c r="Z718" s="3103"/>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2" t="s">
        <v>627</v>
      </c>
      <c r="D720" s="3093"/>
      <c r="E720" s="1250" t="s">
        <v>801</v>
      </c>
      <c r="F720" s="3104" t="s">
        <v>1841</v>
      </c>
      <c r="G720" s="3104"/>
      <c r="H720" s="3104"/>
      <c r="I720" s="3104"/>
      <c r="J720" s="3104"/>
      <c r="K720" s="3104"/>
      <c r="L720" s="3104"/>
      <c r="M720" s="3104"/>
      <c r="N720" s="3104"/>
      <c r="O720" s="3104"/>
      <c r="P720" s="3104"/>
      <c r="Q720" s="3104"/>
      <c r="R720" s="3104"/>
      <c r="S720" s="3104"/>
      <c r="T720" s="3104"/>
      <c r="U720" s="3104"/>
      <c r="V720" s="3104"/>
      <c r="W720" s="3104"/>
      <c r="X720" s="3104"/>
      <c r="Y720" s="3104"/>
      <c r="Z720" s="3104"/>
      <c r="AA720" s="3104"/>
      <c r="AB720" s="3104"/>
      <c r="AC720" s="3104"/>
      <c r="AD720" s="3104"/>
      <c r="AE720" s="310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5"/>
      <c r="G721" s="3105"/>
      <c r="H721" s="3105"/>
      <c r="I721" s="3105"/>
      <c r="J721" s="3105"/>
      <c r="K721" s="3105"/>
      <c r="L721" s="3105"/>
      <c r="M721" s="3105"/>
      <c r="N721" s="3105"/>
      <c r="O721" s="3105"/>
      <c r="P721" s="3105"/>
      <c r="Q721" s="3105"/>
      <c r="R721" s="3105"/>
      <c r="S721" s="3105"/>
      <c r="T721" s="3105"/>
      <c r="U721" s="3105"/>
      <c r="V721" s="3105"/>
      <c r="W721" s="3105"/>
      <c r="X721" s="3105"/>
      <c r="Y721" s="3105"/>
      <c r="Z721" s="3105"/>
      <c r="AA721" s="3105"/>
      <c r="AB721" s="3105"/>
      <c r="AC721" s="3105"/>
      <c r="AD721" s="3105"/>
      <c r="AE721" s="310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06" t="s">
        <v>627</v>
      </c>
      <c r="G723" s="3106"/>
      <c r="H723" s="310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092" t="s">
        <v>627</v>
      </c>
      <c r="D725" s="3093"/>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094"/>
      <c r="D727" s="3095"/>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096" t="s">
        <v>627</v>
      </c>
      <c r="H728" s="3096"/>
      <c r="I728" s="3096"/>
      <c r="J728" s="3096"/>
      <c r="K728" s="3096"/>
      <c r="L728" s="3096"/>
      <c r="M728" s="3096"/>
      <c r="N728" s="3096"/>
      <c r="O728" s="3096"/>
      <c r="P728" s="3096"/>
      <c r="Q728" s="3096"/>
      <c r="R728" s="3096"/>
      <c r="S728" s="3096"/>
      <c r="T728" s="3096"/>
      <c r="U728" s="3096"/>
      <c r="V728" s="3096"/>
      <c r="W728" s="3096"/>
      <c r="X728" s="3096"/>
      <c r="Y728" s="3096"/>
      <c r="Z728" s="3096"/>
      <c r="AA728" s="3096"/>
      <c r="AB728" s="3096"/>
      <c r="AC728" s="3096"/>
      <c r="AD728" s="3096"/>
      <c r="AE728" s="3096"/>
      <c r="AF728" s="309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097" t="s">
        <v>627</v>
      </c>
      <c r="D730" s="3098"/>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097" t="s">
        <v>627</v>
      </c>
      <c r="D734" s="3098"/>
      <c r="E734" s="1027"/>
      <c r="F734" s="1292" t="s">
        <v>1849</v>
      </c>
      <c r="G734" s="3099" t="s">
        <v>1850</v>
      </c>
      <c r="H734" s="3099"/>
      <c r="I734" s="3099"/>
      <c r="J734" s="3099"/>
      <c r="K734" s="3099"/>
      <c r="L734" s="3099"/>
      <c r="M734" s="3099"/>
      <c r="N734" s="3099"/>
      <c r="O734" s="3099"/>
      <c r="P734" s="3099"/>
      <c r="Q734" s="3099"/>
      <c r="R734" s="3099"/>
      <c r="S734" s="3099"/>
      <c r="T734" s="3099"/>
      <c r="U734" s="3099"/>
      <c r="V734" s="3099"/>
      <c r="W734" s="3099"/>
      <c r="X734" s="3099"/>
      <c r="Y734" s="3099"/>
      <c r="Z734" s="3099"/>
      <c r="AA734" s="3099"/>
      <c r="AB734" s="3099"/>
      <c r="AC734" s="3099"/>
      <c r="AD734" s="3099"/>
      <c r="AE734" s="3099"/>
      <c r="AF734" s="3099"/>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0"/>
      <c r="H735" s="3100"/>
      <c r="I735" s="3100"/>
      <c r="J735" s="3100"/>
      <c r="K735" s="3100"/>
      <c r="L735" s="3100"/>
      <c r="M735" s="3100"/>
      <c r="N735" s="3100"/>
      <c r="O735" s="3100"/>
      <c r="P735" s="3100"/>
      <c r="Q735" s="3100"/>
      <c r="R735" s="3100"/>
      <c r="S735" s="3100"/>
      <c r="T735" s="3100"/>
      <c r="U735" s="3100"/>
      <c r="V735" s="3100"/>
      <c r="W735" s="3100"/>
      <c r="X735" s="3100"/>
      <c r="Y735" s="3100"/>
      <c r="Z735" s="3100"/>
      <c r="AA735" s="3100"/>
      <c r="AB735" s="3100"/>
      <c r="AC735" s="3100"/>
      <c r="AD735" s="3100"/>
      <c r="AE735" s="3100"/>
      <c r="AF735" s="310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1" t="s">
        <v>627</v>
      </c>
      <c r="D738" s="3082"/>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3" t="s">
        <v>627</v>
      </c>
      <c r="G739" s="3083"/>
      <c r="H739" s="3083"/>
      <c r="I739" s="3083"/>
      <c r="J739" s="3083"/>
      <c r="K739" s="3083"/>
      <c r="L739" s="3083"/>
      <c r="M739" s="3083"/>
      <c r="N739" s="3083"/>
      <c r="O739" s="3083"/>
      <c r="P739" s="3083"/>
      <c r="Q739" s="3083"/>
      <c r="R739" s="3083"/>
      <c r="S739" s="3083"/>
      <c r="T739" s="3083"/>
      <c r="U739" s="3083"/>
      <c r="V739" s="3083"/>
      <c r="W739" s="3083"/>
      <c r="X739" s="3083"/>
      <c r="Y739" s="3083"/>
      <c r="Z739" s="3083"/>
      <c r="AA739" s="3083"/>
      <c r="AB739" s="3083"/>
      <c r="AC739" s="3083"/>
      <c r="AD739" s="3083"/>
      <c r="AE739" s="3083"/>
      <c r="AF739" s="308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4"/>
      <c r="G740" s="3084"/>
      <c r="H740" s="3084"/>
      <c r="I740" s="3084"/>
      <c r="J740" s="3084"/>
      <c r="K740" s="3084"/>
      <c r="L740" s="3084"/>
      <c r="M740" s="3084"/>
      <c r="N740" s="3084"/>
      <c r="O740" s="3084"/>
      <c r="P740" s="3084"/>
      <c r="Q740" s="3084"/>
      <c r="R740" s="3084"/>
      <c r="S740" s="3084"/>
      <c r="T740" s="3084"/>
      <c r="U740" s="3084"/>
      <c r="V740" s="3084"/>
      <c r="W740" s="3084"/>
      <c r="X740" s="3084"/>
      <c r="Y740" s="3084"/>
      <c r="Z740" s="3084"/>
      <c r="AA740" s="3084"/>
      <c r="AB740" s="3084"/>
      <c r="AC740" s="3084"/>
      <c r="AD740" s="3084"/>
      <c r="AE740" s="3084"/>
      <c r="AF740" s="308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09">
        <f>SUM(AG694:AG739)</f>
        <v>0</v>
      </c>
      <c r="AL750" s="3031"/>
      <c r="AM750" s="301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5" t="s">
        <v>1864</v>
      </c>
      <c r="AF753" s="3085"/>
      <c r="AG753" s="3085"/>
      <c r="AH753" s="3085"/>
      <c r="AI753" s="3085"/>
      <c r="AJ753" s="3085"/>
      <c r="AK753" s="3085"/>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5" t="s">
        <v>579</v>
      </c>
      <c r="D756" s="3005"/>
      <c r="E756" s="946"/>
      <c r="F756" s="3086" t="s">
        <v>1865</v>
      </c>
      <c r="G756" s="3087"/>
      <c r="H756" s="3087"/>
      <c r="I756" s="3087"/>
      <c r="J756" s="3087"/>
      <c r="K756" s="3087"/>
      <c r="L756" s="3087"/>
      <c r="M756" s="3087"/>
      <c r="N756" s="3087"/>
      <c r="O756" s="3087"/>
      <c r="P756" s="3087"/>
      <c r="Q756" s="3087"/>
      <c r="R756" s="3087"/>
      <c r="S756" s="3087"/>
      <c r="T756" s="3087"/>
      <c r="U756" s="3087"/>
      <c r="V756" s="3087"/>
      <c r="W756" s="3087"/>
      <c r="X756" s="3087"/>
      <c r="Y756" s="3087"/>
      <c r="Z756" s="3087"/>
      <c r="AA756" s="3087"/>
      <c r="AB756" s="3087"/>
      <c r="AC756" s="3087"/>
      <c r="AD756" s="3087"/>
      <c r="AE756" s="3087"/>
      <c r="AF756" s="3087"/>
      <c r="AG756" s="3087"/>
      <c r="AH756" s="3087"/>
      <c r="AI756" s="3087"/>
      <c r="AJ756" s="3087"/>
      <c r="AK756" s="3087"/>
      <c r="AL756" s="3088"/>
      <c r="AM756" s="1007"/>
      <c r="AN756" s="1002"/>
    </row>
    <row r="757" spans="1:49" s="945" customFormat="1" ht="12.75" customHeight="1">
      <c r="A757" s="1014"/>
      <c r="B757" s="1014"/>
      <c r="C757" s="946"/>
      <c r="D757" s="946"/>
      <c r="E757" s="946"/>
      <c r="F757" s="3089"/>
      <c r="G757" s="3090"/>
      <c r="H757" s="3090"/>
      <c r="I757" s="3090"/>
      <c r="J757" s="3090"/>
      <c r="K757" s="3090"/>
      <c r="L757" s="3090"/>
      <c r="M757" s="3090"/>
      <c r="N757" s="3090"/>
      <c r="O757" s="3090"/>
      <c r="P757" s="3090"/>
      <c r="Q757" s="3090"/>
      <c r="R757" s="3090"/>
      <c r="S757" s="3090"/>
      <c r="T757" s="3090"/>
      <c r="U757" s="3090"/>
      <c r="V757" s="3090"/>
      <c r="W757" s="3090"/>
      <c r="X757" s="3090"/>
      <c r="Y757" s="3090"/>
      <c r="Z757" s="3090"/>
      <c r="AA757" s="3090"/>
      <c r="AB757" s="3090"/>
      <c r="AC757" s="3090"/>
      <c r="AD757" s="3090"/>
      <c r="AE757" s="3090"/>
      <c r="AF757" s="3090"/>
      <c r="AG757" s="3090"/>
      <c r="AH757" s="3090"/>
      <c r="AI757" s="3090"/>
      <c r="AJ757" s="3090"/>
      <c r="AK757" s="3090"/>
      <c r="AL757" s="309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5" t="s">
        <v>627</v>
      </c>
      <c r="D759" s="3005"/>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3" t="s">
        <v>1867</v>
      </c>
      <c r="G760" s="3074"/>
      <c r="H760" s="3074"/>
      <c r="I760" s="3074"/>
      <c r="J760" s="3074"/>
      <c r="K760" s="3074"/>
      <c r="L760" s="3074"/>
      <c r="M760" s="3074"/>
      <c r="N760" s="3074"/>
      <c r="O760" s="3074"/>
      <c r="P760" s="3074"/>
      <c r="Q760" s="3074"/>
      <c r="R760" s="3074"/>
      <c r="S760" s="3074"/>
      <c r="T760" s="3074"/>
      <c r="U760" s="3074"/>
      <c r="V760" s="3074"/>
      <c r="W760" s="3074"/>
      <c r="X760" s="3074"/>
      <c r="Y760" s="3074"/>
      <c r="Z760" s="3074"/>
      <c r="AA760" s="3074"/>
      <c r="AB760" s="3074"/>
      <c r="AC760" s="3074"/>
      <c r="AD760" s="3074"/>
      <c r="AE760" s="3074"/>
      <c r="AF760" s="3074"/>
      <c r="AG760" s="3074"/>
      <c r="AH760" s="3074"/>
      <c r="AI760" s="3074"/>
      <c r="AJ760" s="3074"/>
      <c r="AK760" s="3074"/>
      <c r="AL760" s="3075"/>
      <c r="AM760" s="1007"/>
      <c r="AN760" s="1002"/>
      <c r="AS760" s="1485"/>
      <c r="AT760" s="1485"/>
      <c r="AU760" s="1485"/>
      <c r="AV760" s="1485"/>
      <c r="AW760" s="1485"/>
    </row>
    <row r="761" spans="1:49" s="945" customFormat="1" ht="12.75" customHeight="1">
      <c r="A761" s="1028"/>
      <c r="B761" s="1307"/>
      <c r="C761" s="1307"/>
      <c r="D761" s="1307"/>
      <c r="E761" s="1307"/>
      <c r="F761" s="3073"/>
      <c r="G761" s="3074"/>
      <c r="H761" s="3074"/>
      <c r="I761" s="3074"/>
      <c r="J761" s="3074"/>
      <c r="K761" s="3074"/>
      <c r="L761" s="3074"/>
      <c r="M761" s="3074"/>
      <c r="N761" s="3074"/>
      <c r="O761" s="3074"/>
      <c r="P761" s="3074"/>
      <c r="Q761" s="3074"/>
      <c r="R761" s="3074"/>
      <c r="S761" s="3074"/>
      <c r="T761" s="3074"/>
      <c r="U761" s="3074"/>
      <c r="V761" s="3074"/>
      <c r="W761" s="3074"/>
      <c r="X761" s="3074"/>
      <c r="Y761" s="3074"/>
      <c r="Z761" s="3074"/>
      <c r="AA761" s="3074"/>
      <c r="AB761" s="3074"/>
      <c r="AC761" s="3074"/>
      <c r="AD761" s="3074"/>
      <c r="AE761" s="3074"/>
      <c r="AF761" s="3074"/>
      <c r="AG761" s="3074"/>
      <c r="AH761" s="3074"/>
      <c r="AI761" s="3074"/>
      <c r="AJ761" s="3074"/>
      <c r="AK761" s="3074"/>
      <c r="AL761" s="3075"/>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3" t="s">
        <v>1869</v>
      </c>
      <c r="G763" s="3074"/>
      <c r="H763" s="3074"/>
      <c r="I763" s="3074"/>
      <c r="J763" s="3074"/>
      <c r="K763" s="3074"/>
      <c r="L763" s="3074"/>
      <c r="M763" s="3074"/>
      <c r="N763" s="3074"/>
      <c r="O763" s="3074"/>
      <c r="P763" s="3074"/>
      <c r="Q763" s="3074"/>
      <c r="R763" s="3074"/>
      <c r="S763" s="3074"/>
      <c r="T763" s="3074"/>
      <c r="U763" s="3074"/>
      <c r="V763" s="3074"/>
      <c r="W763" s="3074"/>
      <c r="X763" s="3074"/>
      <c r="Y763" s="3074"/>
      <c r="Z763" s="3074"/>
      <c r="AA763" s="3074"/>
      <c r="AB763" s="3074"/>
      <c r="AC763" s="3074"/>
      <c r="AD763" s="3074"/>
      <c r="AE763" s="3074"/>
      <c r="AF763" s="3074"/>
      <c r="AG763" s="3074"/>
      <c r="AH763" s="3074"/>
      <c r="AI763" s="3074"/>
      <c r="AJ763" s="3074"/>
      <c r="AK763" s="3074"/>
      <c r="AL763" s="1316"/>
      <c r="AM763" s="1007"/>
      <c r="AN763" s="1002"/>
      <c r="AT763" s="1091"/>
      <c r="AU763" s="1091"/>
      <c r="AV763" s="1091"/>
    </row>
    <row r="764" spans="1:49" s="945" customFormat="1" ht="12.75" customHeight="1">
      <c r="A764" s="1028"/>
      <c r="B764" s="1307"/>
      <c r="C764" s="1307"/>
      <c r="D764" s="1307"/>
      <c r="E764" s="1307"/>
      <c r="F764" s="3076"/>
      <c r="G764" s="3077"/>
      <c r="H764" s="3077"/>
      <c r="I764" s="3077"/>
      <c r="J764" s="3077"/>
      <c r="K764" s="3077"/>
      <c r="L764" s="3077"/>
      <c r="M764" s="3077"/>
      <c r="N764" s="3077"/>
      <c r="O764" s="3077"/>
      <c r="P764" s="3077"/>
      <c r="Q764" s="3077"/>
      <c r="R764" s="3077"/>
      <c r="S764" s="3077"/>
      <c r="T764" s="3077"/>
      <c r="U764" s="3077"/>
      <c r="V764" s="3077"/>
      <c r="W764" s="3077"/>
      <c r="X764" s="3077"/>
      <c r="Y764" s="3077"/>
      <c r="Z764" s="3077"/>
      <c r="AA764" s="3077"/>
      <c r="AB764" s="3077"/>
      <c r="AC764" s="3077"/>
      <c r="AD764" s="3077"/>
      <c r="AE764" s="3077"/>
      <c r="AF764" s="3077"/>
      <c r="AG764" s="3077"/>
      <c r="AH764" s="3077"/>
      <c r="AI764" s="3077"/>
      <c r="AJ764" s="3077"/>
      <c r="AK764" s="307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89">
        <f>Application!AJ975</f>
        <v>68563456</v>
      </c>
      <c r="AQ765" s="2989"/>
      <c r="AR765" s="2989"/>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8">
        <f>'Sources and Uses Budget'!S107+'Sources and Uses Budget'!T107</f>
        <v>57053417</v>
      </c>
      <c r="AG766" s="3078"/>
      <c r="AH766" s="3078"/>
      <c r="AI766" s="3078"/>
      <c r="AJ766" s="3078"/>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79">
        <f>AP774</f>
        <v>104469568.76000001</v>
      </c>
      <c r="AG767" s="3079"/>
      <c r="AH767" s="3079"/>
      <c r="AI767" s="3079"/>
      <c r="AJ767" s="3079"/>
      <c r="AK767" s="1007"/>
      <c r="AL767" s="1007"/>
      <c r="AM767" s="1007"/>
      <c r="AN767" s="1002"/>
      <c r="AP767" s="2989">
        <f>Application!AJ1024</f>
        <v>17826498.560000002</v>
      </c>
      <c r="AQ767" s="2989"/>
      <c r="AR767" s="298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0">
        <f>ROUNDDOWN(IF(C759="YES",((1-(AF766/AF767))*2),(1-(AF766/AF767))),2)</f>
        <v>0.45</v>
      </c>
      <c r="AG768" s="3080"/>
      <c r="AH768" s="3080"/>
      <c r="AI768" s="3080"/>
      <c r="AJ768" s="3080"/>
      <c r="AK768" s="1007"/>
      <c r="AL768" s="1007"/>
      <c r="AM768" s="1007"/>
      <c r="AN768" s="1002"/>
      <c r="AP768" s="2990">
        <f>Application!AJ1028</f>
        <v>13712691.200000001</v>
      </c>
      <c r="AQ768" s="2990"/>
      <c r="AR768" s="299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5">
        <f>IF(((AP767+AP768)/AP765)&gt;0.8,0.8,((AP767+AP768)/AP765))</f>
        <v>0.46000000000000008</v>
      </c>
      <c r="AQ769" s="2995"/>
      <c r="AR769" s="2995"/>
    </row>
    <row r="770" spans="1:44" s="945" customFormat="1" ht="12.75" customHeight="1">
      <c r="A770" s="1050"/>
      <c r="B770" s="3052" t="s">
        <v>1872</v>
      </c>
      <c r="C770" s="3053"/>
      <c r="D770" s="3053"/>
      <c r="E770" s="3053"/>
      <c r="F770" s="3053"/>
      <c r="G770" s="3053"/>
      <c r="H770" s="3053"/>
      <c r="I770" s="3053"/>
      <c r="J770" s="3053"/>
      <c r="K770" s="3053"/>
      <c r="L770" s="3053"/>
      <c r="M770" s="3053"/>
      <c r="N770" s="3053"/>
      <c r="O770" s="3053"/>
      <c r="P770" s="3053"/>
      <c r="Q770" s="3053"/>
      <c r="R770" s="3053"/>
      <c r="S770" s="3053"/>
      <c r="T770" s="3053"/>
      <c r="U770" s="3053"/>
      <c r="V770" s="3053"/>
      <c r="W770" s="3053"/>
      <c r="X770" s="3053"/>
      <c r="Y770" s="3053"/>
      <c r="Z770" s="3053"/>
      <c r="AA770" s="3053"/>
      <c r="AB770" s="3053"/>
      <c r="AC770" s="3053"/>
      <c r="AD770" s="3053"/>
      <c r="AE770" s="3053"/>
      <c r="AF770" s="3053"/>
      <c r="AG770" s="3053"/>
      <c r="AH770" s="3053"/>
      <c r="AI770" s="3053"/>
      <c r="AJ770" s="3054"/>
      <c r="AK770" s="1007"/>
      <c r="AL770" s="1007"/>
      <c r="AM770" s="1007"/>
      <c r="AN770" s="1002"/>
    </row>
    <row r="771" spans="1:44" s="945" customFormat="1" ht="12.75" customHeight="1">
      <c r="A771" s="1050"/>
      <c r="B771" s="3055"/>
      <c r="C771" s="3056"/>
      <c r="D771" s="3056"/>
      <c r="E771" s="3056"/>
      <c r="F771" s="3056"/>
      <c r="G771" s="3056"/>
      <c r="H771" s="3056"/>
      <c r="I771" s="3056"/>
      <c r="J771" s="3056"/>
      <c r="K771" s="3056"/>
      <c r="L771" s="3056"/>
      <c r="M771" s="3056"/>
      <c r="N771" s="3056"/>
      <c r="O771" s="3056"/>
      <c r="P771" s="3056"/>
      <c r="Q771" s="3056"/>
      <c r="R771" s="3056"/>
      <c r="S771" s="3056"/>
      <c r="T771" s="3056"/>
      <c r="U771" s="3056"/>
      <c r="V771" s="3056"/>
      <c r="W771" s="3056"/>
      <c r="X771" s="3056"/>
      <c r="Y771" s="3056"/>
      <c r="Z771" s="3056"/>
      <c r="AA771" s="3056"/>
      <c r="AB771" s="3056"/>
      <c r="AC771" s="3056"/>
      <c r="AD771" s="3056"/>
      <c r="AE771" s="3056"/>
      <c r="AF771" s="3056"/>
      <c r="AG771" s="3056"/>
      <c r="AH771" s="3056"/>
      <c r="AI771" s="3056"/>
      <c r="AJ771" s="3057"/>
      <c r="AK771" s="1007"/>
      <c r="AL771" s="1007"/>
      <c r="AM771" s="1007"/>
      <c r="AN771" s="1002"/>
      <c r="AP771" s="2989">
        <f>AP772-AP767-AP768</f>
        <v>72930379</v>
      </c>
      <c r="AQ771" s="2996"/>
      <c r="AR771" s="2996"/>
    </row>
    <row r="772" spans="1:44" s="945" customFormat="1" ht="12.75" customHeight="1">
      <c r="A772" s="1050"/>
      <c r="B772" s="3058"/>
      <c r="C772" s="3059"/>
      <c r="D772" s="3059"/>
      <c r="E772" s="3059"/>
      <c r="F772" s="3059"/>
      <c r="G772" s="3059"/>
      <c r="H772" s="3059"/>
      <c r="I772" s="3059"/>
      <c r="J772" s="3059"/>
      <c r="K772" s="3059"/>
      <c r="L772" s="3059"/>
      <c r="M772" s="3059"/>
      <c r="N772" s="3059"/>
      <c r="O772" s="3059"/>
      <c r="P772" s="3059"/>
      <c r="Q772" s="3059"/>
      <c r="R772" s="3059"/>
      <c r="S772" s="3059"/>
      <c r="T772" s="3059"/>
      <c r="U772" s="3059"/>
      <c r="V772" s="3059"/>
      <c r="W772" s="3059"/>
      <c r="X772" s="3059"/>
      <c r="Y772" s="3059"/>
      <c r="Z772" s="3059"/>
      <c r="AA772" s="3059"/>
      <c r="AB772" s="3059"/>
      <c r="AC772" s="3059"/>
      <c r="AD772" s="3059"/>
      <c r="AE772" s="3059"/>
      <c r="AF772" s="3059"/>
      <c r="AG772" s="3059"/>
      <c r="AH772" s="3059"/>
      <c r="AI772" s="3059"/>
      <c r="AJ772" s="3060"/>
      <c r="AK772" s="1007"/>
      <c r="AL772" s="1007"/>
      <c r="AM772" s="1007"/>
      <c r="AN772" s="1002"/>
      <c r="AP772" s="2989">
        <f>Application!AJ1032</f>
        <v>104469568.76000001</v>
      </c>
      <c r="AQ772" s="2989"/>
      <c r="AR772" s="298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61">
        <f>IF(AF768=0,0,IF((AF768*100)&gt;12,12,(AF768*100)))</f>
        <v>12</v>
      </c>
      <c r="AL774" s="3061"/>
      <c r="AM774" s="3062"/>
      <c r="AN774" s="1002"/>
      <c r="AP774" s="2978">
        <f>AP771+(AP765*AP769)</f>
        <v>104469568.76000001</v>
      </c>
      <c r="AQ774" s="2979"/>
      <c r="AR774" s="298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3" t="s">
        <v>1874</v>
      </c>
      <c r="B777" s="3064"/>
      <c r="C777" s="3064"/>
      <c r="D777" s="3064"/>
      <c r="E777" s="3064"/>
      <c r="F777" s="3064"/>
      <c r="G777" s="3064"/>
      <c r="H777" s="3064"/>
      <c r="I777" s="3064"/>
      <c r="J777" s="3064"/>
      <c r="K777" s="3064"/>
      <c r="L777" s="3064"/>
      <c r="M777" s="3064"/>
      <c r="N777" s="3064"/>
      <c r="O777" s="3064"/>
      <c r="P777" s="3064"/>
      <c r="Q777" s="3064"/>
      <c r="R777" s="3064"/>
      <c r="S777" s="3064"/>
      <c r="T777" s="3064"/>
      <c r="U777" s="3064"/>
      <c r="V777" s="3064"/>
      <c r="W777" s="3064"/>
      <c r="X777" s="3064"/>
      <c r="Y777" s="3064"/>
      <c r="Z777" s="3064"/>
      <c r="AA777" s="3064"/>
      <c r="AB777" s="3064"/>
      <c r="AC777" s="3064"/>
      <c r="AD777" s="3064"/>
      <c r="AE777" s="3064"/>
      <c r="AF777" s="3064"/>
      <c r="AG777" s="3064"/>
      <c r="AH777" s="3064"/>
      <c r="AI777" s="3064"/>
      <c r="AJ777" s="3064"/>
      <c r="AK777" s="3064"/>
      <c r="AL777" s="3064"/>
      <c r="AM777" s="3064"/>
    </row>
    <row r="778" spans="1:44">
      <c r="A778" s="3065"/>
      <c r="B778" s="3065"/>
      <c r="C778" s="3065"/>
      <c r="D778" s="3065"/>
      <c r="E778" s="3065"/>
      <c r="F778" s="3065"/>
      <c r="G778" s="3065"/>
      <c r="H778" s="3065"/>
      <c r="I778" s="3065"/>
      <c r="J778" s="3065"/>
      <c r="K778" s="3065"/>
      <c r="L778" s="3065"/>
      <c r="M778" s="3065"/>
      <c r="N778" s="3065"/>
      <c r="O778" s="3065"/>
      <c r="P778" s="3065"/>
      <c r="Q778" s="3065"/>
      <c r="R778" s="3065"/>
      <c r="S778" s="3065"/>
      <c r="T778" s="3065"/>
      <c r="U778" s="3065"/>
      <c r="V778" s="3065"/>
      <c r="W778" s="3065"/>
      <c r="X778" s="3065"/>
      <c r="Y778" s="3065"/>
      <c r="Z778" s="3065"/>
      <c r="AA778" s="3065"/>
      <c r="AB778" s="3065"/>
      <c r="AC778" s="3065"/>
      <c r="AD778" s="3065"/>
      <c r="AE778" s="3065"/>
      <c r="AF778" s="3065"/>
      <c r="AG778" s="3065"/>
      <c r="AH778" s="3065"/>
      <c r="AI778" s="3065"/>
      <c r="AJ778" s="3065"/>
      <c r="AK778" s="3065"/>
      <c r="AL778" s="3065"/>
      <c r="AM778" s="306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6"/>
      <c r="B780" s="3066"/>
      <c r="C780" s="3066"/>
      <c r="D780" s="3066"/>
      <c r="E780" s="3066"/>
      <c r="F780" s="3066"/>
      <c r="G780" s="3066"/>
      <c r="H780" s="3066"/>
      <c r="I780" s="3066"/>
      <c r="J780" s="3066"/>
      <c r="K780" s="3066"/>
      <c r="L780" s="3066"/>
      <c r="M780" s="3066"/>
      <c r="N780" s="3066"/>
      <c r="O780" s="3066"/>
      <c r="P780" s="3066"/>
      <c r="Q780" s="3066"/>
      <c r="R780" s="3066"/>
      <c r="S780" s="3066"/>
      <c r="T780" s="3066"/>
      <c r="U780" s="3066"/>
      <c r="V780" s="3066"/>
      <c r="W780" s="3066"/>
      <c r="X780" s="3066"/>
      <c r="Y780" s="3066"/>
      <c r="Z780" s="3066"/>
      <c r="AA780" s="3066"/>
      <c r="AB780" s="3066"/>
      <c r="AC780" s="3066"/>
      <c r="AD780" s="3066"/>
      <c r="AE780" s="3066"/>
      <c r="AF780" s="3066"/>
      <c r="AG780" s="3066"/>
      <c r="AH780" s="3066"/>
      <c r="AI780" s="3066"/>
      <c r="AJ780" s="3066"/>
      <c r="AK780" s="3066"/>
      <c r="AL780" s="3066"/>
      <c r="AM780" s="3066"/>
      <c r="AO780" s="1229"/>
      <c r="AP780" s="1322"/>
      <c r="AQ780" s="1321"/>
    </row>
    <row r="781" spans="1:44">
      <c r="A781" s="3066"/>
      <c r="B781" s="3066"/>
      <c r="C781" s="3066"/>
      <c r="D781" s="3066"/>
      <c r="E781" s="3066"/>
      <c r="F781" s="3066"/>
      <c r="G781" s="3066"/>
      <c r="H781" s="3066"/>
      <c r="I781" s="3066"/>
      <c r="J781" s="3066"/>
      <c r="K781" s="3066"/>
      <c r="L781" s="3066"/>
      <c r="M781" s="3066"/>
      <c r="N781" s="3066"/>
      <c r="O781" s="3066"/>
      <c r="P781" s="3066"/>
      <c r="Q781" s="3066"/>
      <c r="R781" s="3066"/>
      <c r="S781" s="3066"/>
      <c r="T781" s="3066"/>
      <c r="U781" s="3066"/>
      <c r="V781" s="3066"/>
      <c r="W781" s="3066"/>
      <c r="X781" s="3066"/>
      <c r="Y781" s="3066"/>
      <c r="Z781" s="3066"/>
      <c r="AA781" s="3066"/>
      <c r="AB781" s="3066"/>
      <c r="AC781" s="3066"/>
      <c r="AD781" s="3066"/>
      <c r="AE781" s="3066"/>
      <c r="AF781" s="3066"/>
      <c r="AG781" s="3066"/>
      <c r="AH781" s="3066"/>
      <c r="AI781" s="3066"/>
      <c r="AJ781" s="3066"/>
      <c r="AK781" s="3066"/>
      <c r="AL781" s="3066"/>
      <c r="AM781" s="306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7" t="s">
        <v>1875</v>
      </c>
      <c r="U782" s="3068"/>
      <c r="V782" s="3068"/>
      <c r="W782" s="3068"/>
      <c r="X782" s="3068"/>
      <c r="Y782" s="3069"/>
      <c r="Z782" s="3067" t="s">
        <v>1876</v>
      </c>
      <c r="AA782" s="3068"/>
      <c r="AB782" s="3068"/>
      <c r="AC782" s="3068"/>
      <c r="AD782" s="3068"/>
      <c r="AE782" s="3069"/>
      <c r="AF782" s="3067" t="s">
        <v>1877</v>
      </c>
      <c r="AG782" s="3068"/>
      <c r="AH782" s="3068"/>
      <c r="AI782" s="3068"/>
      <c r="AJ782" s="3068"/>
      <c r="AK782" s="306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0"/>
      <c r="U783" s="3071"/>
      <c r="V783" s="3071"/>
      <c r="W783" s="3071"/>
      <c r="X783" s="3071"/>
      <c r="Y783" s="3072"/>
      <c r="Z783" s="3070"/>
      <c r="AA783" s="3071"/>
      <c r="AB783" s="3071"/>
      <c r="AC783" s="3071"/>
      <c r="AD783" s="3071"/>
      <c r="AE783" s="3072"/>
      <c r="AF783" s="3070"/>
      <c r="AG783" s="3071"/>
      <c r="AH783" s="3071"/>
      <c r="AI783" s="3071"/>
      <c r="AJ783" s="3071"/>
      <c r="AK783" s="3072"/>
      <c r="AL783" s="1324"/>
      <c r="AM783" s="1218"/>
      <c r="AO783" s="1322"/>
      <c r="AP783" s="1321"/>
      <c r="AQ783" s="1321"/>
    </row>
    <row r="784" spans="1:44">
      <c r="A784" s="1325" t="s">
        <v>801</v>
      </c>
      <c r="B784" s="3019" t="s">
        <v>1574</v>
      </c>
      <c r="C784" s="3019"/>
      <c r="D784" s="3019"/>
      <c r="E784" s="3019"/>
      <c r="F784" s="3019"/>
      <c r="G784" s="3019"/>
      <c r="H784" s="3019"/>
      <c r="I784" s="3019"/>
      <c r="J784" s="3019"/>
      <c r="K784" s="3019"/>
      <c r="L784" s="3019"/>
      <c r="M784" s="3019"/>
      <c r="N784" s="3019"/>
      <c r="O784" s="3019"/>
      <c r="P784" s="3019"/>
      <c r="Q784" s="3019"/>
      <c r="R784" s="3019"/>
      <c r="S784" s="3020"/>
      <c r="T784" s="3051">
        <f>AK51</f>
        <v>0</v>
      </c>
      <c r="U784" s="3023"/>
      <c r="V784" s="3023"/>
      <c r="W784" s="3023"/>
      <c r="X784" s="3023"/>
      <c r="Y784" s="3024"/>
      <c r="Z784" s="3022">
        <v>20</v>
      </c>
      <c r="AA784" s="3023"/>
      <c r="AB784" s="3023"/>
      <c r="AC784" s="3023"/>
      <c r="AD784" s="3023"/>
      <c r="AE784" s="3024"/>
      <c r="AF784" s="3025">
        <f>IF(T784&gt;Z784,Z784,T784)</f>
        <v>0</v>
      </c>
      <c r="AG784" s="3025"/>
      <c r="AH784" s="3025"/>
      <c r="AI784" s="3025"/>
      <c r="AJ784" s="3025"/>
      <c r="AK784" s="3025"/>
      <c r="AL784" s="1324"/>
      <c r="AM784" s="1218"/>
      <c r="AO784" s="1321"/>
      <c r="AP784" s="1321"/>
      <c r="AQ784" s="1321"/>
    </row>
    <row r="785" spans="1:81">
      <c r="A785" s="1325" t="s">
        <v>1843</v>
      </c>
      <c r="B785" s="3019" t="s">
        <v>1596</v>
      </c>
      <c r="C785" s="3019"/>
      <c r="D785" s="3019"/>
      <c r="E785" s="3019"/>
      <c r="F785" s="3019"/>
      <c r="G785" s="3019"/>
      <c r="H785" s="3019"/>
      <c r="I785" s="3019"/>
      <c r="J785" s="3019"/>
      <c r="K785" s="3019"/>
      <c r="L785" s="3019"/>
      <c r="M785" s="3019"/>
      <c r="N785" s="3019"/>
      <c r="O785" s="3019"/>
      <c r="P785" s="3019"/>
      <c r="Q785" s="3019"/>
      <c r="R785" s="3019"/>
      <c r="S785" s="3020"/>
      <c r="T785" s="3051">
        <f>AK72</f>
        <v>10</v>
      </c>
      <c r="U785" s="3023"/>
      <c r="V785" s="3023"/>
      <c r="W785" s="3023"/>
      <c r="X785" s="3023"/>
      <c r="Y785" s="3024"/>
      <c r="Z785" s="3022">
        <v>10</v>
      </c>
      <c r="AA785" s="3023"/>
      <c r="AB785" s="3023"/>
      <c r="AC785" s="3023"/>
      <c r="AD785" s="3023"/>
      <c r="AE785" s="3024"/>
      <c r="AF785" s="3025">
        <f>IF(T785&gt;Z785,Z785,T785)</f>
        <v>10</v>
      </c>
      <c r="AG785" s="3025"/>
      <c r="AH785" s="3025"/>
      <c r="AI785" s="3025"/>
      <c r="AJ785" s="3025"/>
      <c r="AK785" s="3025"/>
      <c r="AL785" s="1324"/>
      <c r="AM785" s="1218"/>
      <c r="AO785" s="1321"/>
      <c r="AP785" s="1321"/>
      <c r="AQ785" s="1321"/>
    </row>
    <row r="786" spans="1:81">
      <c r="A786" s="1325" t="s">
        <v>1852</v>
      </c>
      <c r="B786" s="3019" t="s">
        <v>1606</v>
      </c>
      <c r="C786" s="3019"/>
      <c r="D786" s="3019"/>
      <c r="E786" s="3019"/>
      <c r="F786" s="3019"/>
      <c r="G786" s="3019"/>
      <c r="H786" s="3019"/>
      <c r="I786" s="3019"/>
      <c r="J786" s="3019"/>
      <c r="K786" s="3019"/>
      <c r="L786" s="3019"/>
      <c r="M786" s="3019"/>
      <c r="N786" s="3019"/>
      <c r="O786" s="3019"/>
      <c r="P786" s="3019"/>
      <c r="Q786" s="3019"/>
      <c r="R786" s="3019"/>
      <c r="S786" s="3020"/>
      <c r="T786" s="3051">
        <f ca="1">AK97</f>
        <v>20</v>
      </c>
      <c r="U786" s="3023"/>
      <c r="V786" s="3023"/>
      <c r="W786" s="3023"/>
      <c r="X786" s="3023"/>
      <c r="Y786" s="3024"/>
      <c r="Z786" s="3022">
        <v>20</v>
      </c>
      <c r="AA786" s="3023"/>
      <c r="AB786" s="3023"/>
      <c r="AC786" s="3023"/>
      <c r="AD786" s="3023"/>
      <c r="AE786" s="3024"/>
      <c r="AF786" s="3025">
        <f ca="1">IF(T786&gt;Z786,Z786,T786)</f>
        <v>20</v>
      </c>
      <c r="AG786" s="3025"/>
      <c r="AH786" s="3025"/>
      <c r="AI786" s="3025"/>
      <c r="AJ786" s="3025"/>
      <c r="AK786" s="3025"/>
      <c r="AL786" s="1324"/>
      <c r="AM786" s="1218"/>
      <c r="AO786" s="1321"/>
      <c r="AP786" s="1321"/>
      <c r="AQ786" s="1321"/>
    </row>
    <row r="787" spans="1:81">
      <c r="A787" s="1325" t="s">
        <v>1878</v>
      </c>
      <c r="B787" s="3019" t="s">
        <v>1616</v>
      </c>
      <c r="C787" s="3019"/>
      <c r="D787" s="3019"/>
      <c r="E787" s="3019"/>
      <c r="F787" s="3019"/>
      <c r="G787" s="3019"/>
      <c r="H787" s="3019"/>
      <c r="I787" s="3019"/>
      <c r="J787" s="3019"/>
      <c r="K787" s="3019"/>
      <c r="L787" s="3019"/>
      <c r="M787" s="3019"/>
      <c r="N787" s="3019"/>
      <c r="O787" s="3019"/>
      <c r="P787" s="3019"/>
      <c r="Q787" s="3019"/>
      <c r="R787" s="3019"/>
      <c r="S787" s="3020"/>
      <c r="T787" s="3051">
        <f>AK131</f>
        <v>10</v>
      </c>
      <c r="U787" s="3023"/>
      <c r="V787" s="3023"/>
      <c r="W787" s="3023"/>
      <c r="X787" s="3023"/>
      <c r="Y787" s="3024"/>
      <c r="Z787" s="3022">
        <v>10</v>
      </c>
      <c r="AA787" s="3023"/>
      <c r="AB787" s="3023"/>
      <c r="AC787" s="3023"/>
      <c r="AD787" s="3023"/>
      <c r="AE787" s="3024"/>
      <c r="AF787" s="3025">
        <f>IF(T787&gt;Z787,Z787,T787)</f>
        <v>10</v>
      </c>
      <c r="AG787" s="3025"/>
      <c r="AH787" s="3025"/>
      <c r="AI787" s="3025"/>
      <c r="AJ787" s="3025"/>
      <c r="AK787" s="3025"/>
      <c r="AL787" s="1324"/>
      <c r="AM787" s="1218"/>
      <c r="AO787" s="1321"/>
      <c r="AP787" s="1321"/>
      <c r="AQ787" s="1321"/>
    </row>
    <row r="788" spans="1:81">
      <c r="A788" s="1327" t="s">
        <v>1879</v>
      </c>
      <c r="B788" s="3019" t="s">
        <v>1880</v>
      </c>
      <c r="C788" s="3019"/>
      <c r="D788" s="3019"/>
      <c r="E788" s="3019"/>
      <c r="F788" s="3019"/>
      <c r="G788" s="3019"/>
      <c r="H788" s="3019"/>
      <c r="I788" s="3019"/>
      <c r="J788" s="3019"/>
      <c r="K788" s="3019"/>
      <c r="L788" s="3019"/>
      <c r="M788" s="3019"/>
      <c r="N788" s="3019"/>
      <c r="O788" s="3019"/>
      <c r="P788" s="3019"/>
      <c r="Q788" s="3019"/>
      <c r="R788" s="3019"/>
      <c r="S788" s="3020"/>
      <c r="T788" s="3021">
        <f>SUM(T789:Y790)</f>
        <v>10</v>
      </c>
      <c r="U788" s="3021"/>
      <c r="V788" s="3021"/>
      <c r="W788" s="3021"/>
      <c r="X788" s="3021"/>
      <c r="Y788" s="3021"/>
      <c r="Z788" s="3025">
        <v>10</v>
      </c>
      <c r="AA788" s="3025"/>
      <c r="AB788" s="3025"/>
      <c r="AC788" s="3025"/>
      <c r="AD788" s="3025"/>
      <c r="AE788" s="3025"/>
      <c r="AF788" s="3025">
        <f>IF(T788&gt;Z788,Z788,T788)</f>
        <v>10</v>
      </c>
      <c r="AG788" s="3025"/>
      <c r="AH788" s="3025"/>
      <c r="AI788" s="3025"/>
      <c r="AJ788" s="3025"/>
      <c r="AK788" s="3025"/>
      <c r="AL788" s="1324"/>
      <c r="AM788" s="1218"/>
    </row>
    <row r="789" spans="1:81">
      <c r="A789" s="928"/>
      <c r="B789" s="1011"/>
      <c r="C789" s="3026" t="s">
        <v>1881</v>
      </c>
      <c r="D789" s="3026"/>
      <c r="E789" s="3026"/>
      <c r="F789" s="3026"/>
      <c r="G789" s="3026"/>
      <c r="H789" s="3026"/>
      <c r="I789" s="3026"/>
      <c r="J789" s="3026"/>
      <c r="K789" s="3026"/>
      <c r="L789" s="3026"/>
      <c r="M789" s="3026"/>
      <c r="N789" s="3026"/>
      <c r="O789" s="3026"/>
      <c r="P789" s="3026"/>
      <c r="Q789" s="3026"/>
      <c r="R789" s="3026"/>
      <c r="S789" s="3027"/>
      <c r="T789" s="3028">
        <f>AJ149</f>
        <v>7</v>
      </c>
      <c r="U789" s="3028"/>
      <c r="V789" s="3028"/>
      <c r="W789" s="3028"/>
      <c r="X789" s="3028"/>
      <c r="Y789" s="3028"/>
      <c r="Z789" s="3029">
        <v>7</v>
      </c>
      <c r="AA789" s="3029"/>
      <c r="AB789" s="3029"/>
      <c r="AC789" s="3029"/>
      <c r="AD789" s="3029"/>
      <c r="AE789" s="3029"/>
      <c r="AF789" s="3030"/>
      <c r="AG789" s="3030"/>
      <c r="AH789" s="3030"/>
      <c r="AI789" s="3030"/>
      <c r="AJ789" s="3030"/>
      <c r="AK789" s="3030"/>
      <c r="AL789" s="1324"/>
      <c r="AM789" s="1218"/>
    </row>
    <row r="790" spans="1:81">
      <c r="A790" s="1328"/>
      <c r="B790" s="1011"/>
      <c r="C790" s="3026" t="s">
        <v>1882</v>
      </c>
      <c r="D790" s="3026"/>
      <c r="E790" s="3026"/>
      <c r="F790" s="3026"/>
      <c r="G790" s="3026"/>
      <c r="H790" s="3026"/>
      <c r="I790" s="3026"/>
      <c r="J790" s="3026"/>
      <c r="K790" s="3026"/>
      <c r="L790" s="3026"/>
      <c r="M790" s="3026"/>
      <c r="N790" s="3026"/>
      <c r="O790" s="3026"/>
      <c r="P790" s="3026"/>
      <c r="Q790" s="3026"/>
      <c r="R790" s="3026"/>
      <c r="S790" s="3027"/>
      <c r="T790" s="3028">
        <f>AJ163</f>
        <v>3</v>
      </c>
      <c r="U790" s="3028"/>
      <c r="V790" s="3028"/>
      <c r="W790" s="3028"/>
      <c r="X790" s="3028"/>
      <c r="Y790" s="3028"/>
      <c r="Z790" s="3029">
        <v>3</v>
      </c>
      <c r="AA790" s="3029"/>
      <c r="AB790" s="3029"/>
      <c r="AC790" s="3029"/>
      <c r="AD790" s="3029"/>
      <c r="AE790" s="3029"/>
      <c r="AF790" s="3030"/>
      <c r="AG790" s="3030"/>
      <c r="AH790" s="3030"/>
      <c r="AI790" s="3030"/>
      <c r="AJ790" s="3030"/>
      <c r="AK790" s="3030"/>
      <c r="AL790" s="1324"/>
      <c r="AM790" s="1218"/>
      <c r="AO790" s="945"/>
    </row>
    <row r="791" spans="1:81">
      <c r="A791" s="1327" t="s">
        <v>1644</v>
      </c>
      <c r="B791" s="3019" t="s">
        <v>1883</v>
      </c>
      <c r="C791" s="3019"/>
      <c r="D791" s="3019"/>
      <c r="E791" s="3019"/>
      <c r="F791" s="3019"/>
      <c r="G791" s="3019"/>
      <c r="H791" s="3019"/>
      <c r="I791" s="3019"/>
      <c r="J791" s="3019"/>
      <c r="K791" s="3019"/>
      <c r="L791" s="3019"/>
      <c r="M791" s="3019"/>
      <c r="N791" s="3019"/>
      <c r="O791" s="3019"/>
      <c r="P791" s="3019"/>
      <c r="Q791" s="3019"/>
      <c r="R791" s="3019"/>
      <c r="S791" s="3020"/>
      <c r="T791" s="3021">
        <f>AK174</f>
        <v>10</v>
      </c>
      <c r="U791" s="3021"/>
      <c r="V791" s="3021"/>
      <c r="W791" s="3021"/>
      <c r="X791" s="3021"/>
      <c r="Y791" s="3021"/>
      <c r="Z791" s="3025">
        <v>10</v>
      </c>
      <c r="AA791" s="3025"/>
      <c r="AB791" s="3025"/>
      <c r="AC791" s="3025"/>
      <c r="AD791" s="3025"/>
      <c r="AE791" s="3025"/>
      <c r="AF791" s="3025">
        <f>IF(T791&gt;Z791,Z791,T791)</f>
        <v>10</v>
      </c>
      <c r="AG791" s="3025"/>
      <c r="AH791" s="3025"/>
      <c r="AI791" s="3025"/>
      <c r="AJ791" s="3025"/>
      <c r="AK791" s="3025"/>
      <c r="AL791" s="1324"/>
      <c r="AM791" s="1218"/>
    </row>
    <row r="792" spans="1:81">
      <c r="A792" s="1325" t="s">
        <v>1653</v>
      </c>
      <c r="B792" s="3019" t="s">
        <v>1654</v>
      </c>
      <c r="C792" s="3019"/>
      <c r="D792" s="3019"/>
      <c r="E792" s="3019"/>
      <c r="F792" s="3019"/>
      <c r="G792" s="3019"/>
      <c r="H792" s="3019"/>
      <c r="I792" s="3019"/>
      <c r="J792" s="3019"/>
      <c r="K792" s="3019"/>
      <c r="L792" s="3019"/>
      <c r="M792" s="3019"/>
      <c r="N792" s="3019"/>
      <c r="O792" s="3019"/>
      <c r="P792" s="3019"/>
      <c r="Q792" s="3019"/>
      <c r="R792" s="3019"/>
      <c r="S792" s="3020"/>
      <c r="T792" s="3021">
        <f>AK256</f>
        <v>8</v>
      </c>
      <c r="U792" s="3021"/>
      <c r="V792" s="3021"/>
      <c r="W792" s="3021"/>
      <c r="X792" s="3021"/>
      <c r="Y792" s="3021"/>
      <c r="Z792" s="3022">
        <v>8</v>
      </c>
      <c r="AA792" s="3023"/>
      <c r="AB792" s="3023"/>
      <c r="AC792" s="3023"/>
      <c r="AD792" s="3023"/>
      <c r="AE792" s="3024"/>
      <c r="AF792" s="3025">
        <f>IF(T792&gt;Z792,Z792,T792)</f>
        <v>8</v>
      </c>
      <c r="AG792" s="3025"/>
      <c r="AH792" s="3025"/>
      <c r="AI792" s="3025"/>
      <c r="AJ792" s="3025"/>
      <c r="AK792" s="3025"/>
      <c r="AL792" s="1324"/>
      <c r="AM792" s="1218"/>
    </row>
    <row r="793" spans="1:81" s="927" customFormat="1" hidden="1">
      <c r="A793" s="1327" t="s">
        <v>625</v>
      </c>
      <c r="B793" s="3019" t="s">
        <v>1884</v>
      </c>
      <c r="C793" s="3019"/>
      <c r="D793" s="3019"/>
      <c r="E793" s="3019"/>
      <c r="F793" s="3019"/>
      <c r="G793" s="3019"/>
      <c r="H793" s="3019"/>
      <c r="I793" s="3019"/>
      <c r="J793" s="3019"/>
      <c r="K793" s="3019"/>
      <c r="L793" s="3019"/>
      <c r="M793" s="3019"/>
      <c r="N793" s="3019"/>
      <c r="O793" s="3019"/>
      <c r="P793" s="3019"/>
      <c r="Q793" s="3019"/>
      <c r="R793" s="3019"/>
      <c r="S793" s="3020"/>
      <c r="T793" s="3021">
        <f>IF(AK750&gt;5,5,AK750)</f>
        <v>0</v>
      </c>
      <c r="U793" s="3021"/>
      <c r="V793" s="3021"/>
      <c r="W793" s="3021"/>
      <c r="X793" s="3021"/>
      <c r="Y793" s="3021"/>
      <c r="Z793" s="3025">
        <v>5</v>
      </c>
      <c r="AA793" s="3025"/>
      <c r="AB793" s="3025"/>
      <c r="AC793" s="3025"/>
      <c r="AD793" s="3025"/>
      <c r="AE793" s="3025"/>
      <c r="AF793" s="3025">
        <f>IF(T793&gt;Z793,5,T793)</f>
        <v>0</v>
      </c>
      <c r="AG793" s="3025"/>
      <c r="AH793" s="3025"/>
      <c r="AI793" s="3025"/>
      <c r="AJ793" s="3025"/>
      <c r="AK793" s="302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19" t="s">
        <v>1885</v>
      </c>
      <c r="C794" s="3019"/>
      <c r="D794" s="3019"/>
      <c r="E794" s="3019"/>
      <c r="F794" s="3019"/>
      <c r="G794" s="3019"/>
      <c r="H794" s="3019"/>
      <c r="I794" s="3019"/>
      <c r="J794" s="3019"/>
      <c r="K794" s="3019"/>
      <c r="L794" s="3019"/>
      <c r="M794" s="3019"/>
      <c r="N794" s="3019"/>
      <c r="O794" s="3019"/>
      <c r="P794" s="3019"/>
      <c r="Q794" s="3019"/>
      <c r="R794" s="3019"/>
      <c r="S794" s="3020"/>
      <c r="T794" s="3021">
        <f>AK267</f>
        <v>10</v>
      </c>
      <c r="U794" s="3021"/>
      <c r="V794" s="3021"/>
      <c r="W794" s="3021"/>
      <c r="X794" s="3021"/>
      <c r="Y794" s="3021"/>
      <c r="Z794" s="3025">
        <v>10</v>
      </c>
      <c r="AA794" s="3025"/>
      <c r="AB794" s="3025"/>
      <c r="AC794" s="3025"/>
      <c r="AD794" s="3025"/>
      <c r="AE794" s="3025"/>
      <c r="AF794" s="3032">
        <f>IF(T794&gt;Z794,Z794,T794)</f>
        <v>10</v>
      </c>
      <c r="AG794" s="3033"/>
      <c r="AH794" s="3033"/>
      <c r="AI794" s="3033"/>
      <c r="AJ794" s="3033"/>
      <c r="AK794" s="303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19" t="s">
        <v>1664</v>
      </c>
      <c r="C795" s="3019"/>
      <c r="D795" s="3019"/>
      <c r="E795" s="3019"/>
      <c r="F795" s="3019"/>
      <c r="G795" s="3019"/>
      <c r="H795" s="3019"/>
      <c r="I795" s="3019"/>
      <c r="J795" s="3019"/>
      <c r="K795" s="3019"/>
      <c r="L795" s="3019"/>
      <c r="M795" s="3019"/>
      <c r="N795" s="3019"/>
      <c r="O795" s="3019"/>
      <c r="P795" s="3019"/>
      <c r="Q795" s="3019"/>
      <c r="R795" s="3019"/>
      <c r="S795" s="3020"/>
      <c r="T795" s="3021">
        <f>AK553</f>
        <v>19</v>
      </c>
      <c r="U795" s="3021"/>
      <c r="V795" s="3021"/>
      <c r="W795" s="3021"/>
      <c r="X795" s="3021"/>
      <c r="Y795" s="3021"/>
      <c r="Z795" s="3032">
        <v>20</v>
      </c>
      <c r="AA795" s="3033"/>
      <c r="AB795" s="3033"/>
      <c r="AC795" s="3033"/>
      <c r="AD795" s="3033"/>
      <c r="AE795" s="3034"/>
      <c r="AF795" s="3032">
        <f>IF(T795&gt;Z795,Z795,T795)</f>
        <v>19</v>
      </c>
      <c r="AG795" s="3035"/>
      <c r="AH795" s="3035"/>
      <c r="AI795" s="3035"/>
      <c r="AJ795" s="3035"/>
      <c r="AK795" s="303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28">
        <f>AK320</f>
        <v>9</v>
      </c>
      <c r="U796" s="3028"/>
      <c r="V796" s="3028"/>
      <c r="W796" s="3028"/>
      <c r="X796" s="3028"/>
      <c r="Y796" s="3028"/>
      <c r="Z796" s="3009">
        <v>20</v>
      </c>
      <c r="AA796" s="3031"/>
      <c r="AB796" s="3031"/>
      <c r="AC796" s="3031"/>
      <c r="AD796" s="3031"/>
      <c r="AE796" s="3010"/>
      <c r="AF796" s="3030"/>
      <c r="AG796" s="3030"/>
      <c r="AH796" s="3030"/>
      <c r="AI796" s="3030"/>
      <c r="AJ796" s="3030"/>
      <c r="AK796" s="303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28">
        <f>AK551</f>
        <v>10</v>
      </c>
      <c r="U797" s="3028"/>
      <c r="V797" s="3028"/>
      <c r="W797" s="3028"/>
      <c r="X797" s="3028"/>
      <c r="Y797" s="3028"/>
      <c r="Z797" s="3009">
        <v>10</v>
      </c>
      <c r="AA797" s="3031"/>
      <c r="AB797" s="3031"/>
      <c r="AC797" s="3031"/>
      <c r="AD797" s="3031"/>
      <c r="AE797" s="3010"/>
      <c r="AF797" s="3030"/>
      <c r="AG797" s="3030"/>
      <c r="AH797" s="3030"/>
      <c r="AI797" s="3030"/>
      <c r="AJ797" s="3030"/>
      <c r="AK797" s="303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19" t="s">
        <v>911</v>
      </c>
      <c r="C798" s="3019"/>
      <c r="D798" s="3019"/>
      <c r="E798" s="3019"/>
      <c r="F798" s="3019"/>
      <c r="G798" s="3019"/>
      <c r="H798" s="3019"/>
      <c r="I798" s="3019"/>
      <c r="J798" s="3019"/>
      <c r="K798" s="3019"/>
      <c r="L798" s="3019"/>
      <c r="M798" s="3019"/>
      <c r="N798" s="3019"/>
      <c r="O798" s="3019"/>
      <c r="P798" s="3019"/>
      <c r="Q798" s="3019"/>
      <c r="R798" s="3019"/>
      <c r="S798" s="3020"/>
      <c r="T798" s="3021">
        <f>AK684</f>
        <v>10</v>
      </c>
      <c r="U798" s="3021"/>
      <c r="V798" s="3021"/>
      <c r="W798" s="3021"/>
      <c r="X798" s="3021"/>
      <c r="Y798" s="3021"/>
      <c r="Z798" s="3032">
        <v>10</v>
      </c>
      <c r="AA798" s="3033"/>
      <c r="AB798" s="3033"/>
      <c r="AC798" s="3033"/>
      <c r="AD798" s="3033"/>
      <c r="AE798" s="3034"/>
      <c r="AF798" s="3025">
        <f>IF(T798&gt;Z798,Z798,T798)</f>
        <v>10</v>
      </c>
      <c r="AG798" s="3025"/>
      <c r="AH798" s="3025"/>
      <c r="AI798" s="3025"/>
      <c r="AJ798" s="3025"/>
      <c r="AK798" s="302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19" t="s">
        <v>1863</v>
      </c>
      <c r="C799" s="3019"/>
      <c r="D799" s="3019"/>
      <c r="E799" s="3019"/>
      <c r="F799" s="3019"/>
      <c r="G799" s="3019"/>
      <c r="H799" s="3019"/>
      <c r="I799" s="3019"/>
      <c r="J799" s="3019"/>
      <c r="K799" s="3019"/>
      <c r="L799" s="3019"/>
      <c r="M799" s="3019"/>
      <c r="N799" s="3019"/>
      <c r="O799" s="3019"/>
      <c r="P799" s="3019"/>
      <c r="Q799" s="3019"/>
      <c r="R799" s="3019"/>
      <c r="S799" s="3020"/>
      <c r="T799" s="3021">
        <f>AK774</f>
        <v>12</v>
      </c>
      <c r="U799" s="3021"/>
      <c r="V799" s="3021"/>
      <c r="W799" s="3021"/>
      <c r="X799" s="3021"/>
      <c r="Y799" s="3021"/>
      <c r="Z799" s="3032">
        <v>12</v>
      </c>
      <c r="AA799" s="3033"/>
      <c r="AB799" s="3033"/>
      <c r="AC799" s="3033"/>
      <c r="AD799" s="3033"/>
      <c r="AE799" s="3034"/>
      <c r="AF799" s="3025">
        <f>IF(T799&gt;Z799,Z799,T799)</f>
        <v>12</v>
      </c>
      <c r="AG799" s="3025"/>
      <c r="AH799" s="3025"/>
      <c r="AI799" s="3025"/>
      <c r="AJ799" s="3025"/>
      <c r="AK799" s="302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7" t="s">
        <v>1888</v>
      </c>
      <c r="B800" s="3019"/>
      <c r="C800" s="3019"/>
      <c r="D800" s="3019"/>
      <c r="E800" s="3019"/>
      <c r="F800" s="3019"/>
      <c r="G800" s="3019"/>
      <c r="H800" s="3019"/>
      <c r="I800" s="3019"/>
      <c r="J800" s="3019"/>
      <c r="K800" s="3019"/>
      <c r="L800" s="3019"/>
      <c r="M800" s="3019"/>
      <c r="N800" s="3019"/>
      <c r="O800" s="3019"/>
      <c r="P800" s="3019"/>
      <c r="Q800" s="3019"/>
      <c r="R800" s="3019"/>
      <c r="S800" s="3020"/>
      <c r="T800" s="3038"/>
      <c r="U800" s="3038"/>
      <c r="V800" s="3038"/>
      <c r="W800" s="3038"/>
      <c r="X800" s="3038"/>
      <c r="Y800" s="3038"/>
      <c r="Z800" s="3029" t="s">
        <v>1889</v>
      </c>
      <c r="AA800" s="3029"/>
      <c r="AB800" s="3029"/>
      <c r="AC800" s="3029"/>
      <c r="AD800" s="3029"/>
      <c r="AE800" s="3029"/>
      <c r="AF800" s="3032">
        <f>IF(T800&gt;0,T800,0)</f>
        <v>0</v>
      </c>
      <c r="AG800" s="3033"/>
      <c r="AH800" s="3033"/>
      <c r="AI800" s="3033"/>
      <c r="AJ800" s="3033"/>
      <c r="AK800" s="303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039" t="s">
        <v>1890</v>
      </c>
      <c r="B801" s="3040"/>
      <c r="C801" s="3040"/>
      <c r="D801" s="3040"/>
      <c r="E801" s="3040"/>
      <c r="F801" s="3040"/>
      <c r="G801" s="3040"/>
      <c r="H801" s="3040"/>
      <c r="I801" s="3040"/>
      <c r="J801" s="3040"/>
      <c r="K801" s="3040"/>
      <c r="L801" s="3040"/>
      <c r="M801" s="3040"/>
      <c r="N801" s="3040"/>
      <c r="O801" s="3040"/>
      <c r="P801" s="3040"/>
      <c r="Q801" s="3040"/>
      <c r="R801" s="3040"/>
      <c r="S801" s="3040"/>
      <c r="T801" s="3040"/>
      <c r="U801" s="3040"/>
      <c r="V801" s="3040"/>
      <c r="W801" s="3040"/>
      <c r="X801" s="3040"/>
      <c r="Y801" s="3040"/>
      <c r="Z801" s="3040"/>
      <c r="AA801" s="3040"/>
      <c r="AB801" s="3040"/>
      <c r="AC801" s="3040"/>
      <c r="AD801" s="3040"/>
      <c r="AE801" s="3041"/>
      <c r="AF801" s="3045">
        <f ca="1">SUM(AF784:AK799)-AF800</f>
        <v>119</v>
      </c>
      <c r="AG801" s="3046"/>
      <c r="AH801" s="3046"/>
      <c r="AI801" s="3046"/>
      <c r="AJ801" s="3046"/>
      <c r="AK801" s="304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042"/>
      <c r="B802" s="3043"/>
      <c r="C802" s="3043"/>
      <c r="D802" s="3043"/>
      <c r="E802" s="3043"/>
      <c r="F802" s="3043"/>
      <c r="G802" s="3043"/>
      <c r="H802" s="3043"/>
      <c r="I802" s="3043"/>
      <c r="J802" s="3043"/>
      <c r="K802" s="3043"/>
      <c r="L802" s="3043"/>
      <c r="M802" s="3043"/>
      <c r="N802" s="3043"/>
      <c r="O802" s="3043"/>
      <c r="P802" s="3043"/>
      <c r="Q802" s="3043"/>
      <c r="R802" s="3043"/>
      <c r="S802" s="3043"/>
      <c r="T802" s="3043"/>
      <c r="U802" s="3043"/>
      <c r="V802" s="3043"/>
      <c r="W802" s="3043"/>
      <c r="X802" s="3043"/>
      <c r="Y802" s="3043"/>
      <c r="Z802" s="3043"/>
      <c r="AA802" s="3043"/>
      <c r="AB802" s="3043"/>
      <c r="AC802" s="3043"/>
      <c r="AD802" s="3043"/>
      <c r="AE802" s="3044"/>
      <c r="AF802" s="3048"/>
      <c r="AG802" s="3049"/>
      <c r="AH802" s="3049"/>
      <c r="AI802" s="3049"/>
      <c r="AJ802" s="3049"/>
      <c r="AK802" s="305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17557448-ABEB-49C8-9C25-04D5E95F452B}">
  <ds:schemaRefs>
    <ds:schemaRef ds:uri="http://schemas.microsoft.com/sharepoint/v3/contenttype/forms"/>
  </ds:schemaRefs>
</ds:datastoreItem>
</file>

<file path=customXml/itemProps2.xml><?xml version="1.0" encoding="utf-8"?>
<ds:datastoreItem xmlns:ds="http://schemas.openxmlformats.org/officeDocument/2006/customXml" ds:itemID="{649EBF2F-44FF-41D6-87C5-021879172EE4}">
  <ds:schemaRefs>
    <ds:schemaRef ds:uri="12787784-bee3-4f4c-b8c2-408b19805a85"/>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4"/>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81190C1-5289-4848-B417-34317034DC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8A28D34-0B2D-42CF-B409-2AF0E92D697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Janelle Ingle</cp:lastModifiedBy>
  <cp:lastPrinted>2021-01-30T01:02:34Z</cp:lastPrinted>
  <dcterms:created xsi:type="dcterms:W3CDTF">2007-12-27T18:26:28Z</dcterms:created>
  <dcterms:modified xsi:type="dcterms:W3CDTF">2021-01-30T01:55:05Z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